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hisWorkbook"/>
  <mc:AlternateContent xmlns:mc="http://schemas.openxmlformats.org/markup-compatibility/2006">
    <mc:Choice Requires="x15">
      <x15ac:absPath xmlns:x15ac="http://schemas.microsoft.com/office/spreadsheetml/2010/11/ac" url="C:\Users\takas\・個人フォルダー\01_サッカー関係\・（一社）大分県サッカー協会　第四種　ジュニアHP\2023\01.Rabbit_Cup\"/>
    </mc:Choice>
  </mc:AlternateContent>
  <xr:revisionPtr revIDLastSave="0" documentId="13_ncr:1_{75AF5285-A241-41DB-A230-86B82708B590}" xr6:coauthVersionLast="47" xr6:coauthVersionMax="47" xr10:uidLastSave="{00000000-0000-0000-0000-000000000000}"/>
  <bookViews>
    <workbookView xWindow="-90" yWindow="-90" windowWidth="19380" windowHeight="10380" tabRatio="886" activeTab="11" xr2:uid="{00000000-000D-0000-FFFF-FFFF00000000}"/>
  </bookViews>
  <sheets>
    <sheet name="抽選会資料" sheetId="18" r:id="rId1"/>
    <sheet name="大会要項" sheetId="40" r:id="rId2"/>
    <sheet name="MCM資料" sheetId="39" r:id="rId3"/>
    <sheet name="累積警告・退場" sheetId="42" r:id="rId4"/>
    <sheet name="組合せ抽選用" sheetId="7" state="hidden" r:id="rId5"/>
    <sheet name="予選リーグ" sheetId="6" r:id="rId6"/>
    <sheet name="予選リーグ (2)" sheetId="10" r:id="rId7"/>
    <sheet name="予選リーグ公式記録(BコートA)" sheetId="32" state="hidden" r:id="rId8"/>
    <sheet name="予選リーグ公式記録(BコートB)" sheetId="33" state="hidden" r:id="rId9"/>
    <sheet name="予選リーグ公式記録(県協会人工芝A)" sheetId="34" state="hidden" r:id="rId10"/>
    <sheet name="予選リーグ公式記録(県協会人工芝B)" sheetId="35" state="hidden" r:id="rId11"/>
    <sheet name="決勝トーナメント" sheetId="5" r:id="rId12"/>
    <sheet name="決勝T公式記録" sheetId="36" state="hidden" r:id="rId13"/>
    <sheet name="決勝公式記録 No,33" sheetId="41" r:id="rId14"/>
    <sheet name="項目" sheetId="43" state="hidden" r:id="rId15"/>
    <sheet name="選手名簿" sheetId="37" state="hidden" r:id="rId16"/>
    <sheet name="審判員" sheetId="38" state="hidden" r:id="rId17"/>
  </sheets>
  <definedNames>
    <definedName name="_xlnm._FilterDatabase" localSheetId="16" hidden="1">審判員!$A$1:$F$2609</definedName>
    <definedName name="_xlnm._FilterDatabase" localSheetId="15" hidden="1">選手名簿!$A$1:$I$339</definedName>
    <definedName name="_xlnm._FilterDatabase" localSheetId="3" hidden="1">累積警告・退場!$A$4:$AB$4</definedName>
    <definedName name="OLE_LINK1" localSheetId="1">大会要項!$A$56</definedName>
    <definedName name="_xlnm.Print_Area" localSheetId="12">決勝T公式記録!$A$5:$N$28,決勝T公式記録!$A$33:$N$56,決勝T公式記録!$A$61:$N$86,決勝T公式記録!$A$91:$N$116,決勝T公式記録!$P$5:$AC$28,決勝T公式記録!$P$33:$AC$56,決勝T公式記録!$P$61:$AC$86,決勝T公式記録!$P$91:$AC$116</definedName>
    <definedName name="_xlnm.Print_Area" localSheetId="13">'決勝公式記録 No,33'!$A$1:$AJ$73</definedName>
    <definedName name="_xlnm.Print_Area" localSheetId="4">組合せ抽選用!$B$2:$O$35</definedName>
    <definedName name="_xlnm.Print_Area" localSheetId="1">大会要項!$A$1:$J$83</definedName>
    <definedName name="_xlnm.Print_Area" localSheetId="3">累積警告・退場!$B$1:$W$30</definedName>
    <definedName name="_xlnm.Print_Titles" localSheetId="12">決勝T公式記録!$1:$4</definedName>
    <definedName name="_xlnm.Print_Titles" localSheetId="7">'予選リーグ公式記録(BコートA)'!$1:$9</definedName>
    <definedName name="_xlnm.Print_Titles" localSheetId="8">'予選リーグ公式記録(BコートB)'!$1:$9</definedName>
    <definedName name="_xlnm.Print_Titles" localSheetId="9">'予選リーグ公式記録(県協会人工芝A)'!$1:$9</definedName>
    <definedName name="_xlnm.Print_Titles" localSheetId="10">'予選リーグ公式記録(県協会人工芝B)'!$1:$9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92" i="36" l="1"/>
  <c r="V92" i="36"/>
  <c r="M92" i="36"/>
  <c r="G92" i="36"/>
  <c r="AB62" i="36"/>
  <c r="V62" i="36"/>
  <c r="M62" i="36"/>
  <c r="G62" i="36"/>
  <c r="AB34" i="36"/>
  <c r="V34" i="36"/>
  <c r="M34" i="36"/>
  <c r="G34" i="36"/>
  <c r="AB6" i="36"/>
  <c r="V6" i="36"/>
  <c r="M6" i="36"/>
  <c r="G6" i="36"/>
  <c r="AB68" i="35"/>
  <c r="V68" i="35"/>
  <c r="M68" i="35"/>
  <c r="G68" i="35"/>
  <c r="AB39" i="35"/>
  <c r="V39" i="35"/>
  <c r="M39" i="35"/>
  <c r="G39" i="35"/>
  <c r="AB10" i="35"/>
  <c r="V10" i="35"/>
  <c r="M10" i="35"/>
  <c r="G10" i="35"/>
  <c r="AB68" i="34"/>
  <c r="V68" i="34"/>
  <c r="M68" i="34"/>
  <c r="G68" i="34"/>
  <c r="AB39" i="34"/>
  <c r="V39" i="34"/>
  <c r="M39" i="34"/>
  <c r="G39" i="34"/>
  <c r="AB10" i="34"/>
  <c r="V10" i="34"/>
  <c r="M10" i="34"/>
  <c r="G10" i="34"/>
  <c r="AB68" i="33"/>
  <c r="V68" i="33"/>
  <c r="M68" i="33"/>
  <c r="G68" i="33"/>
  <c r="AB39" i="33"/>
  <c r="V39" i="33"/>
  <c r="M39" i="33"/>
  <c r="G39" i="33"/>
  <c r="AB10" i="33"/>
  <c r="V10" i="33"/>
  <c r="M10" i="33"/>
  <c r="G10" i="33"/>
  <c r="AB68" i="32"/>
  <c r="V68" i="32"/>
  <c r="M68" i="32"/>
  <c r="G68" i="32"/>
  <c r="AB39" i="32"/>
  <c r="V39" i="32"/>
  <c r="M39" i="32"/>
  <c r="G39" i="32"/>
  <c r="AB10" i="32"/>
  <c r="V10" i="32"/>
  <c r="M10" i="32"/>
  <c r="G10" i="32"/>
  <c r="I1481" i="37" l="1"/>
  <c r="C1481" i="37"/>
  <c r="I1480" i="37"/>
  <c r="C1480" i="37"/>
  <c r="I1479" i="37"/>
  <c r="C1479" i="37"/>
  <c r="I1478" i="37"/>
  <c r="C1478" i="37"/>
  <c r="I1477" i="37"/>
  <c r="C1477" i="37"/>
  <c r="I1476" i="37"/>
  <c r="C1476" i="37"/>
  <c r="I1475" i="37"/>
  <c r="C1475" i="37"/>
  <c r="I1474" i="37"/>
  <c r="C1474" i="37"/>
  <c r="I1473" i="37"/>
  <c r="C1473" i="37"/>
  <c r="I1472" i="37"/>
  <c r="C1472" i="37"/>
  <c r="I1471" i="37"/>
  <c r="C1471" i="37"/>
  <c r="I1470" i="37"/>
  <c r="C1470" i="37"/>
  <c r="I1469" i="37"/>
  <c r="C1469" i="37"/>
  <c r="I1468" i="37"/>
  <c r="C1468" i="37"/>
  <c r="I1467" i="37"/>
  <c r="C1467" i="37"/>
  <c r="I1466" i="37"/>
  <c r="C1466" i="37"/>
  <c r="I1465" i="37"/>
  <c r="C1465" i="37"/>
  <c r="I1464" i="37"/>
  <c r="C1464" i="37"/>
  <c r="I1463" i="37"/>
  <c r="C1463" i="37"/>
  <c r="I1462" i="37"/>
  <c r="C1462" i="37"/>
  <c r="I1461" i="37"/>
  <c r="C1461" i="37"/>
  <c r="I1460" i="37"/>
  <c r="C1460" i="37"/>
  <c r="I1459" i="37"/>
  <c r="C1459" i="37"/>
  <c r="I1458" i="37"/>
  <c r="C1458" i="37"/>
  <c r="I1457" i="37"/>
  <c r="C1457" i="37"/>
  <c r="I1456" i="37"/>
  <c r="C1456" i="37"/>
  <c r="I1455" i="37"/>
  <c r="C1455" i="37"/>
  <c r="I1454" i="37"/>
  <c r="C1454" i="37"/>
  <c r="I1453" i="37"/>
  <c r="C1453" i="37"/>
  <c r="I1452" i="37"/>
  <c r="C1452" i="37"/>
  <c r="I1451" i="37"/>
  <c r="C1451" i="37"/>
  <c r="I1450" i="37"/>
  <c r="C1450" i="37"/>
  <c r="I1449" i="37"/>
  <c r="C1449" i="37"/>
  <c r="I1448" i="37"/>
  <c r="C1448" i="37"/>
  <c r="I1447" i="37"/>
  <c r="C1447" i="37"/>
  <c r="I1446" i="37"/>
  <c r="C1446" i="37"/>
  <c r="I1445" i="37"/>
  <c r="C1445" i="37"/>
  <c r="I1444" i="37"/>
  <c r="C1444" i="37"/>
  <c r="I1443" i="37"/>
  <c r="C1443" i="37"/>
  <c r="I1442" i="37"/>
  <c r="C1442" i="37"/>
  <c r="I1441" i="37"/>
  <c r="C1441" i="37"/>
  <c r="I1440" i="37"/>
  <c r="C1440" i="37"/>
  <c r="I1439" i="37"/>
  <c r="C1439" i="37"/>
  <c r="I1438" i="37"/>
  <c r="C1438" i="37"/>
  <c r="I1437" i="37"/>
  <c r="C1437" i="37"/>
  <c r="I1436" i="37"/>
  <c r="C1436" i="37"/>
  <c r="I1435" i="37"/>
  <c r="C1435" i="37"/>
  <c r="I1434" i="37"/>
  <c r="C1434" i="37"/>
  <c r="I1433" i="37"/>
  <c r="C1433" i="37"/>
  <c r="I1432" i="37"/>
  <c r="C1432" i="37"/>
  <c r="I1431" i="37"/>
  <c r="C1431" i="37"/>
  <c r="I1430" i="37"/>
  <c r="C1430" i="37"/>
  <c r="I1429" i="37"/>
  <c r="C1429" i="37"/>
  <c r="I1428" i="37"/>
  <c r="C1428" i="37"/>
  <c r="I1427" i="37"/>
  <c r="C1427" i="37"/>
  <c r="I1426" i="37"/>
  <c r="C1426" i="37"/>
  <c r="I1425" i="37"/>
  <c r="C1425" i="37"/>
  <c r="I1424" i="37"/>
  <c r="C1424" i="37"/>
  <c r="I1423" i="37"/>
  <c r="C1423" i="37"/>
  <c r="I1422" i="37"/>
  <c r="C1422" i="37"/>
  <c r="I1421" i="37"/>
  <c r="C1421" i="37"/>
  <c r="I1420" i="37"/>
  <c r="C1420" i="37"/>
  <c r="I1419" i="37"/>
  <c r="C1419" i="37"/>
  <c r="I1418" i="37"/>
  <c r="C1418" i="37"/>
  <c r="I1417" i="37"/>
  <c r="C1417" i="37"/>
  <c r="I1416" i="37"/>
  <c r="C1416" i="37"/>
  <c r="I1415" i="37"/>
  <c r="C1415" i="37"/>
  <c r="I1414" i="37"/>
  <c r="C1414" i="37"/>
  <c r="I1413" i="37"/>
  <c r="C1413" i="37"/>
  <c r="I1412" i="37"/>
  <c r="C1412" i="37"/>
  <c r="I1411" i="37"/>
  <c r="C1411" i="37"/>
  <c r="I1410" i="37"/>
  <c r="C1410" i="37"/>
  <c r="I1409" i="37"/>
  <c r="C1409" i="37"/>
  <c r="I1408" i="37"/>
  <c r="C1408" i="37"/>
  <c r="I1407" i="37"/>
  <c r="C1407" i="37"/>
  <c r="I1406" i="37"/>
  <c r="C1406" i="37"/>
  <c r="I1405" i="37"/>
  <c r="C1405" i="37"/>
  <c r="I1404" i="37"/>
  <c r="C1404" i="37"/>
  <c r="I1403" i="37"/>
  <c r="C1403" i="37"/>
  <c r="I1402" i="37"/>
  <c r="C1402" i="37"/>
  <c r="I1401" i="37"/>
  <c r="C1401" i="37"/>
  <c r="I1400" i="37"/>
  <c r="C1400" i="37"/>
  <c r="I1399" i="37"/>
  <c r="C1399" i="37"/>
  <c r="I1398" i="37"/>
  <c r="C1398" i="37"/>
  <c r="I1397" i="37"/>
  <c r="C1397" i="37"/>
  <c r="I1396" i="37"/>
  <c r="C1396" i="37"/>
  <c r="I1395" i="37"/>
  <c r="C1395" i="37"/>
  <c r="I1394" i="37"/>
  <c r="C1394" i="37"/>
  <c r="I1393" i="37"/>
  <c r="C1393" i="37"/>
  <c r="I1392" i="37"/>
  <c r="C1392" i="37"/>
  <c r="I1391" i="37"/>
  <c r="C1391" i="37"/>
  <c r="I1390" i="37"/>
  <c r="C1390" i="37"/>
  <c r="I1389" i="37"/>
  <c r="C1389" i="37"/>
  <c r="I1388" i="37"/>
  <c r="C1388" i="37"/>
  <c r="I1387" i="37"/>
  <c r="C1387" i="37"/>
  <c r="I1386" i="37"/>
  <c r="C1386" i="37"/>
  <c r="I1385" i="37"/>
  <c r="C1385" i="37"/>
  <c r="I1384" i="37"/>
  <c r="C1384" i="37"/>
  <c r="I1383" i="37"/>
  <c r="C1383" i="37"/>
  <c r="I1382" i="37"/>
  <c r="C1382" i="37"/>
  <c r="I1381" i="37"/>
  <c r="C1381" i="37"/>
  <c r="I1380" i="37"/>
  <c r="C1380" i="37"/>
  <c r="I1379" i="37"/>
  <c r="C1379" i="37"/>
  <c r="I1378" i="37"/>
  <c r="C1378" i="37"/>
  <c r="I1377" i="37"/>
  <c r="C1377" i="37"/>
  <c r="I1376" i="37"/>
  <c r="C1376" i="37"/>
  <c r="I1375" i="37"/>
  <c r="C1375" i="37"/>
  <c r="I1374" i="37"/>
  <c r="C1374" i="37"/>
  <c r="I1373" i="37"/>
  <c r="C1373" i="37"/>
  <c r="I1372" i="37"/>
  <c r="C1372" i="37"/>
  <c r="I1371" i="37"/>
  <c r="C1371" i="37"/>
  <c r="I1370" i="37"/>
  <c r="C1370" i="37"/>
  <c r="I1369" i="37"/>
  <c r="C1369" i="37"/>
  <c r="I1368" i="37"/>
  <c r="C1368" i="37"/>
  <c r="I1367" i="37"/>
  <c r="C1367" i="37"/>
  <c r="I1366" i="37"/>
  <c r="C1366" i="37"/>
  <c r="I1365" i="37"/>
  <c r="C1365" i="37"/>
  <c r="I1364" i="37"/>
  <c r="C1364" i="37"/>
  <c r="I1363" i="37"/>
  <c r="C1363" i="37"/>
  <c r="I1362" i="37"/>
  <c r="C1362" i="37"/>
  <c r="I1361" i="37"/>
  <c r="C1361" i="37"/>
  <c r="I1360" i="37"/>
  <c r="C1360" i="37"/>
  <c r="I1359" i="37"/>
  <c r="C1359" i="37"/>
  <c r="I1358" i="37"/>
  <c r="C1358" i="37"/>
  <c r="I1357" i="37"/>
  <c r="C1357" i="37"/>
  <c r="I1356" i="37"/>
  <c r="C1356" i="37"/>
  <c r="I1355" i="37"/>
  <c r="C1355" i="37"/>
  <c r="I1354" i="37"/>
  <c r="C1354" i="37"/>
  <c r="I1353" i="37"/>
  <c r="C1353" i="37"/>
  <c r="I1352" i="37"/>
  <c r="C1352" i="37"/>
  <c r="I1351" i="37"/>
  <c r="C1351" i="37"/>
  <c r="I1350" i="37"/>
  <c r="C1350" i="37"/>
  <c r="I1349" i="37"/>
  <c r="C1349" i="37"/>
  <c r="I1348" i="37"/>
  <c r="C1348" i="37"/>
  <c r="I1347" i="37"/>
  <c r="C1347" i="37"/>
  <c r="I1346" i="37"/>
  <c r="C1346" i="37"/>
  <c r="I1345" i="37"/>
  <c r="C1345" i="37"/>
  <c r="I1344" i="37"/>
  <c r="C1344" i="37"/>
  <c r="I1343" i="37"/>
  <c r="C1343" i="37"/>
  <c r="I1342" i="37"/>
  <c r="C1342" i="37"/>
  <c r="I1341" i="37"/>
  <c r="C1341" i="37"/>
  <c r="I1340" i="37"/>
  <c r="C1340" i="37"/>
  <c r="I1339" i="37"/>
  <c r="C1339" i="37"/>
  <c r="I1338" i="37"/>
  <c r="C1338" i="37"/>
  <c r="I1337" i="37"/>
  <c r="C1337" i="37"/>
  <c r="I1336" i="37"/>
  <c r="C1336" i="37"/>
  <c r="I1335" i="37"/>
  <c r="C1335" i="37"/>
  <c r="I1334" i="37"/>
  <c r="C1334" i="37"/>
  <c r="I1333" i="37"/>
  <c r="C1333" i="37"/>
  <c r="I1332" i="37"/>
  <c r="C1332" i="37"/>
  <c r="I1331" i="37"/>
  <c r="C1331" i="37"/>
  <c r="I1330" i="37"/>
  <c r="C1330" i="37"/>
  <c r="I1329" i="37"/>
  <c r="C1329" i="37"/>
  <c r="I1328" i="37"/>
  <c r="C1328" i="37"/>
  <c r="I1327" i="37"/>
  <c r="C1327" i="37"/>
  <c r="I1326" i="37"/>
  <c r="C1326" i="37"/>
  <c r="I1325" i="37"/>
  <c r="C1325" i="37"/>
  <c r="I1324" i="37"/>
  <c r="C1324" i="37"/>
  <c r="I1323" i="37"/>
  <c r="C1323" i="37"/>
  <c r="I1322" i="37"/>
  <c r="C1322" i="37"/>
  <c r="I1321" i="37"/>
  <c r="C1321" i="37"/>
  <c r="I1320" i="37"/>
  <c r="C1320" i="37"/>
  <c r="I1319" i="37"/>
  <c r="C1319" i="37"/>
  <c r="I1318" i="37"/>
  <c r="C1318" i="37"/>
  <c r="I1317" i="37"/>
  <c r="C1317" i="37"/>
  <c r="I1316" i="37"/>
  <c r="C1316" i="37"/>
  <c r="I1315" i="37"/>
  <c r="C1315" i="37"/>
  <c r="I1314" i="37"/>
  <c r="C1314" i="37"/>
  <c r="I1313" i="37"/>
  <c r="C1313" i="37"/>
  <c r="I1312" i="37"/>
  <c r="C1312" i="37"/>
  <c r="I1311" i="37"/>
  <c r="C1311" i="37"/>
  <c r="I1310" i="37"/>
  <c r="C1310" i="37"/>
  <c r="I1309" i="37"/>
  <c r="C1309" i="37"/>
  <c r="I1308" i="37"/>
  <c r="C1308" i="37"/>
  <c r="I1307" i="37"/>
  <c r="C1307" i="37"/>
  <c r="I1306" i="37"/>
  <c r="C1306" i="37"/>
  <c r="I1305" i="37"/>
  <c r="C1305" i="37"/>
  <c r="I1304" i="37"/>
  <c r="C1304" i="37"/>
  <c r="I1303" i="37"/>
  <c r="C1303" i="37"/>
  <c r="I1302" i="37"/>
  <c r="C1302" i="37"/>
  <c r="I1301" i="37"/>
  <c r="C1301" i="37"/>
  <c r="I1300" i="37"/>
  <c r="C1300" i="37"/>
  <c r="I1299" i="37"/>
  <c r="C1299" i="37"/>
  <c r="I1298" i="37"/>
  <c r="C1298" i="37"/>
  <c r="I1297" i="37"/>
  <c r="C1297" i="37"/>
  <c r="I1296" i="37"/>
  <c r="C1296" i="37"/>
  <c r="I1295" i="37"/>
  <c r="C1295" i="37"/>
  <c r="I1294" i="37"/>
  <c r="C1294" i="37"/>
  <c r="I1293" i="37"/>
  <c r="C1293" i="37"/>
  <c r="I1292" i="37"/>
  <c r="C1292" i="37"/>
  <c r="I1291" i="37"/>
  <c r="C1291" i="37"/>
  <c r="I1290" i="37"/>
  <c r="C1290" i="37"/>
  <c r="I1289" i="37"/>
  <c r="C1289" i="37"/>
  <c r="I1288" i="37"/>
  <c r="C1288" i="37"/>
  <c r="I1287" i="37"/>
  <c r="C1287" i="37"/>
  <c r="I1286" i="37"/>
  <c r="C1286" i="37"/>
  <c r="I1285" i="37"/>
  <c r="C1285" i="37"/>
  <c r="I1284" i="37"/>
  <c r="C1284" i="37"/>
  <c r="I1283" i="37"/>
  <c r="C1283" i="37"/>
  <c r="I1282" i="37"/>
  <c r="C1282" i="37"/>
  <c r="I1281" i="37"/>
  <c r="C1281" i="37"/>
  <c r="I1280" i="37"/>
  <c r="C1280" i="37"/>
  <c r="I1279" i="37"/>
  <c r="C1279" i="37"/>
  <c r="I1278" i="37"/>
  <c r="C1278" i="37"/>
  <c r="I1277" i="37"/>
  <c r="C1277" i="37"/>
  <c r="I1276" i="37"/>
  <c r="C1276" i="37"/>
  <c r="I1275" i="37"/>
  <c r="C1275" i="37"/>
  <c r="I1274" i="37"/>
  <c r="C1274" i="37"/>
  <c r="I1273" i="37"/>
  <c r="C1273" i="37"/>
  <c r="I1272" i="37"/>
  <c r="C1272" i="37"/>
  <c r="I1271" i="37"/>
  <c r="C1271" i="37"/>
  <c r="I1270" i="37"/>
  <c r="C1270" i="37"/>
  <c r="I1269" i="37"/>
  <c r="C1269" i="37"/>
  <c r="I1268" i="37"/>
  <c r="C1268" i="37"/>
  <c r="I1267" i="37"/>
  <c r="C1267" i="37"/>
  <c r="I1266" i="37"/>
  <c r="C1266" i="37"/>
  <c r="I1265" i="37"/>
  <c r="C1265" i="37"/>
  <c r="I1264" i="37"/>
  <c r="C1264" i="37"/>
  <c r="I1263" i="37"/>
  <c r="C1263" i="37"/>
  <c r="I1262" i="37"/>
  <c r="C1262" i="37"/>
  <c r="I1261" i="37"/>
  <c r="C1261" i="37"/>
  <c r="I1260" i="37"/>
  <c r="C1260" i="37"/>
  <c r="I1259" i="37"/>
  <c r="C1259" i="37"/>
  <c r="I1258" i="37"/>
  <c r="C1258" i="37"/>
  <c r="I1257" i="37"/>
  <c r="C1257" i="37"/>
  <c r="I1256" i="37"/>
  <c r="C1256" i="37"/>
  <c r="I1255" i="37"/>
  <c r="C1255" i="37"/>
  <c r="I1254" i="37"/>
  <c r="C1254" i="37"/>
  <c r="I1253" i="37"/>
  <c r="C1253" i="37"/>
  <c r="I1252" i="37"/>
  <c r="C1252" i="37"/>
  <c r="I1251" i="37"/>
  <c r="C1251" i="37"/>
  <c r="I1250" i="37"/>
  <c r="C1250" i="37"/>
  <c r="I1249" i="37"/>
  <c r="C1249" i="37"/>
  <c r="I1248" i="37"/>
  <c r="C1248" i="37"/>
  <c r="I1247" i="37"/>
  <c r="C1247" i="37"/>
  <c r="I1246" i="37"/>
  <c r="C1246" i="37"/>
  <c r="I1245" i="37"/>
  <c r="C1245" i="37"/>
  <c r="I1244" i="37"/>
  <c r="C1244" i="37"/>
  <c r="I1243" i="37"/>
  <c r="C1243" i="37"/>
  <c r="I1242" i="37"/>
  <c r="C1242" i="37"/>
  <c r="I1241" i="37"/>
  <c r="C1241" i="37"/>
  <c r="I1240" i="37"/>
  <c r="C1240" i="37"/>
  <c r="I1239" i="37"/>
  <c r="C1239" i="37"/>
  <c r="I1238" i="37"/>
  <c r="C1238" i="37"/>
  <c r="I1237" i="37"/>
  <c r="C1237" i="37"/>
  <c r="I1236" i="37"/>
  <c r="C1236" i="37"/>
  <c r="I1235" i="37"/>
  <c r="C1235" i="37"/>
  <c r="I1234" i="37"/>
  <c r="C1234" i="37"/>
  <c r="I1233" i="37"/>
  <c r="C1233" i="37"/>
  <c r="I1232" i="37"/>
  <c r="C1232" i="37"/>
  <c r="I1231" i="37"/>
  <c r="C1231" i="37"/>
  <c r="I1230" i="37"/>
  <c r="C1230" i="37"/>
  <c r="I1229" i="37"/>
  <c r="C1229" i="37"/>
  <c r="I1228" i="37"/>
  <c r="C1228" i="37"/>
  <c r="I1227" i="37"/>
  <c r="C1227" i="37"/>
  <c r="I1226" i="37"/>
  <c r="C1226" i="37"/>
  <c r="I1225" i="37"/>
  <c r="C1225" i="37"/>
  <c r="I1224" i="37"/>
  <c r="C1224" i="37"/>
  <c r="I1223" i="37"/>
  <c r="C1223" i="37"/>
  <c r="I1222" i="37"/>
  <c r="C1222" i="37"/>
  <c r="I1221" i="37"/>
  <c r="C1221" i="37"/>
  <c r="I1220" i="37"/>
  <c r="C1220" i="37"/>
  <c r="I1219" i="37"/>
  <c r="C1219" i="37"/>
  <c r="I1218" i="37"/>
  <c r="C1218" i="37"/>
  <c r="I1217" i="37"/>
  <c r="C1217" i="37"/>
  <c r="I1216" i="37"/>
  <c r="C1216" i="37"/>
  <c r="I1215" i="37"/>
  <c r="C1215" i="37"/>
  <c r="I1214" i="37"/>
  <c r="C1214" i="37"/>
  <c r="I1213" i="37"/>
  <c r="C1213" i="37"/>
  <c r="I1212" i="37"/>
  <c r="C1212" i="37"/>
  <c r="I1211" i="37"/>
  <c r="C1211" i="37"/>
  <c r="I1210" i="37"/>
  <c r="C1210" i="37"/>
  <c r="I1209" i="37"/>
  <c r="C1209" i="37"/>
  <c r="I1208" i="37"/>
  <c r="C1208" i="37"/>
  <c r="I1207" i="37"/>
  <c r="C1207" i="37"/>
  <c r="I1206" i="37"/>
  <c r="C1206" i="37"/>
  <c r="I1205" i="37"/>
  <c r="C1205" i="37"/>
  <c r="I1204" i="37"/>
  <c r="C1204" i="37"/>
  <c r="I1203" i="37"/>
  <c r="C1203" i="37"/>
  <c r="I1202" i="37"/>
  <c r="C1202" i="37"/>
  <c r="I1201" i="37"/>
  <c r="C1201" i="37"/>
  <c r="I1200" i="37"/>
  <c r="C1200" i="37"/>
  <c r="I1199" i="37"/>
  <c r="C1199" i="37"/>
  <c r="I1198" i="37"/>
  <c r="C1198" i="37"/>
  <c r="I1197" i="37"/>
  <c r="C1197" i="37"/>
  <c r="I1196" i="37"/>
  <c r="C1196" i="37"/>
  <c r="I1195" i="37"/>
  <c r="C1195" i="37"/>
  <c r="I1194" i="37"/>
  <c r="C1194" i="37"/>
  <c r="I1193" i="37"/>
  <c r="C1193" i="37"/>
  <c r="I1192" i="37"/>
  <c r="C1192" i="37"/>
  <c r="I1191" i="37"/>
  <c r="C1191" i="37"/>
  <c r="I1190" i="37"/>
  <c r="C1190" i="37"/>
  <c r="I1189" i="37"/>
  <c r="C1189" i="37"/>
  <c r="I1188" i="37"/>
  <c r="C1188" i="37"/>
  <c r="I1187" i="37"/>
  <c r="C1187" i="37"/>
  <c r="I1186" i="37"/>
  <c r="C1186" i="37"/>
  <c r="I1185" i="37"/>
  <c r="C1185" i="37"/>
  <c r="I1184" i="37"/>
  <c r="C1184" i="37"/>
  <c r="I1183" i="37"/>
  <c r="C1183" i="37"/>
  <c r="I1182" i="37"/>
  <c r="C1182" i="37"/>
  <c r="I1181" i="37"/>
  <c r="C1181" i="37"/>
  <c r="I1180" i="37"/>
  <c r="C1180" i="37"/>
  <c r="I1179" i="37"/>
  <c r="C1179" i="37"/>
  <c r="I1178" i="37"/>
  <c r="C1178" i="37"/>
  <c r="I1177" i="37"/>
  <c r="C1177" i="37"/>
  <c r="I1176" i="37"/>
  <c r="C1176" i="37"/>
  <c r="I1175" i="37"/>
  <c r="C1175" i="37"/>
  <c r="I1174" i="37"/>
  <c r="C1174" i="37"/>
  <c r="I1173" i="37"/>
  <c r="C1173" i="37"/>
  <c r="I1172" i="37"/>
  <c r="C1172" i="37"/>
  <c r="I1171" i="37"/>
  <c r="C1171" i="37"/>
  <c r="I1170" i="37"/>
  <c r="C1170" i="37"/>
  <c r="I1169" i="37"/>
  <c r="C1169" i="37"/>
  <c r="I1168" i="37"/>
  <c r="C1168" i="37"/>
  <c r="I1167" i="37"/>
  <c r="C1167" i="37"/>
  <c r="I1166" i="37"/>
  <c r="C1166" i="37"/>
  <c r="I1165" i="37"/>
  <c r="C1165" i="37"/>
  <c r="I1164" i="37"/>
  <c r="C1164" i="37"/>
  <c r="I1163" i="37"/>
  <c r="C1163" i="37"/>
  <c r="I1162" i="37"/>
  <c r="C1162" i="37"/>
  <c r="I1161" i="37"/>
  <c r="C1161" i="37"/>
  <c r="I1160" i="37"/>
  <c r="C1160" i="37"/>
  <c r="I1159" i="37"/>
  <c r="C1159" i="37"/>
  <c r="I1158" i="37"/>
  <c r="C1158" i="37"/>
  <c r="I1157" i="37"/>
  <c r="C1157" i="37"/>
  <c r="I1156" i="37"/>
  <c r="C1156" i="37"/>
  <c r="I1155" i="37"/>
  <c r="C1155" i="37"/>
  <c r="I1154" i="37"/>
  <c r="C1154" i="37"/>
  <c r="I1153" i="37"/>
  <c r="C1153" i="37"/>
  <c r="I1152" i="37"/>
  <c r="C1152" i="37"/>
  <c r="I1151" i="37"/>
  <c r="C1151" i="37"/>
  <c r="I1150" i="37"/>
  <c r="C1150" i="37"/>
  <c r="I1149" i="37"/>
  <c r="C1149" i="37"/>
  <c r="I1148" i="37"/>
  <c r="C1148" i="37"/>
  <c r="I1147" i="37"/>
  <c r="C1147" i="37"/>
  <c r="I1146" i="37"/>
  <c r="C1146" i="37"/>
  <c r="I1145" i="37"/>
  <c r="C1145" i="37"/>
  <c r="I1144" i="37"/>
  <c r="C1144" i="37"/>
  <c r="I1143" i="37"/>
  <c r="C1143" i="37"/>
  <c r="I1142" i="37"/>
  <c r="C1142" i="37"/>
  <c r="I1141" i="37"/>
  <c r="C1141" i="37"/>
  <c r="I1140" i="37"/>
  <c r="C1140" i="37"/>
  <c r="I1139" i="37"/>
  <c r="C1139" i="37"/>
  <c r="I1138" i="37"/>
  <c r="C1138" i="37"/>
  <c r="I1137" i="37"/>
  <c r="C1137" i="37"/>
  <c r="I1136" i="37"/>
  <c r="C1136" i="37"/>
  <c r="I1135" i="37"/>
  <c r="C1135" i="37"/>
  <c r="I1134" i="37"/>
  <c r="C1134" i="37"/>
  <c r="I1133" i="37"/>
  <c r="C1133" i="37"/>
  <c r="I1132" i="37"/>
  <c r="C1132" i="37"/>
  <c r="I1131" i="37"/>
  <c r="C1131" i="37"/>
  <c r="I1130" i="37"/>
  <c r="C1130" i="37"/>
  <c r="I1129" i="37"/>
  <c r="C1129" i="37"/>
  <c r="I1128" i="37"/>
  <c r="C1128" i="37"/>
  <c r="I1127" i="37"/>
  <c r="C1127" i="37"/>
  <c r="I1126" i="37"/>
  <c r="C1126" i="37"/>
  <c r="I1125" i="37"/>
  <c r="C1125" i="37"/>
  <c r="I1124" i="37"/>
  <c r="C1124" i="37"/>
  <c r="I1123" i="37"/>
  <c r="C1123" i="37"/>
  <c r="I1122" i="37"/>
  <c r="C1122" i="37"/>
  <c r="I1121" i="37"/>
  <c r="C1121" i="37"/>
  <c r="I1120" i="37"/>
  <c r="C1120" i="37"/>
  <c r="I1119" i="37"/>
  <c r="C1119" i="37"/>
  <c r="I1118" i="37"/>
  <c r="C1118" i="37"/>
  <c r="I1117" i="37"/>
  <c r="C1117" i="37"/>
  <c r="I1116" i="37"/>
  <c r="C1116" i="37"/>
  <c r="I1115" i="37"/>
  <c r="C1115" i="37"/>
  <c r="I1114" i="37"/>
  <c r="C1114" i="37"/>
  <c r="I1113" i="37"/>
  <c r="C1113" i="37"/>
  <c r="I1112" i="37"/>
  <c r="C1112" i="37"/>
  <c r="I1111" i="37"/>
  <c r="C1111" i="37"/>
  <c r="I1110" i="37"/>
  <c r="C1110" i="37"/>
  <c r="I1109" i="37"/>
  <c r="C1109" i="37"/>
  <c r="I1108" i="37"/>
  <c r="C1108" i="37"/>
  <c r="I1107" i="37"/>
  <c r="C1107" i="37"/>
  <c r="I1106" i="37"/>
  <c r="C1106" i="37"/>
  <c r="I1105" i="37"/>
  <c r="C1105" i="37"/>
  <c r="I1104" i="37"/>
  <c r="C1104" i="37"/>
  <c r="I1103" i="37"/>
  <c r="C1103" i="37"/>
  <c r="I1102" i="37"/>
  <c r="C1102" i="37"/>
  <c r="I1101" i="37"/>
  <c r="C1101" i="37"/>
  <c r="I1100" i="37"/>
  <c r="C1100" i="37"/>
  <c r="I1099" i="37"/>
  <c r="C1099" i="37"/>
  <c r="I1098" i="37"/>
  <c r="C1098" i="37"/>
  <c r="I1097" i="37"/>
  <c r="C1097" i="37"/>
  <c r="I1096" i="37"/>
  <c r="C1096" i="37"/>
  <c r="I1095" i="37"/>
  <c r="C1095" i="37"/>
  <c r="I1094" i="37"/>
  <c r="C1094" i="37"/>
  <c r="I1093" i="37"/>
  <c r="C1093" i="37"/>
  <c r="I1092" i="37"/>
  <c r="C1092" i="37"/>
  <c r="I1091" i="37"/>
  <c r="C1091" i="37"/>
  <c r="I1090" i="37"/>
  <c r="C1090" i="37"/>
  <c r="I1089" i="37"/>
  <c r="C1089" i="37"/>
  <c r="I1088" i="37"/>
  <c r="C1088" i="37"/>
  <c r="I1087" i="37"/>
  <c r="C1087" i="37"/>
  <c r="I1086" i="37"/>
  <c r="C1086" i="37"/>
  <c r="I1085" i="37"/>
  <c r="C1085" i="37"/>
  <c r="I1084" i="37"/>
  <c r="C1084" i="37"/>
  <c r="I1083" i="37"/>
  <c r="C1083" i="37"/>
  <c r="I1082" i="37"/>
  <c r="C1082" i="37"/>
  <c r="I1081" i="37"/>
  <c r="C1081" i="37"/>
  <c r="I1080" i="37"/>
  <c r="C1080" i="37"/>
  <c r="I1079" i="37"/>
  <c r="C1079" i="37"/>
  <c r="I1078" i="37"/>
  <c r="C1078" i="37"/>
  <c r="I1077" i="37"/>
  <c r="C1077" i="37"/>
  <c r="I1076" i="37"/>
  <c r="C1076" i="37"/>
  <c r="I1075" i="37"/>
  <c r="C1075" i="37"/>
  <c r="I1074" i="37"/>
  <c r="C1074" i="37"/>
  <c r="I1073" i="37"/>
  <c r="C1073" i="37"/>
  <c r="I1072" i="37"/>
  <c r="C1072" i="37"/>
  <c r="I1071" i="37"/>
  <c r="C1071" i="37"/>
  <c r="I1070" i="37"/>
  <c r="C1070" i="37"/>
  <c r="I1069" i="37"/>
  <c r="C1069" i="37"/>
  <c r="I1068" i="37"/>
  <c r="C1068" i="37"/>
  <c r="I1067" i="37"/>
  <c r="C1067" i="37"/>
  <c r="I1066" i="37"/>
  <c r="C1066" i="37"/>
  <c r="I1065" i="37"/>
  <c r="C1065" i="37"/>
  <c r="I1064" i="37"/>
  <c r="C1064" i="37"/>
  <c r="I1063" i="37"/>
  <c r="C1063" i="37"/>
  <c r="I1062" i="37"/>
  <c r="C1062" i="37"/>
  <c r="I1061" i="37"/>
  <c r="C1061" i="37"/>
  <c r="I1060" i="37"/>
  <c r="C1060" i="37"/>
  <c r="I1059" i="37"/>
  <c r="C1059" i="37"/>
  <c r="I1058" i="37"/>
  <c r="C1058" i="37"/>
  <c r="I1057" i="37"/>
  <c r="C1057" i="37"/>
  <c r="I1056" i="37"/>
  <c r="C1056" i="37"/>
  <c r="I1055" i="37"/>
  <c r="C1055" i="37"/>
  <c r="I1054" i="37"/>
  <c r="C1054" i="37"/>
  <c r="I1053" i="37"/>
  <c r="C1053" i="37"/>
  <c r="I1052" i="37"/>
  <c r="C1052" i="37"/>
  <c r="I1051" i="37"/>
  <c r="C1051" i="37"/>
  <c r="I1050" i="37"/>
  <c r="C1050" i="37"/>
  <c r="I1049" i="37"/>
  <c r="C1049" i="37"/>
  <c r="I1048" i="37"/>
  <c r="C1048" i="37"/>
  <c r="I1047" i="37"/>
  <c r="C1047" i="37"/>
  <c r="I1046" i="37"/>
  <c r="C1046" i="37"/>
  <c r="I1045" i="37"/>
  <c r="C1045" i="37"/>
  <c r="I1044" i="37"/>
  <c r="C1044" i="37"/>
  <c r="I1043" i="37"/>
  <c r="C1043" i="37"/>
  <c r="I1042" i="37"/>
  <c r="C1042" i="37"/>
  <c r="I1041" i="37"/>
  <c r="C1041" i="37"/>
  <c r="I1040" i="37"/>
  <c r="C1040" i="37"/>
  <c r="I1039" i="37"/>
  <c r="C1039" i="37"/>
  <c r="I1038" i="37"/>
  <c r="C1038" i="37"/>
  <c r="I1037" i="37"/>
  <c r="C1037" i="37"/>
  <c r="I1036" i="37"/>
  <c r="C1036" i="37"/>
  <c r="I1035" i="37"/>
  <c r="C1035" i="37"/>
  <c r="I1034" i="37"/>
  <c r="C1034" i="37"/>
  <c r="I1033" i="37"/>
  <c r="C1033" i="37"/>
  <c r="I1032" i="37"/>
  <c r="C1032" i="37"/>
  <c r="I1031" i="37"/>
  <c r="C1031" i="37"/>
  <c r="I1030" i="37"/>
  <c r="C1030" i="37"/>
  <c r="I1029" i="37"/>
  <c r="C1029" i="37"/>
  <c r="I1028" i="37"/>
  <c r="C1028" i="37"/>
  <c r="I1027" i="37"/>
  <c r="C1027" i="37"/>
  <c r="I1026" i="37"/>
  <c r="C1026" i="37"/>
  <c r="I1025" i="37"/>
  <c r="C1025" i="37"/>
  <c r="I1024" i="37"/>
  <c r="C1024" i="37"/>
  <c r="I1023" i="37"/>
  <c r="C1023" i="37"/>
  <c r="I1022" i="37"/>
  <c r="C1022" i="37"/>
  <c r="I1021" i="37"/>
  <c r="C1021" i="37"/>
  <c r="I1020" i="37"/>
  <c r="C1020" i="37"/>
  <c r="I1019" i="37"/>
  <c r="C1019" i="37"/>
  <c r="I1018" i="37"/>
  <c r="C1018" i="37"/>
  <c r="I1017" i="37"/>
  <c r="C1017" i="37"/>
  <c r="I1016" i="37"/>
  <c r="C1016" i="37"/>
  <c r="I1015" i="37"/>
  <c r="C1015" i="37"/>
  <c r="I1014" i="37"/>
  <c r="C1014" i="37"/>
  <c r="I1013" i="37"/>
  <c r="C1013" i="37"/>
  <c r="I1012" i="37"/>
  <c r="C1012" i="37"/>
  <c r="I1011" i="37"/>
  <c r="C1011" i="37"/>
  <c r="I1010" i="37"/>
  <c r="C1010" i="37"/>
  <c r="I1009" i="37"/>
  <c r="C1009" i="37"/>
  <c r="I1008" i="37"/>
  <c r="C1008" i="37"/>
  <c r="I1007" i="37"/>
  <c r="C1007" i="37"/>
  <c r="I1006" i="37"/>
  <c r="C1006" i="37"/>
  <c r="I1005" i="37"/>
  <c r="C1005" i="37"/>
  <c r="I1004" i="37"/>
  <c r="C1004" i="37"/>
  <c r="I1003" i="37"/>
  <c r="C1003" i="37"/>
  <c r="I1002" i="37"/>
  <c r="C1002" i="37"/>
  <c r="I1001" i="37"/>
  <c r="C1001" i="37"/>
  <c r="I1000" i="37"/>
  <c r="C1000" i="37"/>
  <c r="I999" i="37"/>
  <c r="C999" i="37"/>
  <c r="I998" i="37"/>
  <c r="C998" i="37"/>
  <c r="I997" i="37"/>
  <c r="C997" i="37"/>
  <c r="I996" i="37"/>
  <c r="C996" i="37"/>
  <c r="I995" i="37"/>
  <c r="C995" i="37"/>
  <c r="I994" i="37"/>
  <c r="C994" i="37"/>
  <c r="I993" i="37"/>
  <c r="C993" i="37"/>
  <c r="I992" i="37"/>
  <c r="C992" i="37"/>
  <c r="I991" i="37"/>
  <c r="C991" i="37"/>
  <c r="I990" i="37"/>
  <c r="C990" i="37"/>
  <c r="I989" i="37"/>
  <c r="C989" i="37"/>
  <c r="I988" i="37"/>
  <c r="C988" i="37"/>
  <c r="I987" i="37"/>
  <c r="C987" i="37"/>
  <c r="I986" i="37"/>
  <c r="C986" i="37"/>
  <c r="I985" i="37"/>
  <c r="C985" i="37"/>
  <c r="I984" i="37"/>
  <c r="C984" i="37"/>
  <c r="I983" i="37"/>
  <c r="C983" i="37"/>
  <c r="I982" i="37"/>
  <c r="C982" i="37"/>
  <c r="I981" i="37"/>
  <c r="C981" i="37"/>
  <c r="I980" i="37"/>
  <c r="C980" i="37"/>
  <c r="I979" i="37"/>
  <c r="C979" i="37"/>
  <c r="I978" i="37"/>
  <c r="C978" i="37"/>
  <c r="I977" i="37"/>
  <c r="C977" i="37"/>
  <c r="I976" i="37"/>
  <c r="C976" i="37"/>
  <c r="I975" i="37"/>
  <c r="C975" i="37"/>
  <c r="I974" i="37"/>
  <c r="C974" i="37"/>
  <c r="I973" i="37"/>
  <c r="C973" i="37"/>
  <c r="I972" i="37"/>
  <c r="C972" i="37"/>
  <c r="I971" i="37"/>
  <c r="C971" i="37"/>
  <c r="I970" i="37"/>
  <c r="C970" i="37"/>
  <c r="I969" i="37"/>
  <c r="C969" i="37"/>
  <c r="I968" i="37"/>
  <c r="C968" i="37"/>
  <c r="I967" i="37"/>
  <c r="C967" i="37"/>
  <c r="I966" i="37"/>
  <c r="C966" i="37"/>
  <c r="I965" i="37"/>
  <c r="C965" i="37"/>
  <c r="I964" i="37"/>
  <c r="C964" i="37"/>
  <c r="I963" i="37"/>
  <c r="C963" i="37"/>
  <c r="I962" i="37"/>
  <c r="C962" i="37"/>
  <c r="I961" i="37"/>
  <c r="C961" i="37"/>
  <c r="I960" i="37"/>
  <c r="C960" i="37"/>
  <c r="I959" i="37"/>
  <c r="C959" i="37"/>
  <c r="I958" i="37"/>
  <c r="C958" i="37"/>
  <c r="I957" i="37"/>
  <c r="C957" i="37"/>
  <c r="I956" i="37"/>
  <c r="C956" i="37"/>
  <c r="I955" i="37"/>
  <c r="C955" i="37"/>
  <c r="I954" i="37"/>
  <c r="C954" i="37"/>
  <c r="I953" i="37"/>
  <c r="C953" i="37"/>
  <c r="I952" i="37"/>
  <c r="C952" i="37"/>
  <c r="I951" i="37"/>
  <c r="C951" i="37"/>
  <c r="I950" i="37"/>
  <c r="C950" i="37"/>
  <c r="I949" i="37"/>
  <c r="C949" i="37"/>
  <c r="I948" i="37"/>
  <c r="C948" i="37"/>
  <c r="I947" i="37"/>
  <c r="C947" i="37"/>
  <c r="I946" i="37"/>
  <c r="C946" i="37"/>
  <c r="I945" i="37"/>
  <c r="C945" i="37"/>
  <c r="I944" i="37"/>
  <c r="C944" i="37"/>
  <c r="I943" i="37"/>
  <c r="C943" i="37"/>
  <c r="I942" i="37"/>
  <c r="C942" i="37"/>
  <c r="I941" i="37"/>
  <c r="C941" i="37"/>
  <c r="I940" i="37"/>
  <c r="C940" i="37"/>
  <c r="I939" i="37"/>
  <c r="C939" i="37"/>
  <c r="I938" i="37"/>
  <c r="C938" i="37"/>
  <c r="I937" i="37"/>
  <c r="C937" i="37"/>
  <c r="I936" i="37"/>
  <c r="C936" i="37"/>
  <c r="I935" i="37"/>
  <c r="C935" i="37"/>
  <c r="I934" i="37"/>
  <c r="C934" i="37"/>
  <c r="I933" i="37"/>
  <c r="C933" i="37"/>
  <c r="I932" i="37"/>
  <c r="C932" i="37"/>
  <c r="I931" i="37"/>
  <c r="C931" i="37"/>
  <c r="I930" i="37"/>
  <c r="C930" i="37"/>
  <c r="I929" i="37"/>
  <c r="C929" i="37"/>
  <c r="I928" i="37"/>
  <c r="C928" i="37"/>
  <c r="I927" i="37"/>
  <c r="C927" i="37"/>
  <c r="I926" i="37"/>
  <c r="C926" i="37"/>
  <c r="I925" i="37"/>
  <c r="C925" i="37"/>
  <c r="I924" i="37"/>
  <c r="C924" i="37"/>
  <c r="I923" i="37"/>
  <c r="C923" i="37"/>
  <c r="I922" i="37"/>
  <c r="C922" i="37"/>
  <c r="I921" i="37"/>
  <c r="C921" i="37"/>
  <c r="I920" i="37"/>
  <c r="C920" i="37"/>
  <c r="I919" i="37"/>
  <c r="C919" i="37"/>
  <c r="I918" i="37"/>
  <c r="C918" i="37"/>
  <c r="I917" i="37"/>
  <c r="C917" i="37"/>
  <c r="I916" i="37"/>
  <c r="C916" i="37"/>
  <c r="I915" i="37"/>
  <c r="C915" i="37"/>
  <c r="I914" i="37"/>
  <c r="C914" i="37"/>
  <c r="I913" i="37"/>
  <c r="C913" i="37"/>
  <c r="I912" i="37"/>
  <c r="C912" i="37"/>
  <c r="I911" i="37"/>
  <c r="C911" i="37"/>
  <c r="I910" i="37"/>
  <c r="C910" i="37"/>
  <c r="I909" i="37"/>
  <c r="C909" i="37"/>
  <c r="I908" i="37"/>
  <c r="C908" i="37"/>
  <c r="I907" i="37"/>
  <c r="C907" i="37"/>
  <c r="I906" i="37"/>
  <c r="C906" i="37"/>
  <c r="I905" i="37"/>
  <c r="C905" i="37"/>
  <c r="I904" i="37"/>
  <c r="C904" i="37"/>
  <c r="I903" i="37"/>
  <c r="C903" i="37"/>
  <c r="I902" i="37"/>
  <c r="C902" i="37"/>
  <c r="I901" i="37"/>
  <c r="C901" i="37"/>
  <c r="I900" i="37"/>
  <c r="C900" i="37"/>
  <c r="I899" i="37"/>
  <c r="C899" i="37"/>
  <c r="I898" i="37"/>
  <c r="C898" i="37"/>
  <c r="I897" i="37"/>
  <c r="C897" i="37"/>
  <c r="I896" i="37"/>
  <c r="C896" i="37"/>
  <c r="I895" i="37"/>
  <c r="C895" i="37"/>
  <c r="I894" i="37"/>
  <c r="C894" i="37"/>
  <c r="I893" i="37"/>
  <c r="C893" i="37"/>
  <c r="I892" i="37"/>
  <c r="C892" i="37"/>
  <c r="I891" i="37"/>
  <c r="C891" i="37"/>
  <c r="I890" i="37"/>
  <c r="C890" i="37"/>
  <c r="I889" i="37"/>
  <c r="C889" i="37"/>
  <c r="I888" i="37"/>
  <c r="C888" i="37"/>
  <c r="I887" i="37"/>
  <c r="C887" i="37"/>
  <c r="I886" i="37"/>
  <c r="C886" i="37"/>
  <c r="I885" i="37"/>
  <c r="C885" i="37"/>
  <c r="I884" i="37"/>
  <c r="C884" i="37"/>
  <c r="I883" i="37"/>
  <c r="C883" i="37"/>
  <c r="I882" i="37"/>
  <c r="C882" i="37"/>
  <c r="I881" i="37"/>
  <c r="C881" i="37"/>
  <c r="I880" i="37"/>
  <c r="C880" i="37"/>
  <c r="I879" i="37"/>
  <c r="C879" i="37"/>
  <c r="I878" i="37"/>
  <c r="C878" i="37"/>
  <c r="I877" i="37"/>
  <c r="C877" i="37"/>
  <c r="I876" i="37"/>
  <c r="C876" i="37"/>
  <c r="I875" i="37"/>
  <c r="C875" i="37"/>
  <c r="I874" i="37"/>
  <c r="C874" i="37"/>
  <c r="I873" i="37"/>
  <c r="C873" i="37"/>
  <c r="I872" i="37"/>
  <c r="C872" i="37"/>
  <c r="I871" i="37"/>
  <c r="C871" i="37"/>
  <c r="I870" i="37"/>
  <c r="C870" i="37"/>
  <c r="I869" i="37"/>
  <c r="C869" i="37"/>
  <c r="I868" i="37"/>
  <c r="C868" i="37"/>
  <c r="I867" i="37"/>
  <c r="C867" i="37"/>
  <c r="I866" i="37"/>
  <c r="C866" i="37"/>
  <c r="I865" i="37"/>
  <c r="C865" i="37"/>
  <c r="I864" i="37"/>
  <c r="C864" i="37"/>
  <c r="I863" i="37"/>
  <c r="C863" i="37"/>
  <c r="I862" i="37"/>
  <c r="C862" i="37"/>
  <c r="I861" i="37"/>
  <c r="C861" i="37"/>
  <c r="I860" i="37"/>
  <c r="C860" i="37"/>
  <c r="I859" i="37"/>
  <c r="C859" i="37"/>
  <c r="I858" i="37"/>
  <c r="C858" i="37"/>
  <c r="I857" i="37"/>
  <c r="C857" i="37"/>
  <c r="I856" i="37"/>
  <c r="C856" i="37"/>
  <c r="I855" i="37"/>
  <c r="C855" i="37"/>
  <c r="I854" i="37"/>
  <c r="C854" i="37"/>
  <c r="I853" i="37"/>
  <c r="C853" i="37"/>
  <c r="I852" i="37"/>
  <c r="C852" i="37"/>
  <c r="I851" i="37"/>
  <c r="C851" i="37"/>
  <c r="I850" i="37"/>
  <c r="C850" i="37"/>
  <c r="I849" i="37"/>
  <c r="C849" i="37"/>
  <c r="I848" i="37"/>
  <c r="C848" i="37"/>
  <c r="I847" i="37"/>
  <c r="C847" i="37"/>
  <c r="I846" i="37"/>
  <c r="C846" i="37"/>
  <c r="I845" i="37"/>
  <c r="C845" i="37"/>
  <c r="I844" i="37"/>
  <c r="C844" i="37"/>
  <c r="I843" i="37"/>
  <c r="C843" i="37"/>
  <c r="I842" i="37"/>
  <c r="C842" i="37"/>
  <c r="I841" i="37"/>
  <c r="C841" i="37"/>
  <c r="I840" i="37"/>
  <c r="C840" i="37"/>
  <c r="I839" i="37"/>
  <c r="C839" i="37"/>
  <c r="I838" i="37"/>
  <c r="C838" i="37"/>
  <c r="I837" i="37"/>
  <c r="C837" i="37"/>
  <c r="I836" i="37"/>
  <c r="C836" i="37"/>
  <c r="I835" i="37"/>
  <c r="C835" i="37"/>
  <c r="I834" i="37"/>
  <c r="C834" i="37"/>
  <c r="I833" i="37"/>
  <c r="C833" i="37"/>
  <c r="I832" i="37"/>
  <c r="C832" i="37"/>
  <c r="I831" i="37"/>
  <c r="C831" i="37"/>
  <c r="I830" i="37"/>
  <c r="C830" i="37"/>
  <c r="I829" i="37"/>
  <c r="C829" i="37"/>
  <c r="I828" i="37"/>
  <c r="C828" i="37"/>
  <c r="I827" i="37"/>
  <c r="C827" i="37"/>
  <c r="I826" i="37"/>
  <c r="C826" i="37"/>
  <c r="I825" i="37"/>
  <c r="C825" i="37"/>
  <c r="I824" i="37"/>
  <c r="C824" i="37"/>
  <c r="I823" i="37"/>
  <c r="C823" i="37"/>
  <c r="I822" i="37"/>
  <c r="C822" i="37"/>
  <c r="I821" i="37"/>
  <c r="C821" i="37"/>
  <c r="I820" i="37"/>
  <c r="C820" i="37"/>
  <c r="I819" i="37"/>
  <c r="C819" i="37"/>
  <c r="I818" i="37"/>
  <c r="C818" i="37"/>
  <c r="I817" i="37"/>
  <c r="C817" i="37"/>
  <c r="I816" i="37"/>
  <c r="C816" i="37"/>
  <c r="I815" i="37"/>
  <c r="C815" i="37"/>
  <c r="I814" i="37"/>
  <c r="C814" i="37"/>
  <c r="I813" i="37"/>
  <c r="C813" i="37"/>
  <c r="I812" i="37"/>
  <c r="C812" i="37"/>
  <c r="I811" i="37"/>
  <c r="C811" i="37"/>
  <c r="I810" i="37"/>
  <c r="C810" i="37"/>
  <c r="I809" i="37"/>
  <c r="C809" i="37"/>
  <c r="I808" i="37"/>
  <c r="C808" i="37"/>
  <c r="I807" i="37"/>
  <c r="C807" i="37"/>
  <c r="I806" i="37"/>
  <c r="C806" i="37"/>
  <c r="I805" i="37"/>
  <c r="C805" i="37"/>
  <c r="I804" i="37"/>
  <c r="C804" i="37"/>
  <c r="I803" i="37"/>
  <c r="C803" i="37"/>
  <c r="I802" i="37"/>
  <c r="C802" i="37"/>
  <c r="I801" i="37"/>
  <c r="C801" i="37"/>
  <c r="I800" i="37"/>
  <c r="C800" i="37"/>
  <c r="I799" i="37"/>
  <c r="C799" i="37"/>
  <c r="I798" i="37"/>
  <c r="C798" i="37"/>
  <c r="I797" i="37"/>
  <c r="C797" i="37"/>
  <c r="I796" i="37"/>
  <c r="C796" i="37"/>
  <c r="I795" i="37"/>
  <c r="C795" i="37"/>
  <c r="I794" i="37"/>
  <c r="C794" i="37"/>
  <c r="I793" i="37"/>
  <c r="C793" i="37"/>
  <c r="I792" i="37"/>
  <c r="C792" i="37"/>
  <c r="I791" i="37"/>
  <c r="C791" i="37"/>
  <c r="I790" i="37"/>
  <c r="C790" i="37"/>
  <c r="I789" i="37"/>
  <c r="C789" i="37"/>
  <c r="I788" i="37"/>
  <c r="C788" i="37"/>
  <c r="I787" i="37"/>
  <c r="C787" i="37"/>
  <c r="I786" i="37"/>
  <c r="C786" i="37"/>
  <c r="I785" i="37"/>
  <c r="C785" i="37"/>
  <c r="I784" i="37"/>
  <c r="C784" i="37"/>
  <c r="I783" i="37"/>
  <c r="C783" i="37"/>
  <c r="I782" i="37"/>
  <c r="C782" i="37"/>
  <c r="I781" i="37"/>
  <c r="C781" i="37"/>
  <c r="I780" i="37"/>
  <c r="C780" i="37"/>
  <c r="I779" i="37"/>
  <c r="C779" i="37"/>
  <c r="I778" i="37"/>
  <c r="C778" i="37"/>
  <c r="I777" i="37"/>
  <c r="C777" i="37"/>
  <c r="I776" i="37"/>
  <c r="C776" i="37"/>
  <c r="I775" i="37"/>
  <c r="C775" i="37"/>
  <c r="I774" i="37"/>
  <c r="C774" i="37"/>
  <c r="I773" i="37"/>
  <c r="C773" i="37"/>
  <c r="I772" i="37"/>
  <c r="C772" i="37"/>
  <c r="I771" i="37"/>
  <c r="C771" i="37"/>
  <c r="I770" i="37"/>
  <c r="C770" i="37"/>
  <c r="I769" i="37"/>
  <c r="C769" i="37"/>
  <c r="I768" i="37"/>
  <c r="C768" i="37"/>
  <c r="I767" i="37"/>
  <c r="C767" i="37"/>
  <c r="I766" i="37"/>
  <c r="C766" i="37"/>
  <c r="I765" i="37"/>
  <c r="C765" i="37"/>
  <c r="I764" i="37"/>
  <c r="C764" i="37"/>
  <c r="I763" i="37"/>
  <c r="C763" i="37"/>
  <c r="I762" i="37"/>
  <c r="C762" i="37"/>
  <c r="I761" i="37"/>
  <c r="C761" i="37"/>
  <c r="I760" i="37"/>
  <c r="C760" i="37"/>
  <c r="I759" i="37"/>
  <c r="C759" i="37"/>
  <c r="I758" i="37"/>
  <c r="C758" i="37"/>
  <c r="I757" i="37"/>
  <c r="C757" i="37"/>
  <c r="I756" i="37"/>
  <c r="C756" i="37"/>
  <c r="I755" i="37"/>
  <c r="C755" i="37"/>
  <c r="I754" i="37"/>
  <c r="C754" i="37"/>
  <c r="I753" i="37"/>
  <c r="C753" i="37"/>
  <c r="I752" i="37"/>
  <c r="C752" i="37"/>
  <c r="I751" i="37"/>
  <c r="C751" i="37"/>
  <c r="I750" i="37"/>
  <c r="C750" i="37"/>
  <c r="I749" i="37"/>
  <c r="C749" i="37"/>
  <c r="I748" i="37"/>
  <c r="C748" i="37"/>
  <c r="I747" i="37"/>
  <c r="C747" i="37"/>
  <c r="I746" i="37"/>
  <c r="C746" i="37"/>
  <c r="I745" i="37"/>
  <c r="C745" i="37"/>
  <c r="I744" i="37"/>
  <c r="C744" i="37"/>
  <c r="I743" i="37"/>
  <c r="C743" i="37"/>
  <c r="I742" i="37"/>
  <c r="C742" i="37"/>
  <c r="I741" i="37"/>
  <c r="C741" i="37"/>
  <c r="I740" i="37"/>
  <c r="C740" i="37"/>
  <c r="I739" i="37"/>
  <c r="C739" i="37"/>
  <c r="I738" i="37"/>
  <c r="C738" i="37"/>
  <c r="I737" i="37"/>
  <c r="C737" i="37"/>
  <c r="I736" i="37"/>
  <c r="C736" i="37"/>
  <c r="I735" i="37"/>
  <c r="C735" i="37"/>
  <c r="I734" i="37"/>
  <c r="C734" i="37"/>
  <c r="I733" i="37"/>
  <c r="C733" i="37"/>
  <c r="I732" i="37"/>
  <c r="C732" i="37"/>
  <c r="I731" i="37"/>
  <c r="C731" i="37"/>
  <c r="I730" i="37"/>
  <c r="C730" i="37"/>
  <c r="I729" i="37"/>
  <c r="C729" i="37"/>
  <c r="I728" i="37"/>
  <c r="C728" i="37"/>
  <c r="I727" i="37"/>
  <c r="C727" i="37"/>
  <c r="I726" i="37"/>
  <c r="C726" i="37"/>
  <c r="I725" i="37"/>
  <c r="C725" i="37"/>
  <c r="I724" i="37"/>
  <c r="C724" i="37"/>
  <c r="I723" i="37"/>
  <c r="C723" i="37"/>
  <c r="I722" i="37"/>
  <c r="C722" i="37"/>
  <c r="I721" i="37"/>
  <c r="C721" i="37"/>
  <c r="I720" i="37"/>
  <c r="C720" i="37"/>
  <c r="I719" i="37"/>
  <c r="C719" i="37"/>
  <c r="I718" i="37"/>
  <c r="C718" i="37"/>
  <c r="I717" i="37"/>
  <c r="C717" i="37"/>
  <c r="I716" i="37"/>
  <c r="C716" i="37"/>
  <c r="I715" i="37"/>
  <c r="C715" i="37"/>
  <c r="I714" i="37"/>
  <c r="C714" i="37"/>
  <c r="I713" i="37"/>
  <c r="C713" i="37"/>
  <c r="I712" i="37"/>
  <c r="C712" i="37"/>
  <c r="I711" i="37"/>
  <c r="C711" i="37"/>
  <c r="I710" i="37"/>
  <c r="C710" i="37"/>
  <c r="I709" i="37"/>
  <c r="C709" i="37"/>
  <c r="I708" i="37"/>
  <c r="C708" i="37"/>
  <c r="I707" i="37"/>
  <c r="C707" i="37"/>
  <c r="I706" i="37"/>
  <c r="C706" i="37"/>
  <c r="I705" i="37"/>
  <c r="C705" i="37"/>
  <c r="I704" i="37"/>
  <c r="C704" i="37"/>
  <c r="I703" i="37"/>
  <c r="C703" i="37"/>
  <c r="I702" i="37"/>
  <c r="C702" i="37"/>
  <c r="I701" i="37"/>
  <c r="C701" i="37"/>
  <c r="I700" i="37"/>
  <c r="C700" i="37"/>
  <c r="I699" i="37"/>
  <c r="C699" i="37"/>
  <c r="I698" i="37"/>
  <c r="C698" i="37"/>
  <c r="I697" i="37"/>
  <c r="C697" i="37"/>
  <c r="I696" i="37"/>
  <c r="C696" i="37"/>
  <c r="I695" i="37"/>
  <c r="C695" i="37"/>
  <c r="I694" i="37"/>
  <c r="C694" i="37"/>
  <c r="I693" i="37"/>
  <c r="C693" i="37"/>
  <c r="I692" i="37"/>
  <c r="C692" i="37"/>
  <c r="I691" i="37"/>
  <c r="C691" i="37"/>
  <c r="I690" i="37"/>
  <c r="C690" i="37"/>
  <c r="I689" i="37"/>
  <c r="C689" i="37"/>
  <c r="I688" i="37"/>
  <c r="C688" i="37"/>
  <c r="I687" i="37"/>
  <c r="C687" i="37"/>
  <c r="I686" i="37"/>
  <c r="C686" i="37"/>
  <c r="I685" i="37"/>
  <c r="C685" i="37"/>
  <c r="I684" i="37"/>
  <c r="C684" i="37"/>
  <c r="I683" i="37"/>
  <c r="C683" i="37"/>
  <c r="I682" i="37"/>
  <c r="C682" i="37"/>
  <c r="I681" i="37"/>
  <c r="C681" i="37"/>
  <c r="I680" i="37"/>
  <c r="C680" i="37"/>
  <c r="I679" i="37"/>
  <c r="C679" i="37"/>
  <c r="I678" i="37"/>
  <c r="C678" i="37"/>
  <c r="I677" i="37"/>
  <c r="C677" i="37"/>
  <c r="I676" i="37"/>
  <c r="C676" i="37"/>
  <c r="I675" i="37"/>
  <c r="C675" i="37"/>
  <c r="I674" i="37"/>
  <c r="C674" i="37"/>
  <c r="I673" i="37"/>
  <c r="C673" i="37"/>
  <c r="I672" i="37"/>
  <c r="C672" i="37"/>
  <c r="I671" i="37"/>
  <c r="C671" i="37"/>
  <c r="I670" i="37"/>
  <c r="C670" i="37"/>
  <c r="I669" i="37"/>
  <c r="C669" i="37"/>
  <c r="I668" i="37"/>
  <c r="C668" i="37"/>
  <c r="I667" i="37"/>
  <c r="C667" i="37"/>
  <c r="I666" i="37"/>
  <c r="C666" i="37"/>
  <c r="I665" i="37"/>
  <c r="C665" i="37"/>
  <c r="I664" i="37"/>
  <c r="C664" i="37"/>
  <c r="I663" i="37"/>
  <c r="C663" i="37"/>
  <c r="I662" i="37"/>
  <c r="C662" i="37"/>
  <c r="I661" i="37"/>
  <c r="C661" i="37"/>
  <c r="I660" i="37"/>
  <c r="C660" i="37"/>
  <c r="I659" i="37"/>
  <c r="C659" i="37"/>
  <c r="I658" i="37"/>
  <c r="C658" i="37"/>
  <c r="I657" i="37"/>
  <c r="C657" i="37"/>
  <c r="I656" i="37"/>
  <c r="C656" i="37"/>
  <c r="I655" i="37"/>
  <c r="C655" i="37"/>
  <c r="I654" i="37"/>
  <c r="C654" i="37"/>
  <c r="I653" i="37"/>
  <c r="C653" i="37"/>
  <c r="I652" i="37"/>
  <c r="C652" i="37"/>
  <c r="I651" i="37"/>
  <c r="C651" i="37"/>
  <c r="I650" i="37"/>
  <c r="C650" i="37"/>
  <c r="I649" i="37"/>
  <c r="C649" i="37"/>
  <c r="I648" i="37"/>
  <c r="C648" i="37"/>
  <c r="I647" i="37"/>
  <c r="C647" i="37"/>
  <c r="I646" i="37"/>
  <c r="C646" i="37"/>
  <c r="I645" i="37"/>
  <c r="C645" i="37"/>
  <c r="I644" i="37"/>
  <c r="C644" i="37"/>
  <c r="I643" i="37"/>
  <c r="C643" i="37"/>
  <c r="I642" i="37"/>
  <c r="C642" i="37"/>
  <c r="I641" i="37"/>
  <c r="C641" i="37"/>
  <c r="I640" i="37"/>
  <c r="C640" i="37"/>
  <c r="I639" i="37"/>
  <c r="C639" i="37"/>
  <c r="I638" i="37"/>
  <c r="C638" i="37"/>
  <c r="I637" i="37"/>
  <c r="C637" i="37"/>
  <c r="I636" i="37"/>
  <c r="C636" i="37"/>
  <c r="I635" i="37"/>
  <c r="C635" i="37"/>
  <c r="I634" i="37"/>
  <c r="C634" i="37"/>
  <c r="I633" i="37"/>
  <c r="C633" i="37"/>
  <c r="I632" i="37"/>
  <c r="C632" i="37"/>
  <c r="I631" i="37"/>
  <c r="C631" i="37"/>
  <c r="I630" i="37"/>
  <c r="C630" i="37"/>
  <c r="I629" i="37"/>
  <c r="C629" i="37"/>
  <c r="I628" i="37"/>
  <c r="C628" i="37"/>
  <c r="I627" i="37"/>
  <c r="C627" i="37"/>
  <c r="I626" i="37"/>
  <c r="C626" i="37"/>
  <c r="I625" i="37"/>
  <c r="C625" i="37"/>
  <c r="I624" i="37"/>
  <c r="C624" i="37"/>
  <c r="I623" i="37"/>
  <c r="C623" i="37"/>
  <c r="I622" i="37"/>
  <c r="C622" i="37"/>
  <c r="I621" i="37"/>
  <c r="C621" i="37"/>
  <c r="I620" i="37"/>
  <c r="C620" i="37"/>
  <c r="I619" i="37"/>
  <c r="C619" i="37"/>
  <c r="I618" i="37"/>
  <c r="C618" i="37"/>
  <c r="I617" i="37"/>
  <c r="C617" i="37"/>
  <c r="I616" i="37"/>
  <c r="C616" i="37"/>
  <c r="I615" i="37"/>
  <c r="C615" i="37"/>
  <c r="I614" i="37"/>
  <c r="C614" i="37"/>
  <c r="I613" i="37"/>
  <c r="C613" i="37"/>
  <c r="I612" i="37"/>
  <c r="C612" i="37"/>
  <c r="I611" i="37"/>
  <c r="C611" i="37"/>
  <c r="I610" i="37"/>
  <c r="C610" i="37"/>
  <c r="I609" i="37"/>
  <c r="C609" i="37"/>
  <c r="I608" i="37"/>
  <c r="C608" i="37"/>
  <c r="I607" i="37"/>
  <c r="C607" i="37"/>
  <c r="I606" i="37"/>
  <c r="C606" i="37"/>
  <c r="I605" i="37"/>
  <c r="C605" i="37"/>
  <c r="I604" i="37"/>
  <c r="C604" i="37"/>
  <c r="I603" i="37"/>
  <c r="C603" i="37"/>
  <c r="I602" i="37"/>
  <c r="C602" i="37"/>
  <c r="I601" i="37"/>
  <c r="C601" i="37"/>
  <c r="I600" i="37"/>
  <c r="C600" i="37"/>
  <c r="I599" i="37"/>
  <c r="C599" i="37"/>
  <c r="I598" i="37"/>
  <c r="C598" i="37"/>
  <c r="I597" i="37"/>
  <c r="C597" i="37"/>
  <c r="I596" i="37"/>
  <c r="C596" i="37"/>
  <c r="I595" i="37"/>
  <c r="C595" i="37"/>
  <c r="I594" i="37"/>
  <c r="C594" i="37"/>
  <c r="I593" i="37"/>
  <c r="C593" i="37"/>
  <c r="I592" i="37"/>
  <c r="C592" i="37"/>
  <c r="I591" i="37"/>
  <c r="C591" i="37"/>
  <c r="I590" i="37"/>
  <c r="C590" i="37"/>
  <c r="I589" i="37"/>
  <c r="C589" i="37"/>
  <c r="I588" i="37"/>
  <c r="C588" i="37"/>
  <c r="I587" i="37"/>
  <c r="C587" i="37"/>
  <c r="I586" i="37"/>
  <c r="C586" i="37"/>
  <c r="I585" i="37"/>
  <c r="C585" i="37"/>
  <c r="I584" i="37"/>
  <c r="C584" i="37"/>
  <c r="I583" i="37"/>
  <c r="C583" i="37"/>
  <c r="I582" i="37"/>
  <c r="C582" i="37"/>
  <c r="I581" i="37"/>
  <c r="C581" i="37"/>
  <c r="I580" i="37"/>
  <c r="C580" i="37"/>
  <c r="I579" i="37"/>
  <c r="C579" i="37"/>
  <c r="I578" i="37"/>
  <c r="C578" i="37"/>
  <c r="I577" i="37"/>
  <c r="C577" i="37"/>
  <c r="I576" i="37"/>
  <c r="C576" i="37"/>
  <c r="I575" i="37"/>
  <c r="C575" i="37"/>
  <c r="I574" i="37"/>
  <c r="C574" i="37"/>
  <c r="I573" i="37"/>
  <c r="C573" i="37"/>
  <c r="I572" i="37"/>
  <c r="C572" i="37"/>
  <c r="I571" i="37"/>
  <c r="C571" i="37"/>
  <c r="I570" i="37"/>
  <c r="C570" i="37"/>
  <c r="I569" i="37"/>
  <c r="C569" i="37"/>
  <c r="I568" i="37"/>
  <c r="C568" i="37"/>
  <c r="I567" i="37"/>
  <c r="C567" i="37"/>
  <c r="I566" i="37"/>
  <c r="C566" i="37"/>
  <c r="I565" i="37"/>
  <c r="C565" i="37"/>
  <c r="I564" i="37"/>
  <c r="C564" i="37"/>
  <c r="I563" i="37"/>
  <c r="C563" i="37"/>
  <c r="I562" i="37"/>
  <c r="C562" i="37"/>
  <c r="I561" i="37"/>
  <c r="C561" i="37"/>
  <c r="I560" i="37"/>
  <c r="C560" i="37"/>
  <c r="I559" i="37"/>
  <c r="C559" i="37"/>
  <c r="I558" i="37"/>
  <c r="C558" i="37"/>
  <c r="I557" i="37"/>
  <c r="C557" i="37"/>
  <c r="I556" i="37"/>
  <c r="C556" i="37"/>
  <c r="I555" i="37"/>
  <c r="C555" i="37"/>
  <c r="I554" i="37"/>
  <c r="C554" i="37"/>
  <c r="I553" i="37"/>
  <c r="C553" i="37"/>
  <c r="I552" i="37"/>
  <c r="C552" i="37"/>
  <c r="I551" i="37"/>
  <c r="C551" i="37"/>
  <c r="I550" i="37"/>
  <c r="C550" i="37"/>
  <c r="I549" i="37"/>
  <c r="C549" i="37"/>
  <c r="I548" i="37"/>
  <c r="C548" i="37"/>
  <c r="I547" i="37"/>
  <c r="C547" i="37"/>
  <c r="I546" i="37"/>
  <c r="C546" i="37"/>
  <c r="I545" i="37"/>
  <c r="C545" i="37"/>
  <c r="I544" i="37"/>
  <c r="C544" i="37"/>
  <c r="I543" i="37"/>
  <c r="C543" i="37"/>
  <c r="I542" i="37"/>
  <c r="C542" i="37"/>
  <c r="I541" i="37"/>
  <c r="C541" i="37"/>
  <c r="I540" i="37"/>
  <c r="C540" i="37"/>
  <c r="I539" i="37"/>
  <c r="C539" i="37"/>
  <c r="I538" i="37"/>
  <c r="C538" i="37"/>
  <c r="I537" i="37"/>
  <c r="C537" i="37"/>
  <c r="I536" i="37"/>
  <c r="C536" i="37"/>
  <c r="I535" i="37"/>
  <c r="C535" i="37"/>
  <c r="I534" i="37"/>
  <c r="C534" i="37"/>
  <c r="I533" i="37"/>
  <c r="C533" i="37"/>
  <c r="I532" i="37"/>
  <c r="C532" i="37"/>
  <c r="I531" i="37"/>
  <c r="C531" i="37"/>
  <c r="I530" i="37"/>
  <c r="C530" i="37"/>
  <c r="I529" i="37"/>
  <c r="C529" i="37"/>
  <c r="I528" i="37"/>
  <c r="C528" i="37"/>
  <c r="I527" i="37"/>
  <c r="C527" i="37"/>
  <c r="I526" i="37"/>
  <c r="C526" i="37"/>
  <c r="I525" i="37"/>
  <c r="C525" i="37"/>
  <c r="I524" i="37"/>
  <c r="C524" i="37"/>
  <c r="I523" i="37"/>
  <c r="C523" i="37"/>
  <c r="I522" i="37"/>
  <c r="C522" i="37"/>
  <c r="I521" i="37"/>
  <c r="C521" i="37"/>
  <c r="I520" i="37"/>
  <c r="C520" i="37"/>
  <c r="I519" i="37"/>
  <c r="C519" i="37"/>
  <c r="I518" i="37"/>
  <c r="C518" i="37"/>
  <c r="I517" i="37"/>
  <c r="C517" i="37"/>
  <c r="I516" i="37"/>
  <c r="C516" i="37"/>
  <c r="I515" i="37"/>
  <c r="C515" i="37"/>
  <c r="I514" i="37"/>
  <c r="C514" i="37"/>
  <c r="I513" i="37"/>
  <c r="C513" i="37"/>
  <c r="I512" i="37"/>
  <c r="C512" i="37"/>
  <c r="I511" i="37"/>
  <c r="C511" i="37"/>
  <c r="I510" i="37"/>
  <c r="C510" i="37"/>
  <c r="I509" i="37"/>
  <c r="C509" i="37"/>
  <c r="I508" i="37"/>
  <c r="C508" i="37"/>
  <c r="I507" i="37"/>
  <c r="C507" i="37"/>
  <c r="I506" i="37"/>
  <c r="C506" i="37"/>
  <c r="I505" i="37"/>
  <c r="C505" i="37"/>
  <c r="I504" i="37"/>
  <c r="C504" i="37"/>
  <c r="I503" i="37"/>
  <c r="C503" i="37"/>
  <c r="I502" i="37"/>
  <c r="C502" i="37"/>
  <c r="I501" i="37"/>
  <c r="C501" i="37"/>
  <c r="I500" i="37"/>
  <c r="C500" i="37"/>
  <c r="I499" i="37"/>
  <c r="C499" i="37"/>
  <c r="I498" i="37"/>
  <c r="C498" i="37"/>
  <c r="I497" i="37"/>
  <c r="C497" i="37"/>
  <c r="I496" i="37"/>
  <c r="C496" i="37"/>
  <c r="I495" i="37"/>
  <c r="C495" i="37"/>
  <c r="I494" i="37"/>
  <c r="C494" i="37"/>
  <c r="I493" i="37"/>
  <c r="C493" i="37"/>
  <c r="I492" i="37"/>
  <c r="C492" i="37"/>
  <c r="I491" i="37"/>
  <c r="C491" i="37"/>
  <c r="I490" i="37"/>
  <c r="C490" i="37"/>
  <c r="I489" i="37"/>
  <c r="C489" i="37"/>
  <c r="I488" i="37"/>
  <c r="C488" i="37"/>
  <c r="I487" i="37"/>
  <c r="C487" i="37"/>
  <c r="I486" i="37"/>
  <c r="C486" i="37"/>
  <c r="I485" i="37"/>
  <c r="C485" i="37"/>
  <c r="I484" i="37"/>
  <c r="C484" i="37"/>
  <c r="I483" i="37"/>
  <c r="C483" i="37"/>
  <c r="I482" i="37"/>
  <c r="C482" i="37"/>
  <c r="I481" i="37"/>
  <c r="C481" i="37"/>
  <c r="I480" i="37"/>
  <c r="C480" i="37"/>
  <c r="I479" i="37"/>
  <c r="C479" i="37"/>
  <c r="I478" i="37"/>
  <c r="C478" i="37"/>
  <c r="I477" i="37"/>
  <c r="C477" i="37"/>
  <c r="I476" i="37"/>
  <c r="C476" i="37"/>
  <c r="I475" i="37"/>
  <c r="C475" i="37"/>
  <c r="I474" i="37"/>
  <c r="C474" i="37"/>
  <c r="I473" i="37"/>
  <c r="C473" i="37"/>
  <c r="I472" i="37"/>
  <c r="C472" i="37"/>
  <c r="I471" i="37"/>
  <c r="C471" i="37"/>
  <c r="I470" i="37"/>
  <c r="C470" i="37"/>
  <c r="I469" i="37"/>
  <c r="C469" i="37"/>
  <c r="I468" i="37"/>
  <c r="C468" i="37"/>
  <c r="I467" i="37"/>
  <c r="C467" i="37"/>
  <c r="I466" i="37"/>
  <c r="C466" i="37"/>
  <c r="I465" i="37"/>
  <c r="C465" i="37"/>
  <c r="I464" i="37"/>
  <c r="C464" i="37"/>
  <c r="I463" i="37"/>
  <c r="C463" i="37"/>
  <c r="I462" i="37"/>
  <c r="C462" i="37"/>
  <c r="I461" i="37"/>
  <c r="C461" i="37"/>
  <c r="I460" i="37"/>
  <c r="C460" i="37"/>
  <c r="I459" i="37"/>
  <c r="C459" i="37"/>
  <c r="I458" i="37"/>
  <c r="C458" i="37"/>
  <c r="I457" i="37"/>
  <c r="C457" i="37"/>
  <c r="I456" i="37"/>
  <c r="C456" i="37"/>
  <c r="I455" i="37"/>
  <c r="C455" i="37"/>
  <c r="I454" i="37"/>
  <c r="C454" i="37"/>
  <c r="I453" i="37"/>
  <c r="C453" i="37"/>
  <c r="I452" i="37"/>
  <c r="C452" i="37"/>
  <c r="I451" i="37"/>
  <c r="C451" i="37"/>
  <c r="I450" i="37"/>
  <c r="C450" i="37"/>
  <c r="I449" i="37"/>
  <c r="C449" i="37"/>
  <c r="I448" i="37"/>
  <c r="C448" i="37"/>
  <c r="I447" i="37"/>
  <c r="C447" i="37"/>
  <c r="I446" i="37"/>
  <c r="C446" i="37"/>
  <c r="I445" i="37"/>
  <c r="C445" i="37"/>
  <c r="I444" i="37"/>
  <c r="C444" i="37"/>
  <c r="I443" i="37"/>
  <c r="C443" i="37"/>
  <c r="I442" i="37"/>
  <c r="C442" i="37"/>
  <c r="I441" i="37"/>
  <c r="C441" i="37"/>
  <c r="I440" i="37"/>
  <c r="C440" i="37"/>
  <c r="I439" i="37"/>
  <c r="C439" i="37"/>
  <c r="I438" i="37"/>
  <c r="C438" i="37"/>
  <c r="I437" i="37"/>
  <c r="C437" i="37"/>
  <c r="I436" i="37"/>
  <c r="C436" i="37"/>
  <c r="I435" i="37"/>
  <c r="C435" i="37"/>
  <c r="I434" i="37"/>
  <c r="C434" i="37"/>
  <c r="I433" i="37"/>
  <c r="C433" i="37"/>
  <c r="I432" i="37"/>
  <c r="C432" i="37"/>
  <c r="I431" i="37"/>
  <c r="C431" i="37"/>
  <c r="I430" i="37"/>
  <c r="C430" i="37"/>
  <c r="I429" i="37"/>
  <c r="C429" i="37"/>
  <c r="I428" i="37"/>
  <c r="C428" i="37"/>
  <c r="I427" i="37"/>
  <c r="C427" i="37"/>
  <c r="I426" i="37"/>
  <c r="C426" i="37"/>
  <c r="I425" i="37"/>
  <c r="C425" i="37"/>
  <c r="I424" i="37"/>
  <c r="C424" i="37"/>
  <c r="I423" i="37"/>
  <c r="C423" i="37"/>
  <c r="I422" i="37"/>
  <c r="C422" i="37"/>
  <c r="I421" i="37"/>
  <c r="C421" i="37"/>
  <c r="I420" i="37"/>
  <c r="C420" i="37"/>
  <c r="I419" i="37"/>
  <c r="C419" i="37"/>
  <c r="I418" i="37"/>
  <c r="C418" i="37"/>
  <c r="I417" i="37"/>
  <c r="C417" i="37"/>
  <c r="I416" i="37"/>
  <c r="C416" i="37"/>
  <c r="I415" i="37"/>
  <c r="C415" i="37"/>
  <c r="I414" i="37"/>
  <c r="C414" i="37"/>
  <c r="I413" i="37"/>
  <c r="C413" i="37"/>
  <c r="I412" i="37"/>
  <c r="C412" i="37"/>
  <c r="I411" i="37"/>
  <c r="C411" i="37"/>
  <c r="I410" i="37"/>
  <c r="C410" i="37"/>
  <c r="I409" i="37"/>
  <c r="C409" i="37"/>
  <c r="I408" i="37"/>
  <c r="C408" i="37"/>
  <c r="I407" i="37"/>
  <c r="C407" i="37"/>
  <c r="I406" i="37"/>
  <c r="C406" i="37"/>
  <c r="I405" i="37"/>
  <c r="C405" i="37"/>
  <c r="I404" i="37"/>
  <c r="C404" i="37"/>
  <c r="I403" i="37"/>
  <c r="C403" i="37"/>
  <c r="I402" i="37"/>
  <c r="C402" i="37"/>
  <c r="I401" i="37"/>
  <c r="C401" i="37"/>
  <c r="I400" i="37"/>
  <c r="C400" i="37"/>
  <c r="I399" i="37"/>
  <c r="C399" i="37"/>
  <c r="I398" i="37"/>
  <c r="C398" i="37"/>
  <c r="I397" i="37"/>
  <c r="C397" i="37"/>
  <c r="I396" i="37"/>
  <c r="C396" i="37"/>
  <c r="I395" i="37"/>
  <c r="C395" i="37"/>
  <c r="I394" i="37"/>
  <c r="C394" i="37"/>
  <c r="I393" i="37"/>
  <c r="C393" i="37"/>
  <c r="I392" i="37"/>
  <c r="C392" i="37"/>
  <c r="I391" i="37"/>
  <c r="C391" i="37"/>
  <c r="I390" i="37"/>
  <c r="C390" i="37"/>
  <c r="I389" i="37"/>
  <c r="C389" i="37"/>
  <c r="I388" i="37"/>
  <c r="C388" i="37"/>
  <c r="I387" i="37"/>
  <c r="C387" i="37"/>
  <c r="I386" i="37"/>
  <c r="C386" i="37"/>
  <c r="I385" i="37"/>
  <c r="C385" i="37"/>
  <c r="I384" i="37"/>
  <c r="C384" i="37"/>
  <c r="I383" i="37"/>
  <c r="C383" i="37"/>
  <c r="I382" i="37"/>
  <c r="C382" i="37"/>
  <c r="I381" i="37"/>
  <c r="C381" i="37"/>
  <c r="I380" i="37"/>
  <c r="C380" i="37"/>
  <c r="I379" i="37"/>
  <c r="C379" i="37"/>
  <c r="I378" i="37"/>
  <c r="C378" i="37"/>
  <c r="I377" i="37"/>
  <c r="C377" i="37"/>
  <c r="I376" i="37"/>
  <c r="C376" i="37"/>
  <c r="I375" i="37"/>
  <c r="C375" i="37"/>
  <c r="I374" i="37"/>
  <c r="C374" i="37"/>
  <c r="I373" i="37"/>
  <c r="C373" i="37"/>
  <c r="I372" i="37"/>
  <c r="C372" i="37"/>
  <c r="I371" i="37"/>
  <c r="C371" i="37"/>
  <c r="I370" i="37"/>
  <c r="C370" i="37"/>
  <c r="I369" i="37"/>
  <c r="C369" i="37"/>
  <c r="I368" i="37"/>
  <c r="C368" i="37"/>
  <c r="I367" i="37"/>
  <c r="C367" i="37"/>
  <c r="I366" i="37"/>
  <c r="C366" i="37"/>
  <c r="I365" i="37"/>
  <c r="C365" i="37"/>
  <c r="I364" i="37"/>
  <c r="C364" i="37"/>
  <c r="I363" i="37"/>
  <c r="C363" i="37"/>
  <c r="I362" i="37"/>
  <c r="C362" i="37"/>
  <c r="I361" i="37"/>
  <c r="C361" i="37"/>
  <c r="I360" i="37"/>
  <c r="C360" i="37"/>
  <c r="I359" i="37"/>
  <c r="C359" i="37"/>
  <c r="I358" i="37"/>
  <c r="C358" i="37"/>
  <c r="I357" i="37"/>
  <c r="C357" i="37"/>
  <c r="I356" i="37"/>
  <c r="C356" i="37"/>
  <c r="I355" i="37"/>
  <c r="C355" i="37"/>
  <c r="I354" i="37"/>
  <c r="C354" i="37"/>
  <c r="I353" i="37"/>
  <c r="C353" i="37"/>
  <c r="I352" i="37"/>
  <c r="C352" i="37"/>
  <c r="I351" i="37"/>
  <c r="C351" i="37"/>
  <c r="I350" i="37"/>
  <c r="C350" i="37"/>
  <c r="I349" i="37"/>
  <c r="C349" i="37"/>
  <c r="I348" i="37"/>
  <c r="C348" i="37"/>
  <c r="I347" i="37"/>
  <c r="C347" i="37"/>
  <c r="I346" i="37"/>
  <c r="C346" i="37"/>
  <c r="I345" i="37"/>
  <c r="C345" i="37"/>
  <c r="I344" i="37"/>
  <c r="C344" i="37"/>
  <c r="I343" i="37"/>
  <c r="C343" i="37"/>
  <c r="I342" i="37"/>
  <c r="C342" i="37"/>
  <c r="I341" i="37"/>
  <c r="C341" i="37"/>
  <c r="I340" i="37"/>
  <c r="C340" i="37"/>
  <c r="I339" i="37"/>
  <c r="C339" i="37"/>
  <c r="I338" i="37"/>
  <c r="C338" i="37"/>
  <c r="I337" i="37"/>
  <c r="C337" i="37"/>
  <c r="I336" i="37"/>
  <c r="C336" i="37"/>
  <c r="I335" i="37"/>
  <c r="C335" i="37"/>
  <c r="I334" i="37"/>
  <c r="C334" i="37"/>
  <c r="I333" i="37"/>
  <c r="C333" i="37"/>
  <c r="I332" i="37"/>
  <c r="C332" i="37"/>
  <c r="I331" i="37"/>
  <c r="C331" i="37"/>
  <c r="I330" i="37"/>
  <c r="C330" i="37"/>
  <c r="I329" i="37"/>
  <c r="C329" i="37"/>
  <c r="I328" i="37"/>
  <c r="C328" i="37"/>
  <c r="I327" i="37"/>
  <c r="C327" i="37"/>
  <c r="I326" i="37"/>
  <c r="C326" i="37"/>
  <c r="I325" i="37"/>
  <c r="C325" i="37"/>
  <c r="I324" i="37"/>
  <c r="C324" i="37"/>
  <c r="I323" i="37"/>
  <c r="C323" i="37"/>
  <c r="I322" i="37"/>
  <c r="C322" i="37"/>
  <c r="I321" i="37"/>
  <c r="C321" i="37"/>
  <c r="I320" i="37"/>
  <c r="C320" i="37"/>
  <c r="I319" i="37"/>
  <c r="C319" i="37"/>
  <c r="I318" i="37"/>
  <c r="C318" i="37"/>
  <c r="I317" i="37"/>
  <c r="C317" i="37"/>
  <c r="I316" i="37"/>
  <c r="C316" i="37"/>
  <c r="I315" i="37"/>
  <c r="C315" i="37"/>
  <c r="I314" i="37"/>
  <c r="C314" i="37"/>
  <c r="I313" i="37"/>
  <c r="C313" i="37"/>
  <c r="I312" i="37"/>
  <c r="C312" i="37"/>
  <c r="I311" i="37"/>
  <c r="C311" i="37"/>
  <c r="I310" i="37"/>
  <c r="C310" i="37"/>
  <c r="I309" i="37"/>
  <c r="C309" i="37"/>
  <c r="I308" i="37"/>
  <c r="C308" i="37"/>
  <c r="I307" i="37"/>
  <c r="C307" i="37"/>
  <c r="I306" i="37"/>
  <c r="C306" i="37"/>
  <c r="I305" i="37"/>
  <c r="C305" i="37"/>
  <c r="I304" i="37"/>
  <c r="C304" i="37"/>
  <c r="I303" i="37"/>
  <c r="C303" i="37"/>
  <c r="I302" i="37"/>
  <c r="C302" i="37"/>
  <c r="I301" i="37"/>
  <c r="C301" i="37"/>
  <c r="I300" i="37"/>
  <c r="C300" i="37"/>
  <c r="I299" i="37"/>
  <c r="C299" i="37"/>
  <c r="I298" i="37"/>
  <c r="C298" i="37"/>
  <c r="I297" i="37"/>
  <c r="C297" i="37"/>
  <c r="I296" i="37"/>
  <c r="C296" i="37"/>
  <c r="I295" i="37"/>
  <c r="C295" i="37"/>
  <c r="I294" i="37"/>
  <c r="C294" i="37"/>
  <c r="I293" i="37"/>
  <c r="C293" i="37"/>
  <c r="I292" i="37"/>
  <c r="C292" i="37"/>
  <c r="I291" i="37"/>
  <c r="C291" i="37"/>
  <c r="I290" i="37"/>
  <c r="C290" i="37"/>
  <c r="I289" i="37"/>
  <c r="C289" i="37"/>
  <c r="I288" i="37"/>
  <c r="C288" i="37"/>
  <c r="I287" i="37"/>
  <c r="C287" i="37"/>
  <c r="I286" i="37"/>
  <c r="C286" i="37"/>
  <c r="I285" i="37"/>
  <c r="C285" i="37"/>
  <c r="I284" i="37"/>
  <c r="C284" i="37"/>
  <c r="I283" i="37"/>
  <c r="C283" i="37"/>
  <c r="I282" i="37"/>
  <c r="C282" i="37"/>
  <c r="I281" i="37"/>
  <c r="C281" i="37"/>
  <c r="I280" i="37"/>
  <c r="C280" i="37"/>
  <c r="I279" i="37"/>
  <c r="C279" i="37"/>
  <c r="I278" i="37"/>
  <c r="C278" i="37"/>
  <c r="I277" i="37"/>
  <c r="C277" i="37"/>
  <c r="I276" i="37"/>
  <c r="C276" i="37"/>
  <c r="I275" i="37"/>
  <c r="C275" i="37"/>
  <c r="I274" i="37"/>
  <c r="C274" i="37"/>
  <c r="I273" i="37"/>
  <c r="C273" i="37"/>
  <c r="I272" i="37"/>
  <c r="C272" i="37"/>
  <c r="I271" i="37"/>
  <c r="C271" i="37"/>
  <c r="I270" i="37"/>
  <c r="C270" i="37"/>
  <c r="I269" i="37"/>
  <c r="C269" i="37"/>
  <c r="I268" i="37"/>
  <c r="C268" i="37"/>
  <c r="I267" i="37"/>
  <c r="C267" i="37"/>
  <c r="I266" i="37"/>
  <c r="C266" i="37"/>
  <c r="I265" i="37"/>
  <c r="C265" i="37"/>
  <c r="I264" i="37"/>
  <c r="C264" i="37"/>
  <c r="I263" i="37"/>
  <c r="C263" i="37"/>
  <c r="I262" i="37"/>
  <c r="C262" i="37"/>
  <c r="I261" i="37"/>
  <c r="C261" i="37"/>
  <c r="I260" i="37"/>
  <c r="C260" i="37"/>
  <c r="I259" i="37"/>
  <c r="C259" i="37"/>
  <c r="I258" i="37"/>
  <c r="C258" i="37"/>
  <c r="I257" i="37"/>
  <c r="C257" i="37"/>
  <c r="I256" i="37"/>
  <c r="C256" i="37"/>
  <c r="I255" i="37"/>
  <c r="C255" i="37"/>
  <c r="I254" i="37"/>
  <c r="C254" i="37"/>
  <c r="I253" i="37"/>
  <c r="C253" i="37"/>
  <c r="I252" i="37"/>
  <c r="C252" i="37"/>
  <c r="I251" i="37"/>
  <c r="C251" i="37"/>
  <c r="I250" i="37"/>
  <c r="C250" i="37"/>
  <c r="I249" i="37"/>
  <c r="C249" i="37"/>
  <c r="I248" i="37"/>
  <c r="C248" i="37"/>
  <c r="I247" i="37"/>
  <c r="C247" i="37"/>
  <c r="I246" i="37"/>
  <c r="C246" i="37"/>
  <c r="I245" i="37"/>
  <c r="C245" i="37"/>
  <c r="I244" i="37"/>
  <c r="C244" i="37"/>
  <c r="I243" i="37"/>
  <c r="C243" i="37"/>
  <c r="I242" i="37"/>
  <c r="C242" i="37"/>
  <c r="I241" i="37"/>
  <c r="C241" i="37"/>
  <c r="I240" i="37"/>
  <c r="C240" i="37"/>
  <c r="I239" i="37"/>
  <c r="C239" i="37"/>
  <c r="I238" i="37"/>
  <c r="C238" i="37"/>
  <c r="I237" i="37"/>
  <c r="C237" i="37"/>
  <c r="I236" i="37"/>
  <c r="C236" i="37"/>
  <c r="I235" i="37"/>
  <c r="C235" i="37"/>
  <c r="I234" i="37"/>
  <c r="C234" i="37"/>
  <c r="I233" i="37"/>
  <c r="C233" i="37"/>
  <c r="I232" i="37"/>
  <c r="C232" i="37"/>
  <c r="I231" i="37"/>
  <c r="C231" i="37"/>
  <c r="I230" i="37"/>
  <c r="C230" i="37"/>
  <c r="I229" i="37"/>
  <c r="C229" i="37"/>
  <c r="I228" i="37"/>
  <c r="C228" i="37"/>
  <c r="I227" i="37"/>
  <c r="C227" i="37"/>
  <c r="I226" i="37"/>
  <c r="C226" i="37"/>
  <c r="I225" i="37"/>
  <c r="C225" i="37"/>
  <c r="I224" i="37"/>
  <c r="C224" i="37"/>
  <c r="I223" i="37"/>
  <c r="C223" i="37"/>
  <c r="I222" i="37"/>
  <c r="C222" i="37"/>
  <c r="I221" i="37"/>
  <c r="C221" i="37"/>
  <c r="I220" i="37"/>
  <c r="C220" i="37"/>
  <c r="I219" i="37"/>
  <c r="C219" i="37"/>
  <c r="I218" i="37"/>
  <c r="C218" i="37"/>
  <c r="I217" i="37"/>
  <c r="C217" i="37"/>
  <c r="I216" i="37"/>
  <c r="C216" i="37"/>
  <c r="I215" i="37"/>
  <c r="C215" i="37"/>
  <c r="I214" i="37"/>
  <c r="C214" i="37"/>
  <c r="I213" i="37"/>
  <c r="C213" i="37"/>
  <c r="I212" i="37"/>
  <c r="C212" i="37"/>
  <c r="I211" i="37"/>
  <c r="C211" i="37"/>
  <c r="I210" i="37"/>
  <c r="C210" i="37"/>
  <c r="I209" i="37"/>
  <c r="C209" i="37"/>
  <c r="I208" i="37"/>
  <c r="C208" i="37"/>
  <c r="I207" i="37"/>
  <c r="C207" i="37"/>
  <c r="I206" i="37"/>
  <c r="C206" i="37"/>
  <c r="I205" i="37"/>
  <c r="C205" i="37"/>
  <c r="I204" i="37"/>
  <c r="C204" i="37"/>
  <c r="I203" i="37"/>
  <c r="C203" i="37"/>
  <c r="I202" i="37"/>
  <c r="C202" i="37"/>
  <c r="I201" i="37"/>
  <c r="C201" i="37"/>
  <c r="I200" i="37"/>
  <c r="C200" i="37"/>
  <c r="I199" i="37"/>
  <c r="C199" i="37"/>
  <c r="I198" i="37"/>
  <c r="C198" i="37"/>
  <c r="I197" i="37"/>
  <c r="C197" i="37"/>
  <c r="I196" i="37"/>
  <c r="C196" i="37"/>
  <c r="I195" i="37"/>
  <c r="C195" i="37"/>
  <c r="I194" i="37"/>
  <c r="C194" i="37"/>
  <c r="I193" i="37"/>
  <c r="C193" i="37"/>
  <c r="I192" i="37"/>
  <c r="C192" i="37"/>
  <c r="I191" i="37"/>
  <c r="C191" i="37"/>
  <c r="I190" i="37"/>
  <c r="C190" i="37"/>
  <c r="I189" i="37"/>
  <c r="C189" i="37"/>
  <c r="I188" i="37"/>
  <c r="C188" i="37"/>
  <c r="I187" i="37"/>
  <c r="C187" i="37"/>
  <c r="I186" i="37"/>
  <c r="C186" i="37"/>
  <c r="I185" i="37"/>
  <c r="C185" i="37"/>
  <c r="I184" i="37"/>
  <c r="C184" i="37"/>
  <c r="I183" i="37"/>
  <c r="C183" i="37"/>
  <c r="I182" i="37"/>
  <c r="C182" i="37"/>
  <c r="I181" i="37"/>
  <c r="C181" i="37"/>
  <c r="I180" i="37"/>
  <c r="C180" i="37"/>
  <c r="I179" i="37"/>
  <c r="C179" i="37"/>
  <c r="I178" i="37"/>
  <c r="C178" i="37"/>
  <c r="I177" i="37"/>
  <c r="C177" i="37"/>
  <c r="I176" i="37"/>
  <c r="C176" i="37"/>
  <c r="I175" i="37"/>
  <c r="C175" i="37"/>
  <c r="I174" i="37"/>
  <c r="C174" i="37"/>
  <c r="I173" i="37"/>
  <c r="C173" i="37"/>
  <c r="I172" i="37"/>
  <c r="C172" i="37"/>
  <c r="I171" i="37"/>
  <c r="C171" i="37"/>
  <c r="I170" i="37"/>
  <c r="C170" i="37"/>
  <c r="I169" i="37"/>
  <c r="C169" i="37"/>
  <c r="I168" i="37"/>
  <c r="C168" i="37"/>
  <c r="I167" i="37"/>
  <c r="C167" i="37"/>
  <c r="I166" i="37"/>
  <c r="C166" i="37"/>
  <c r="I165" i="37"/>
  <c r="C165" i="37"/>
  <c r="I164" i="37"/>
  <c r="C164" i="37"/>
  <c r="I163" i="37"/>
  <c r="C163" i="37"/>
  <c r="I162" i="37"/>
  <c r="C162" i="37"/>
  <c r="I161" i="37"/>
  <c r="C161" i="37"/>
  <c r="I160" i="37"/>
  <c r="C160" i="37"/>
  <c r="I159" i="37"/>
  <c r="C159" i="37"/>
  <c r="I158" i="37"/>
  <c r="C158" i="37"/>
  <c r="I157" i="37"/>
  <c r="C157" i="37"/>
  <c r="I156" i="37"/>
  <c r="C156" i="37"/>
  <c r="I155" i="37"/>
  <c r="C155" i="37"/>
  <c r="I154" i="37"/>
  <c r="C154" i="37"/>
  <c r="I153" i="37"/>
  <c r="C153" i="37"/>
  <c r="I152" i="37"/>
  <c r="C152" i="37"/>
  <c r="I151" i="37"/>
  <c r="C151" i="37"/>
  <c r="I150" i="37"/>
  <c r="C150" i="37"/>
  <c r="I149" i="37"/>
  <c r="C149" i="37"/>
  <c r="I148" i="37"/>
  <c r="C148" i="37"/>
  <c r="I147" i="37"/>
  <c r="C147" i="37"/>
  <c r="I146" i="37"/>
  <c r="C146" i="37"/>
  <c r="I145" i="37"/>
  <c r="C145" i="37"/>
  <c r="I144" i="37"/>
  <c r="C144" i="37"/>
  <c r="I143" i="37"/>
  <c r="C143" i="37"/>
  <c r="I142" i="37"/>
  <c r="C142" i="37"/>
  <c r="I141" i="37"/>
  <c r="C141" i="37"/>
  <c r="I140" i="37"/>
  <c r="C140" i="37"/>
  <c r="I139" i="37"/>
  <c r="C139" i="37"/>
  <c r="I138" i="37"/>
  <c r="C138" i="37"/>
  <c r="I137" i="37"/>
  <c r="C137" i="37"/>
  <c r="I136" i="37"/>
  <c r="C136" i="37"/>
  <c r="I135" i="37"/>
  <c r="C135" i="37"/>
  <c r="I134" i="37"/>
  <c r="C134" i="37"/>
  <c r="I133" i="37"/>
  <c r="C133" i="37"/>
  <c r="I132" i="37"/>
  <c r="C132" i="37"/>
  <c r="I131" i="37"/>
  <c r="C131" i="37"/>
  <c r="I130" i="37"/>
  <c r="C130" i="37"/>
  <c r="I129" i="37"/>
  <c r="C129" i="37"/>
  <c r="I128" i="37"/>
  <c r="C128" i="37"/>
  <c r="I127" i="37"/>
  <c r="C127" i="37"/>
  <c r="I126" i="37"/>
  <c r="C126" i="37"/>
  <c r="I125" i="37"/>
  <c r="C125" i="37"/>
  <c r="I124" i="37"/>
  <c r="C124" i="37"/>
  <c r="I123" i="37"/>
  <c r="C123" i="37"/>
  <c r="I122" i="37"/>
  <c r="C122" i="37"/>
  <c r="I121" i="37"/>
  <c r="C121" i="37"/>
  <c r="I120" i="37"/>
  <c r="C120" i="37"/>
  <c r="I119" i="37"/>
  <c r="C119" i="37"/>
  <c r="I118" i="37"/>
  <c r="C118" i="37"/>
  <c r="I117" i="37"/>
  <c r="C117" i="37"/>
  <c r="I116" i="37"/>
  <c r="C116" i="37"/>
  <c r="I115" i="37"/>
  <c r="C115" i="37"/>
  <c r="I114" i="37"/>
  <c r="C114" i="37"/>
  <c r="I113" i="37"/>
  <c r="C113" i="37"/>
  <c r="I112" i="37"/>
  <c r="C112" i="37"/>
  <c r="I111" i="37"/>
  <c r="C111" i="37"/>
  <c r="I110" i="37"/>
  <c r="C110" i="37"/>
  <c r="I109" i="37"/>
  <c r="C109" i="37"/>
  <c r="I108" i="37"/>
  <c r="C108" i="37"/>
  <c r="I107" i="37"/>
  <c r="C107" i="37"/>
  <c r="I106" i="37"/>
  <c r="C106" i="37"/>
  <c r="I105" i="37"/>
  <c r="C105" i="37"/>
  <c r="I104" i="37"/>
  <c r="C104" i="37"/>
  <c r="I103" i="37"/>
  <c r="C103" i="37"/>
  <c r="I102" i="37"/>
  <c r="C102" i="37"/>
  <c r="I101" i="37"/>
  <c r="C101" i="37"/>
  <c r="I100" i="37"/>
  <c r="C100" i="37"/>
  <c r="I99" i="37"/>
  <c r="C99" i="37"/>
  <c r="I98" i="37"/>
  <c r="C98" i="37"/>
  <c r="I97" i="37"/>
  <c r="C97" i="37"/>
  <c r="I96" i="37"/>
  <c r="C96" i="37"/>
  <c r="I95" i="37"/>
  <c r="C95" i="37"/>
  <c r="I94" i="37"/>
  <c r="C94" i="37"/>
  <c r="I93" i="37"/>
  <c r="C93" i="37"/>
  <c r="I92" i="37"/>
  <c r="C92" i="37"/>
  <c r="I91" i="37"/>
  <c r="C91" i="37"/>
  <c r="I90" i="37"/>
  <c r="C90" i="37"/>
  <c r="I89" i="37"/>
  <c r="C89" i="37"/>
  <c r="I88" i="37"/>
  <c r="C88" i="37"/>
  <c r="I87" i="37"/>
  <c r="C87" i="37"/>
  <c r="I86" i="37"/>
  <c r="C86" i="37"/>
  <c r="I85" i="37"/>
  <c r="C85" i="37"/>
  <c r="I84" i="37"/>
  <c r="C84" i="37"/>
  <c r="I83" i="37"/>
  <c r="C83" i="37"/>
  <c r="I82" i="37"/>
  <c r="C82" i="37"/>
  <c r="I81" i="37"/>
  <c r="C81" i="37"/>
  <c r="I80" i="37"/>
  <c r="C80" i="37"/>
  <c r="I79" i="37"/>
  <c r="C79" i="37"/>
  <c r="I78" i="37"/>
  <c r="C78" i="37"/>
  <c r="I77" i="37"/>
  <c r="C77" i="37"/>
  <c r="I76" i="37"/>
  <c r="C76" i="37"/>
  <c r="I75" i="37"/>
  <c r="C75" i="37"/>
  <c r="I74" i="37"/>
  <c r="C74" i="37"/>
  <c r="I73" i="37"/>
  <c r="C73" i="37"/>
  <c r="I72" i="37"/>
  <c r="C72" i="37"/>
  <c r="I71" i="37"/>
  <c r="C71" i="37"/>
  <c r="I70" i="37"/>
  <c r="C70" i="37"/>
  <c r="I69" i="37"/>
  <c r="C69" i="37"/>
  <c r="I68" i="37"/>
  <c r="C68" i="37"/>
  <c r="I67" i="37"/>
  <c r="C67" i="37"/>
  <c r="I66" i="37"/>
  <c r="C66" i="37"/>
  <c r="I65" i="37"/>
  <c r="C65" i="37"/>
  <c r="I64" i="37"/>
  <c r="C64" i="37"/>
  <c r="I63" i="37"/>
  <c r="C63" i="37"/>
  <c r="I62" i="37"/>
  <c r="C62" i="37"/>
  <c r="I61" i="37"/>
  <c r="C61" i="37"/>
  <c r="I60" i="37"/>
  <c r="C60" i="37"/>
  <c r="I59" i="37"/>
  <c r="C59" i="37"/>
  <c r="I58" i="37"/>
  <c r="C58" i="37"/>
  <c r="I57" i="37"/>
  <c r="C57" i="37"/>
  <c r="I56" i="37"/>
  <c r="C56" i="37"/>
  <c r="I55" i="37"/>
  <c r="C55" i="37"/>
  <c r="I54" i="37"/>
  <c r="C54" i="37"/>
  <c r="I53" i="37"/>
  <c r="C53" i="37"/>
  <c r="I52" i="37"/>
  <c r="C52" i="37"/>
  <c r="I51" i="37"/>
  <c r="C51" i="37"/>
  <c r="I50" i="37"/>
  <c r="C50" i="37"/>
  <c r="I49" i="37"/>
  <c r="C49" i="37"/>
  <c r="I48" i="37"/>
  <c r="C48" i="37"/>
  <c r="I47" i="37"/>
  <c r="C47" i="37"/>
  <c r="I46" i="37"/>
  <c r="C46" i="37"/>
  <c r="I45" i="37"/>
  <c r="C45" i="37"/>
  <c r="I44" i="37"/>
  <c r="C44" i="37"/>
  <c r="I43" i="37"/>
  <c r="C43" i="37"/>
  <c r="I42" i="37"/>
  <c r="C42" i="37"/>
  <c r="I41" i="37"/>
  <c r="C41" i="37"/>
  <c r="I40" i="37"/>
  <c r="C40" i="37"/>
  <c r="I39" i="37"/>
  <c r="C39" i="37"/>
  <c r="I38" i="37"/>
  <c r="C38" i="37"/>
  <c r="I37" i="37"/>
  <c r="C37" i="37"/>
  <c r="I36" i="37"/>
  <c r="C36" i="37"/>
  <c r="I35" i="37"/>
  <c r="C35" i="37"/>
  <c r="I34" i="37"/>
  <c r="C34" i="37"/>
  <c r="I33" i="37"/>
  <c r="C33" i="37"/>
  <c r="I32" i="37"/>
  <c r="C32" i="37"/>
  <c r="I31" i="37"/>
  <c r="C31" i="37"/>
  <c r="I30" i="37"/>
  <c r="C30" i="37"/>
  <c r="I29" i="37"/>
  <c r="C29" i="37"/>
  <c r="I28" i="37"/>
  <c r="C28" i="37"/>
  <c r="I27" i="37"/>
  <c r="C27" i="37"/>
  <c r="I26" i="37"/>
  <c r="C26" i="37"/>
  <c r="I25" i="37"/>
  <c r="C25" i="37"/>
  <c r="I24" i="37"/>
  <c r="C24" i="37"/>
  <c r="I23" i="37"/>
  <c r="C23" i="37"/>
  <c r="I22" i="37"/>
  <c r="C22" i="37"/>
  <c r="I21" i="37"/>
  <c r="C21" i="37"/>
  <c r="I20" i="37"/>
  <c r="C20" i="37"/>
  <c r="I19" i="37"/>
  <c r="C19" i="37"/>
  <c r="I18" i="37"/>
  <c r="C18" i="37"/>
  <c r="I17" i="37"/>
  <c r="C17" i="37"/>
  <c r="I16" i="37"/>
  <c r="C16" i="37"/>
  <c r="I15" i="37"/>
  <c r="C15" i="37"/>
  <c r="I14" i="37"/>
  <c r="C14" i="37"/>
  <c r="I13" i="37"/>
  <c r="C13" i="37"/>
  <c r="I12" i="37"/>
  <c r="C12" i="37"/>
  <c r="I11" i="37"/>
  <c r="C11" i="37"/>
  <c r="I10" i="37"/>
  <c r="C10" i="37"/>
  <c r="I9" i="37"/>
  <c r="C9" i="37"/>
  <c r="I8" i="37"/>
  <c r="C8" i="37"/>
  <c r="I7" i="37"/>
  <c r="C7" i="37"/>
  <c r="I6" i="37"/>
  <c r="C6" i="37"/>
  <c r="I5" i="37"/>
  <c r="C5" i="37"/>
  <c r="I4" i="37"/>
  <c r="C4" i="37"/>
  <c r="I3" i="37"/>
  <c r="C3" i="37"/>
  <c r="I2" i="37"/>
  <c r="C2" i="37"/>
  <c r="U30" i="42"/>
  <c r="Q30" i="42"/>
  <c r="M30" i="42"/>
  <c r="I30" i="42"/>
  <c r="U29" i="42"/>
  <c r="Q29" i="42"/>
  <c r="M29" i="42"/>
  <c r="I29" i="42"/>
  <c r="U28" i="42"/>
  <c r="Q28" i="42"/>
  <c r="M28" i="42"/>
  <c r="I28" i="42"/>
  <c r="U27" i="42"/>
  <c r="Q27" i="42"/>
  <c r="M27" i="42"/>
  <c r="I27" i="42"/>
  <c r="U26" i="42"/>
  <c r="Q26" i="42"/>
  <c r="M26" i="42"/>
  <c r="I26" i="42"/>
  <c r="E26" i="42"/>
  <c r="U25" i="42"/>
  <c r="Q25" i="42"/>
  <c r="M25" i="42"/>
  <c r="I25" i="42"/>
  <c r="E25" i="42"/>
  <c r="U22" i="42"/>
  <c r="Q22" i="42"/>
  <c r="I22" i="42"/>
  <c r="E22" i="42"/>
  <c r="U21" i="42"/>
  <c r="Q21" i="42"/>
  <c r="I21" i="42"/>
  <c r="U20" i="42"/>
  <c r="Q20" i="42"/>
  <c r="M20" i="42"/>
  <c r="I20" i="42"/>
  <c r="U19" i="42"/>
  <c r="Q19" i="42"/>
  <c r="M19" i="42"/>
  <c r="I19" i="42"/>
  <c r="U18" i="42"/>
  <c r="Q18" i="42"/>
  <c r="M18" i="42"/>
  <c r="I18" i="42"/>
  <c r="U17" i="42"/>
  <c r="Q17" i="42"/>
  <c r="M17" i="42"/>
  <c r="I17" i="42"/>
  <c r="U16" i="42"/>
  <c r="Q16" i="42"/>
  <c r="M16" i="42"/>
  <c r="I16" i="42"/>
  <c r="U15" i="42"/>
  <c r="Q15" i="42"/>
  <c r="M15" i="42"/>
  <c r="I15" i="42"/>
  <c r="U14" i="42"/>
  <c r="Q14" i="42"/>
  <c r="M14" i="42"/>
  <c r="I14" i="42"/>
  <c r="U13" i="42"/>
  <c r="Q13" i="42"/>
  <c r="M13" i="42"/>
  <c r="I13" i="42"/>
  <c r="U12" i="42"/>
  <c r="Q12" i="42"/>
  <c r="M12" i="42"/>
  <c r="I12" i="42"/>
  <c r="U11" i="42"/>
  <c r="Q11" i="42"/>
  <c r="M11" i="42"/>
  <c r="I11" i="42"/>
  <c r="U10" i="42"/>
  <c r="Q10" i="42"/>
  <c r="M10" i="42"/>
  <c r="I10" i="42"/>
  <c r="U9" i="42"/>
  <c r="Q9" i="42"/>
  <c r="M9" i="42"/>
  <c r="I9" i="42"/>
  <c r="U8" i="42"/>
  <c r="Q8" i="42"/>
  <c r="M8" i="42"/>
  <c r="I8" i="42"/>
  <c r="U7" i="42"/>
  <c r="Q7" i="42"/>
  <c r="M7" i="42"/>
  <c r="I7" i="42"/>
  <c r="U6" i="42"/>
  <c r="Q6" i="42"/>
  <c r="M6" i="42"/>
  <c r="I6" i="42"/>
  <c r="U5" i="42"/>
  <c r="Q5" i="42"/>
  <c r="M5" i="42"/>
  <c r="I5" i="42"/>
  <c r="A1" i="40" l="1"/>
  <c r="B5" i="18"/>
  <c r="B3" i="18"/>
  <c r="V3" i="36"/>
  <c r="G3" i="36"/>
  <c r="V3" i="35"/>
  <c r="G3" i="35"/>
  <c r="V3" i="34"/>
  <c r="G3" i="34"/>
  <c r="V3" i="33"/>
  <c r="G3" i="33"/>
  <c r="V3" i="32"/>
  <c r="G3" i="32"/>
  <c r="A356" i="37"/>
  <c r="A357" i="37"/>
  <c r="A358" i="37"/>
  <c r="A359" i="37"/>
  <c r="A360" i="37"/>
  <c r="A361" i="37"/>
  <c r="A362" i="37"/>
  <c r="A363" i="37"/>
  <c r="A364" i="37"/>
  <c r="A365" i="37"/>
  <c r="A366" i="37"/>
  <c r="A367" i="37"/>
  <c r="A368" i="37"/>
  <c r="A369" i="37"/>
  <c r="A370" i="37"/>
  <c r="A371" i="37"/>
  <c r="A372" i="37"/>
  <c r="A373" i="37"/>
  <c r="A374" i="37"/>
  <c r="A375" i="37"/>
  <c r="A376" i="37"/>
  <c r="A377" i="37"/>
  <c r="A378" i="37"/>
  <c r="A379" i="37"/>
  <c r="A380" i="37"/>
  <c r="A381" i="37"/>
  <c r="A382" i="37"/>
  <c r="A383" i="37"/>
  <c r="A384" i="37"/>
  <c r="A385" i="37"/>
  <c r="A386" i="37"/>
  <c r="A387" i="37"/>
  <c r="A388" i="37"/>
  <c r="A389" i="37"/>
  <c r="A390" i="37"/>
  <c r="A391" i="37"/>
  <c r="A392" i="37"/>
  <c r="A393" i="37"/>
  <c r="A394" i="37"/>
  <c r="A395" i="37"/>
  <c r="A396" i="37"/>
  <c r="A397" i="37"/>
  <c r="A398" i="37"/>
  <c r="A399" i="37"/>
  <c r="A400" i="37"/>
  <c r="A401" i="37"/>
  <c r="A402" i="37"/>
  <c r="A403" i="37"/>
  <c r="A404" i="37"/>
  <c r="A405" i="37"/>
  <c r="A406" i="37"/>
  <c r="A407" i="37"/>
  <c r="A408" i="37"/>
  <c r="A409" i="37"/>
  <c r="A410" i="37"/>
  <c r="A411" i="37"/>
  <c r="A412" i="37"/>
  <c r="A413" i="37"/>
  <c r="A414" i="37"/>
  <c r="A415" i="37"/>
  <c r="A416" i="37"/>
  <c r="A417" i="37"/>
  <c r="A418" i="37"/>
  <c r="A419" i="37"/>
  <c r="A420" i="37"/>
  <c r="A421" i="37"/>
  <c r="A422" i="37"/>
  <c r="A423" i="37"/>
  <c r="A424" i="37"/>
  <c r="A425" i="37"/>
  <c r="A426" i="37"/>
  <c r="A427" i="37"/>
  <c r="A428" i="37"/>
  <c r="A429" i="37"/>
  <c r="A430" i="37"/>
  <c r="A431" i="37"/>
  <c r="A432" i="37"/>
  <c r="A433" i="37"/>
  <c r="A434" i="37"/>
  <c r="A435" i="37"/>
  <c r="A436" i="37"/>
  <c r="A437" i="37"/>
  <c r="A438" i="37"/>
  <c r="A439" i="37"/>
  <c r="A440" i="37"/>
  <c r="A441" i="37"/>
  <c r="A442" i="37"/>
  <c r="A443" i="37"/>
  <c r="A444" i="37"/>
  <c r="A445" i="37"/>
  <c r="A446" i="37"/>
  <c r="A447" i="37"/>
  <c r="A448" i="37"/>
  <c r="A449" i="37"/>
  <c r="A450" i="37"/>
  <c r="A451" i="37"/>
  <c r="A452" i="37"/>
  <c r="A453" i="37"/>
  <c r="A454" i="37"/>
  <c r="A455" i="37"/>
  <c r="A456" i="37"/>
  <c r="A457" i="37"/>
  <c r="A458" i="37"/>
  <c r="A459" i="37"/>
  <c r="A460" i="37"/>
  <c r="A461" i="37"/>
  <c r="A462" i="37"/>
  <c r="A463" i="37"/>
  <c r="A464" i="37"/>
  <c r="A465" i="37"/>
  <c r="A466" i="37"/>
  <c r="A467" i="37"/>
  <c r="A468" i="37"/>
  <c r="A469" i="37"/>
  <c r="A470" i="37"/>
  <c r="A471" i="37"/>
  <c r="A472" i="37"/>
  <c r="A473" i="37"/>
  <c r="A474" i="37"/>
  <c r="A475" i="37"/>
  <c r="A476" i="37"/>
  <c r="A477" i="37"/>
  <c r="A478" i="37"/>
  <c r="A479" i="37"/>
  <c r="A480" i="37"/>
  <c r="A481" i="37"/>
  <c r="A482" i="37"/>
  <c r="A483" i="37"/>
  <c r="A484" i="37"/>
  <c r="A485" i="37"/>
  <c r="A486" i="37"/>
  <c r="A487" i="37"/>
  <c r="A488" i="37"/>
  <c r="A489" i="37"/>
  <c r="A490" i="37"/>
  <c r="A491" i="37"/>
  <c r="A492" i="37"/>
  <c r="A493" i="37"/>
  <c r="A494" i="37"/>
  <c r="A495" i="37"/>
  <c r="A496" i="37"/>
  <c r="A497" i="37"/>
  <c r="A498" i="37"/>
  <c r="A499" i="37"/>
  <c r="A500" i="37"/>
  <c r="A501" i="37"/>
  <c r="A502" i="37"/>
  <c r="A503" i="37"/>
  <c r="A504" i="37"/>
  <c r="A505" i="37"/>
  <c r="A506" i="37"/>
  <c r="A507" i="37"/>
  <c r="A508" i="37"/>
  <c r="A509" i="37"/>
  <c r="A510" i="37"/>
  <c r="A511" i="37"/>
  <c r="A512" i="37"/>
  <c r="A513" i="37"/>
  <c r="A514" i="37"/>
  <c r="A515" i="37"/>
  <c r="A516" i="37"/>
  <c r="A517" i="37"/>
  <c r="A518" i="37"/>
  <c r="A519" i="37"/>
  <c r="A520" i="37"/>
  <c r="A521" i="37"/>
  <c r="A522" i="37"/>
  <c r="A523" i="37"/>
  <c r="A524" i="37"/>
  <c r="A525" i="37"/>
  <c r="A526" i="37"/>
  <c r="A527" i="37"/>
  <c r="A528" i="37"/>
  <c r="A529" i="37"/>
  <c r="A530" i="37"/>
  <c r="A531" i="37"/>
  <c r="A532" i="37"/>
  <c r="A533" i="37"/>
  <c r="A534" i="37"/>
  <c r="A535" i="37"/>
  <c r="A536" i="37"/>
  <c r="A537" i="37"/>
  <c r="A538" i="37"/>
  <c r="A539" i="37"/>
  <c r="A540" i="37"/>
  <c r="A541" i="37"/>
  <c r="A542" i="37"/>
  <c r="A543" i="37"/>
  <c r="A544" i="37"/>
  <c r="A545" i="37"/>
  <c r="A546" i="37"/>
  <c r="A547" i="37"/>
  <c r="A548" i="37"/>
  <c r="A549" i="37"/>
  <c r="A550" i="37"/>
  <c r="A551" i="37"/>
  <c r="A552" i="37"/>
  <c r="A553" i="37"/>
  <c r="A554" i="37"/>
  <c r="A555" i="37"/>
  <c r="A556" i="37"/>
  <c r="A557" i="37"/>
  <c r="A558" i="37"/>
  <c r="A559" i="37"/>
  <c r="A560" i="37"/>
  <c r="A561" i="37"/>
  <c r="A562" i="37"/>
  <c r="A563" i="37"/>
  <c r="A564" i="37"/>
  <c r="A565" i="37"/>
  <c r="A566" i="37"/>
  <c r="A567" i="37"/>
  <c r="A568" i="37"/>
  <c r="A569" i="37"/>
  <c r="A570" i="37"/>
  <c r="A571" i="37"/>
  <c r="A572" i="37"/>
  <c r="A573" i="37"/>
  <c r="A574" i="37"/>
  <c r="A575" i="37"/>
  <c r="A576" i="37"/>
  <c r="A577" i="37"/>
  <c r="A578" i="37"/>
  <c r="A579" i="37"/>
  <c r="A580" i="37"/>
  <c r="A581" i="37"/>
  <c r="A582" i="37"/>
  <c r="A583" i="37"/>
  <c r="A584" i="37"/>
  <c r="A585" i="37"/>
  <c r="A586" i="37"/>
  <c r="A587" i="37"/>
  <c r="A588" i="37"/>
  <c r="A589" i="37"/>
  <c r="A590" i="37"/>
  <c r="A591" i="37"/>
  <c r="A592" i="37"/>
  <c r="A593" i="37"/>
  <c r="A594" i="37"/>
  <c r="A595" i="37"/>
  <c r="A596" i="37"/>
  <c r="A597" i="37"/>
  <c r="A598" i="37"/>
  <c r="A599" i="37"/>
  <c r="A600" i="37"/>
  <c r="A601" i="37"/>
  <c r="A602" i="37"/>
  <c r="A603" i="37"/>
  <c r="A604" i="37"/>
  <c r="A605" i="37"/>
  <c r="A606" i="37"/>
  <c r="A607" i="37"/>
  <c r="A608" i="37"/>
  <c r="A609" i="37"/>
  <c r="A610" i="37"/>
  <c r="A611" i="37"/>
  <c r="A612" i="37"/>
  <c r="A613" i="37"/>
  <c r="A614" i="37"/>
  <c r="A615" i="37"/>
  <c r="A616" i="37"/>
  <c r="A617" i="37"/>
  <c r="A618" i="37"/>
  <c r="A619" i="37"/>
  <c r="A620" i="37"/>
  <c r="A621" i="37"/>
  <c r="A622" i="37"/>
  <c r="A623" i="37"/>
  <c r="A624" i="37"/>
  <c r="A625" i="37"/>
  <c r="A626" i="37"/>
  <c r="A627" i="37"/>
  <c r="A628" i="37"/>
  <c r="A629" i="37"/>
  <c r="A630" i="37"/>
  <c r="A631" i="37"/>
  <c r="A632" i="37"/>
  <c r="A633" i="37"/>
  <c r="A634" i="37"/>
  <c r="A635" i="37"/>
  <c r="A636" i="37"/>
  <c r="A637" i="37"/>
  <c r="A638" i="37"/>
  <c r="A639" i="37"/>
  <c r="A640" i="37"/>
  <c r="A641" i="37"/>
  <c r="A642" i="37"/>
  <c r="A643" i="37"/>
  <c r="A644" i="37"/>
  <c r="A645" i="37"/>
  <c r="A646" i="37"/>
  <c r="A647" i="37"/>
  <c r="A648" i="37"/>
  <c r="A649" i="37"/>
  <c r="A650" i="37"/>
  <c r="A651" i="37"/>
  <c r="A652" i="37"/>
  <c r="A653" i="37"/>
  <c r="A654" i="37"/>
  <c r="A655" i="37"/>
  <c r="A656" i="37"/>
  <c r="A657" i="37"/>
  <c r="A658" i="37"/>
  <c r="A659" i="37"/>
  <c r="A660" i="37"/>
  <c r="A661" i="37"/>
  <c r="A662" i="37"/>
  <c r="A663" i="37"/>
  <c r="A664" i="37"/>
  <c r="A665" i="37"/>
  <c r="A666" i="37"/>
  <c r="A667" i="37"/>
  <c r="A668" i="37"/>
  <c r="A669" i="37"/>
  <c r="A670" i="37"/>
  <c r="A671" i="37"/>
  <c r="A672" i="37"/>
  <c r="A673" i="37"/>
  <c r="A674" i="37"/>
  <c r="A675" i="37"/>
  <c r="A676" i="37"/>
  <c r="A677" i="37"/>
  <c r="A678" i="37"/>
  <c r="A679" i="37"/>
  <c r="A680" i="37"/>
  <c r="A681" i="37"/>
  <c r="A682" i="37"/>
  <c r="A683" i="37"/>
  <c r="A684" i="37"/>
  <c r="A685" i="37"/>
  <c r="A686" i="37"/>
  <c r="A687" i="37"/>
  <c r="A688" i="37"/>
  <c r="A689" i="37"/>
  <c r="A690" i="37"/>
  <c r="A691" i="37"/>
  <c r="A692" i="37"/>
  <c r="A693" i="37"/>
  <c r="A694" i="37"/>
  <c r="A695" i="37"/>
  <c r="A696" i="37"/>
  <c r="A697" i="37"/>
  <c r="A698" i="37"/>
  <c r="A699" i="37"/>
  <c r="A700" i="37"/>
  <c r="A701" i="37"/>
  <c r="A702" i="37"/>
  <c r="A703" i="37"/>
  <c r="A704" i="37"/>
  <c r="A705" i="37"/>
  <c r="A706" i="37"/>
  <c r="A707" i="37"/>
  <c r="A708" i="37"/>
  <c r="A709" i="37"/>
  <c r="A710" i="37"/>
  <c r="A711" i="37"/>
  <c r="A712" i="37"/>
  <c r="A713" i="37"/>
  <c r="A714" i="37"/>
  <c r="A715" i="37"/>
  <c r="A716" i="37"/>
  <c r="A717" i="37"/>
  <c r="A718" i="37"/>
  <c r="A719" i="37"/>
  <c r="A720" i="37"/>
  <c r="A721" i="37"/>
  <c r="A722" i="37"/>
  <c r="A723" i="37"/>
  <c r="A724" i="37"/>
  <c r="A725" i="37"/>
  <c r="A726" i="37"/>
  <c r="A727" i="37"/>
  <c r="A728" i="37"/>
  <c r="A729" i="37"/>
  <c r="A730" i="37"/>
  <c r="A731" i="37"/>
  <c r="A732" i="37"/>
  <c r="A733" i="37"/>
  <c r="A734" i="37"/>
  <c r="A735" i="37"/>
  <c r="A736" i="37"/>
  <c r="A737" i="37"/>
  <c r="A738" i="37"/>
  <c r="A739" i="37"/>
  <c r="A740" i="37"/>
  <c r="A741" i="37"/>
  <c r="A742" i="37"/>
  <c r="A743" i="37"/>
  <c r="A744" i="37"/>
  <c r="A745" i="37"/>
  <c r="A746" i="37"/>
  <c r="A747" i="37"/>
  <c r="A748" i="37"/>
  <c r="A749" i="37"/>
  <c r="A750" i="37"/>
  <c r="A751" i="37"/>
  <c r="A752" i="37"/>
  <c r="A753" i="37"/>
  <c r="A754" i="37"/>
  <c r="A755" i="37"/>
  <c r="A756" i="37"/>
  <c r="A757" i="37"/>
  <c r="A758" i="37"/>
  <c r="A759" i="37"/>
  <c r="A760" i="37"/>
  <c r="A761" i="37"/>
  <c r="A762" i="37"/>
  <c r="A763" i="37"/>
  <c r="A764" i="37"/>
  <c r="A765" i="37"/>
  <c r="A766" i="37"/>
  <c r="A767" i="37"/>
  <c r="A768" i="37"/>
  <c r="A769" i="37"/>
  <c r="A770" i="37"/>
  <c r="A771" i="37"/>
  <c r="A772" i="37"/>
  <c r="A773" i="37"/>
  <c r="A774" i="37"/>
  <c r="A775" i="37"/>
  <c r="A776" i="37"/>
  <c r="A777" i="37"/>
  <c r="A778" i="37"/>
  <c r="A779" i="37"/>
  <c r="A780" i="37"/>
  <c r="A781" i="37"/>
  <c r="A782" i="37"/>
  <c r="A783" i="37"/>
  <c r="A784" i="37"/>
  <c r="A785" i="37"/>
  <c r="A786" i="37"/>
  <c r="A787" i="37"/>
  <c r="A788" i="37"/>
  <c r="A789" i="37"/>
  <c r="A790" i="37"/>
  <c r="A791" i="37"/>
  <c r="A792" i="37"/>
  <c r="A793" i="37"/>
  <c r="A794" i="37"/>
  <c r="A795" i="37"/>
  <c r="A796" i="37"/>
  <c r="A797" i="37"/>
  <c r="A798" i="37"/>
  <c r="A799" i="37"/>
  <c r="A800" i="37"/>
  <c r="A801" i="37"/>
  <c r="A802" i="37"/>
  <c r="A803" i="37"/>
  <c r="A804" i="37"/>
  <c r="A805" i="37"/>
  <c r="A806" i="37"/>
  <c r="A807" i="37"/>
  <c r="A808" i="37"/>
  <c r="A809" i="37"/>
  <c r="A810" i="37"/>
  <c r="A811" i="37"/>
  <c r="A812" i="37"/>
  <c r="A813" i="37"/>
  <c r="A814" i="37"/>
  <c r="A815" i="37"/>
  <c r="A816" i="37"/>
  <c r="A817" i="37"/>
  <c r="A818" i="37"/>
  <c r="A819" i="37"/>
  <c r="A820" i="37"/>
  <c r="A821" i="37"/>
  <c r="A822" i="37"/>
  <c r="A823" i="37"/>
  <c r="A824" i="37"/>
  <c r="A825" i="37"/>
  <c r="A826" i="37"/>
  <c r="A827" i="37"/>
  <c r="A828" i="37"/>
  <c r="A829" i="37"/>
  <c r="A830" i="37"/>
  <c r="A831" i="37"/>
  <c r="A832" i="37"/>
  <c r="A833" i="37"/>
  <c r="A834" i="37"/>
  <c r="A835" i="37"/>
  <c r="A836" i="37"/>
  <c r="A837" i="37"/>
  <c r="A838" i="37"/>
  <c r="A839" i="37"/>
  <c r="A840" i="37"/>
  <c r="A841" i="37"/>
  <c r="A842" i="37"/>
  <c r="A843" i="37"/>
  <c r="A844" i="37"/>
  <c r="A845" i="37"/>
  <c r="A846" i="37"/>
  <c r="A847" i="37"/>
  <c r="A848" i="37"/>
  <c r="A849" i="37"/>
  <c r="A850" i="37"/>
  <c r="A851" i="37"/>
  <c r="A852" i="37"/>
  <c r="A853" i="37"/>
  <c r="A854" i="37"/>
  <c r="A855" i="37"/>
  <c r="A856" i="37"/>
  <c r="A857" i="37"/>
  <c r="A858" i="37"/>
  <c r="A859" i="37"/>
  <c r="A860" i="37"/>
  <c r="A861" i="37"/>
  <c r="A862" i="37"/>
  <c r="A863" i="37"/>
  <c r="A864" i="37"/>
  <c r="A865" i="37"/>
  <c r="A866" i="37"/>
  <c r="A867" i="37"/>
  <c r="A868" i="37"/>
  <c r="A869" i="37"/>
  <c r="A870" i="37"/>
  <c r="A871" i="37"/>
  <c r="A872" i="37"/>
  <c r="A873" i="37"/>
  <c r="A874" i="37"/>
  <c r="A875" i="37"/>
  <c r="A876" i="37"/>
  <c r="A877" i="37"/>
  <c r="A878" i="37"/>
  <c r="A879" i="37"/>
  <c r="A880" i="37"/>
  <c r="A881" i="37"/>
  <c r="A882" i="37"/>
  <c r="A883" i="37"/>
  <c r="A884" i="37"/>
  <c r="A885" i="37"/>
  <c r="A886" i="37"/>
  <c r="A887" i="37"/>
  <c r="A888" i="37"/>
  <c r="A889" i="37"/>
  <c r="A890" i="37"/>
  <c r="A891" i="37"/>
  <c r="A892" i="37"/>
  <c r="A893" i="37"/>
  <c r="A894" i="37"/>
  <c r="A895" i="37"/>
  <c r="A896" i="37"/>
  <c r="A897" i="37"/>
  <c r="A898" i="37"/>
  <c r="A899" i="37"/>
  <c r="A900" i="37"/>
  <c r="A901" i="37"/>
  <c r="A902" i="37"/>
  <c r="A903" i="37"/>
  <c r="A904" i="37"/>
  <c r="A905" i="37"/>
  <c r="A906" i="37"/>
  <c r="A907" i="37"/>
  <c r="A908" i="37"/>
  <c r="A909" i="37"/>
  <c r="A910" i="37"/>
  <c r="A911" i="37"/>
  <c r="A912" i="37"/>
  <c r="A913" i="37"/>
  <c r="A914" i="37"/>
  <c r="A915" i="37"/>
  <c r="A916" i="37"/>
  <c r="A917" i="37"/>
  <c r="A918" i="37"/>
  <c r="A919" i="37"/>
  <c r="A920" i="37"/>
  <c r="A921" i="37"/>
  <c r="A922" i="37"/>
  <c r="A923" i="37"/>
  <c r="A924" i="37"/>
  <c r="A925" i="37"/>
  <c r="A926" i="37"/>
  <c r="A927" i="37"/>
  <c r="A928" i="37"/>
  <c r="A929" i="37"/>
  <c r="A930" i="37"/>
  <c r="A931" i="37"/>
  <c r="A932" i="37"/>
  <c r="A933" i="37"/>
  <c r="A934" i="37"/>
  <c r="A935" i="37"/>
  <c r="A936" i="37"/>
  <c r="A937" i="37"/>
  <c r="A938" i="37"/>
  <c r="A939" i="37"/>
  <c r="A940" i="37"/>
  <c r="A941" i="37"/>
  <c r="A942" i="37"/>
  <c r="A943" i="37"/>
  <c r="A944" i="37"/>
  <c r="A945" i="37"/>
  <c r="A946" i="37"/>
  <c r="A947" i="37"/>
  <c r="A948" i="37"/>
  <c r="A949" i="37"/>
  <c r="A950" i="37"/>
  <c r="A951" i="37"/>
  <c r="A952" i="37"/>
  <c r="A953" i="37"/>
  <c r="A954" i="37"/>
  <c r="A955" i="37"/>
  <c r="A956" i="37"/>
  <c r="A957" i="37"/>
  <c r="A958" i="37"/>
  <c r="A959" i="37"/>
  <c r="A960" i="37"/>
  <c r="A961" i="37"/>
  <c r="A962" i="37"/>
  <c r="A963" i="37"/>
  <c r="A964" i="37"/>
  <c r="A965" i="37"/>
  <c r="A966" i="37"/>
  <c r="A967" i="37"/>
  <c r="A968" i="37"/>
  <c r="A969" i="37"/>
  <c r="A970" i="37"/>
  <c r="A971" i="37"/>
  <c r="A972" i="37"/>
  <c r="A973" i="37"/>
  <c r="A974" i="37"/>
  <c r="A975" i="37"/>
  <c r="A976" i="37"/>
  <c r="A977" i="37"/>
  <c r="A978" i="37"/>
  <c r="A979" i="37"/>
  <c r="A980" i="37"/>
  <c r="A981" i="37"/>
  <c r="A982" i="37"/>
  <c r="A983" i="37"/>
  <c r="A984" i="37"/>
  <c r="A985" i="37"/>
  <c r="A986" i="37"/>
  <c r="A987" i="37"/>
  <c r="A988" i="37"/>
  <c r="A989" i="37"/>
  <c r="A990" i="37"/>
  <c r="A991" i="37"/>
  <c r="A992" i="37"/>
  <c r="A993" i="37"/>
  <c r="A994" i="37"/>
  <c r="A995" i="37"/>
  <c r="A996" i="37"/>
  <c r="A997" i="37"/>
  <c r="A998" i="37"/>
  <c r="A999" i="37"/>
  <c r="A1000" i="37"/>
  <c r="A1001" i="37"/>
  <c r="A1002" i="37"/>
  <c r="A1003" i="37"/>
  <c r="A1004" i="37"/>
  <c r="A1005" i="37"/>
  <c r="A1006" i="37"/>
  <c r="A1007" i="37"/>
  <c r="A1008" i="37"/>
  <c r="A1009" i="37"/>
  <c r="A1010" i="37"/>
  <c r="A1011" i="37"/>
  <c r="A1012" i="37"/>
  <c r="A1013" i="37"/>
  <c r="A1014" i="37"/>
  <c r="A1015" i="37"/>
  <c r="A1016" i="37"/>
  <c r="A1017" i="37"/>
  <c r="A1018" i="37"/>
  <c r="A1019" i="37"/>
  <c r="A1020" i="37"/>
  <c r="A1021" i="37"/>
  <c r="A1022" i="37"/>
  <c r="A1023" i="37"/>
  <c r="A1024" i="37"/>
  <c r="A1025" i="37"/>
  <c r="A1026" i="37"/>
  <c r="A1027" i="37"/>
  <c r="A1028" i="37"/>
  <c r="A1029" i="37"/>
  <c r="A1030" i="37"/>
  <c r="A1031" i="37"/>
  <c r="A1032" i="37"/>
  <c r="A1033" i="37"/>
  <c r="A1034" i="37"/>
  <c r="A1035" i="37"/>
  <c r="A1036" i="37"/>
  <c r="A1037" i="37"/>
  <c r="A1038" i="37"/>
  <c r="A1039" i="37"/>
  <c r="A1040" i="37"/>
  <c r="A1041" i="37"/>
  <c r="A1042" i="37"/>
  <c r="A1043" i="37"/>
  <c r="A1044" i="37"/>
  <c r="A1045" i="37"/>
  <c r="A1046" i="37"/>
  <c r="A1047" i="37"/>
  <c r="A1048" i="37"/>
  <c r="A1049" i="37"/>
  <c r="A1050" i="37"/>
  <c r="A1051" i="37"/>
  <c r="A1052" i="37"/>
  <c r="A1053" i="37"/>
  <c r="A1054" i="37"/>
  <c r="A1055" i="37"/>
  <c r="A1056" i="37"/>
  <c r="A1057" i="37"/>
  <c r="A1058" i="37"/>
  <c r="A1059" i="37"/>
  <c r="A1060" i="37"/>
  <c r="A1061" i="37"/>
  <c r="A1062" i="37"/>
  <c r="A1063" i="37"/>
  <c r="A1064" i="37"/>
  <c r="A1065" i="37"/>
  <c r="A1066" i="37"/>
  <c r="A1067" i="37"/>
  <c r="A1068" i="37"/>
  <c r="A1069" i="37"/>
  <c r="A1070" i="37"/>
  <c r="A1071" i="37"/>
  <c r="A1072" i="37"/>
  <c r="A1073" i="37"/>
  <c r="A1074" i="37"/>
  <c r="A1075" i="37"/>
  <c r="A1076" i="37"/>
  <c r="A1077" i="37"/>
  <c r="A1078" i="37"/>
  <c r="A1079" i="37"/>
  <c r="A1080" i="37"/>
  <c r="A1081" i="37"/>
  <c r="A1082" i="37"/>
  <c r="A1083" i="37"/>
  <c r="A1084" i="37"/>
  <c r="A1085" i="37"/>
  <c r="A1086" i="37"/>
  <c r="A1087" i="37"/>
  <c r="A1088" i="37"/>
  <c r="A1089" i="37"/>
  <c r="A1090" i="37"/>
  <c r="A1091" i="37"/>
  <c r="A1092" i="37"/>
  <c r="A1093" i="37"/>
  <c r="A1094" i="37"/>
  <c r="A1095" i="37"/>
  <c r="A1096" i="37"/>
  <c r="A1097" i="37"/>
  <c r="A1098" i="37"/>
  <c r="A1099" i="37"/>
  <c r="A1100" i="37"/>
  <c r="A1101" i="37"/>
  <c r="A1102" i="37"/>
  <c r="A1103" i="37"/>
  <c r="A1104" i="37"/>
  <c r="A1105" i="37"/>
  <c r="A1106" i="37"/>
  <c r="A1107" i="37"/>
  <c r="A1108" i="37"/>
  <c r="A1109" i="37"/>
  <c r="A1110" i="37"/>
  <c r="A1111" i="37"/>
  <c r="A1112" i="37"/>
  <c r="A1113" i="37"/>
  <c r="A1114" i="37"/>
  <c r="A1115" i="37"/>
  <c r="A1116" i="37"/>
  <c r="A1117" i="37"/>
  <c r="A1118" i="37"/>
  <c r="A1119" i="37"/>
  <c r="A1120" i="37"/>
  <c r="A1121" i="37"/>
  <c r="A1122" i="37"/>
  <c r="A1123" i="37"/>
  <c r="A1124" i="37"/>
  <c r="A1125" i="37"/>
  <c r="A1126" i="37"/>
  <c r="A1127" i="37"/>
  <c r="A1128" i="37"/>
  <c r="A1129" i="37"/>
  <c r="A1130" i="37"/>
  <c r="A1131" i="37"/>
  <c r="A1132" i="37"/>
  <c r="A1133" i="37"/>
  <c r="A1134" i="37"/>
  <c r="A1135" i="37"/>
  <c r="A1136" i="37"/>
  <c r="A1137" i="37"/>
  <c r="A1138" i="37"/>
  <c r="A1139" i="37"/>
  <c r="A1140" i="37"/>
  <c r="A1141" i="37"/>
  <c r="A1142" i="37"/>
  <c r="A1143" i="37"/>
  <c r="A1144" i="37"/>
  <c r="A1145" i="37"/>
  <c r="A1146" i="37"/>
  <c r="A1147" i="37"/>
  <c r="A1148" i="37"/>
  <c r="A1149" i="37"/>
  <c r="A1150" i="37"/>
  <c r="A1151" i="37"/>
  <c r="A1152" i="37"/>
  <c r="A1153" i="37"/>
  <c r="A1154" i="37"/>
  <c r="A1155" i="37"/>
  <c r="A1156" i="37"/>
  <c r="A1157" i="37"/>
  <c r="A1158" i="37"/>
  <c r="A1159" i="37"/>
  <c r="A1160" i="37"/>
  <c r="A1161" i="37"/>
  <c r="A1162" i="37"/>
  <c r="A1163" i="37"/>
  <c r="A1164" i="37"/>
  <c r="A1165" i="37"/>
  <c r="A1166" i="37"/>
  <c r="A1167" i="37"/>
  <c r="A1168" i="37"/>
  <c r="A1169" i="37"/>
  <c r="A1170" i="37"/>
  <c r="A1171" i="37"/>
  <c r="A1172" i="37"/>
  <c r="A1173" i="37"/>
  <c r="A1174" i="37"/>
  <c r="A1175" i="37"/>
  <c r="A1176" i="37"/>
  <c r="A1177" i="37"/>
  <c r="A1178" i="37"/>
  <c r="A1179" i="37"/>
  <c r="A1180" i="37"/>
  <c r="A1181" i="37"/>
  <c r="A1182" i="37"/>
  <c r="A1183" i="37"/>
  <c r="A1184" i="37"/>
  <c r="A1185" i="37"/>
  <c r="A1186" i="37"/>
  <c r="A1187" i="37"/>
  <c r="A1188" i="37"/>
  <c r="A1189" i="37"/>
  <c r="A1190" i="37"/>
  <c r="A1191" i="37"/>
  <c r="A1192" i="37"/>
  <c r="A1193" i="37"/>
  <c r="A1194" i="37"/>
  <c r="A1195" i="37"/>
  <c r="A1196" i="37"/>
  <c r="A1197" i="37"/>
  <c r="A1198" i="37"/>
  <c r="A1199" i="37"/>
  <c r="A1200" i="37"/>
  <c r="A1201" i="37"/>
  <c r="A1202" i="37"/>
  <c r="A1203" i="37"/>
  <c r="A1204" i="37"/>
  <c r="A1205" i="37"/>
  <c r="A1206" i="37"/>
  <c r="A1207" i="37"/>
  <c r="A1208" i="37"/>
  <c r="A1209" i="37"/>
  <c r="A1210" i="37"/>
  <c r="A1211" i="37"/>
  <c r="A1212" i="37"/>
  <c r="A1213" i="37"/>
  <c r="A1214" i="37"/>
  <c r="A1215" i="37"/>
  <c r="A1216" i="37"/>
  <c r="A1217" i="37"/>
  <c r="A1218" i="37"/>
  <c r="A1219" i="37"/>
  <c r="A1220" i="37"/>
  <c r="A1221" i="37"/>
  <c r="A1222" i="37"/>
  <c r="A1223" i="37"/>
  <c r="A1224" i="37"/>
  <c r="A1225" i="37"/>
  <c r="A1226" i="37"/>
  <c r="A1227" i="37"/>
  <c r="A1228" i="37"/>
  <c r="A1229" i="37"/>
  <c r="A1230" i="37"/>
  <c r="A1231" i="37"/>
  <c r="A1232" i="37"/>
  <c r="A1233" i="37"/>
  <c r="A1234" i="37"/>
  <c r="A1235" i="37"/>
  <c r="A1236" i="37"/>
  <c r="A1237" i="37"/>
  <c r="A1238" i="37"/>
  <c r="A1239" i="37"/>
  <c r="A1240" i="37"/>
  <c r="A1241" i="37"/>
  <c r="A1242" i="37"/>
  <c r="A1243" i="37"/>
  <c r="A1244" i="37"/>
  <c r="A1245" i="37"/>
  <c r="A1246" i="37"/>
  <c r="A1247" i="37"/>
  <c r="A1248" i="37"/>
  <c r="A1249" i="37"/>
  <c r="A1250" i="37"/>
  <c r="A1251" i="37"/>
  <c r="A1252" i="37"/>
  <c r="A1253" i="37"/>
  <c r="A1254" i="37"/>
  <c r="A1255" i="37"/>
  <c r="A1256" i="37"/>
  <c r="A1257" i="37"/>
  <c r="A1258" i="37"/>
  <c r="A1259" i="37"/>
  <c r="A1260" i="37"/>
  <c r="A1261" i="37"/>
  <c r="A1262" i="37"/>
  <c r="A1263" i="37"/>
  <c r="A1264" i="37"/>
  <c r="A1265" i="37"/>
  <c r="A1266" i="37"/>
  <c r="A1267" i="37"/>
  <c r="A1268" i="37"/>
  <c r="A1269" i="37"/>
  <c r="A1270" i="37"/>
  <c r="A1271" i="37"/>
  <c r="A1272" i="37"/>
  <c r="A1273" i="37"/>
  <c r="A1274" i="37"/>
  <c r="A1275" i="37"/>
  <c r="A1276" i="37"/>
  <c r="A1277" i="37"/>
  <c r="A1278" i="37"/>
  <c r="A1279" i="37"/>
  <c r="A1280" i="37"/>
  <c r="A1281" i="37"/>
  <c r="A1282" i="37"/>
  <c r="A1283" i="37"/>
  <c r="A1284" i="37"/>
  <c r="A1285" i="37"/>
  <c r="A1286" i="37"/>
  <c r="A1287" i="37"/>
  <c r="A1288" i="37"/>
  <c r="A1289" i="37"/>
  <c r="A1290" i="37"/>
  <c r="A1291" i="37"/>
  <c r="A1292" i="37"/>
  <c r="A1293" i="37"/>
  <c r="A1294" i="37"/>
  <c r="A1295" i="37"/>
  <c r="A1296" i="37"/>
  <c r="A1297" i="37"/>
  <c r="A1298" i="37"/>
  <c r="A1299" i="37"/>
  <c r="A1300" i="37"/>
  <c r="A1301" i="37"/>
  <c r="A1302" i="37"/>
  <c r="A1303" i="37"/>
  <c r="A1304" i="37"/>
  <c r="A1305" i="37"/>
  <c r="A1306" i="37"/>
  <c r="A1307" i="37"/>
  <c r="A1308" i="37"/>
  <c r="A1309" i="37"/>
  <c r="A1310" i="37"/>
  <c r="A1311" i="37"/>
  <c r="A1312" i="37"/>
  <c r="A1313" i="37"/>
  <c r="A1314" i="37"/>
  <c r="A1315" i="37"/>
  <c r="A1316" i="37"/>
  <c r="A1317" i="37"/>
  <c r="A1318" i="37"/>
  <c r="A1319" i="37"/>
  <c r="A1320" i="37"/>
  <c r="A1321" i="37"/>
  <c r="A1322" i="37"/>
  <c r="A1323" i="37"/>
  <c r="A1324" i="37"/>
  <c r="A1325" i="37"/>
  <c r="A1326" i="37"/>
  <c r="A1327" i="37"/>
  <c r="A1328" i="37"/>
  <c r="A1329" i="37"/>
  <c r="A1330" i="37"/>
  <c r="A1331" i="37"/>
  <c r="A1332" i="37"/>
  <c r="A1333" i="37"/>
  <c r="A1334" i="37"/>
  <c r="A1335" i="37"/>
  <c r="A1336" i="37"/>
  <c r="A1337" i="37"/>
  <c r="A1338" i="37"/>
  <c r="A1339" i="37"/>
  <c r="A1340" i="37"/>
  <c r="A1341" i="37"/>
  <c r="A1342" i="37"/>
  <c r="A1343" i="37"/>
  <c r="A1344" i="37"/>
  <c r="A1345" i="37"/>
  <c r="A1346" i="37"/>
  <c r="A1347" i="37"/>
  <c r="A1348" i="37"/>
  <c r="A1349" i="37"/>
  <c r="A1350" i="37"/>
  <c r="A1351" i="37"/>
  <c r="A1352" i="37"/>
  <c r="A1353" i="37"/>
  <c r="A1354" i="37"/>
  <c r="A1355" i="37"/>
  <c r="A1356" i="37"/>
  <c r="A1357" i="37"/>
  <c r="A1358" i="37"/>
  <c r="A1359" i="37"/>
  <c r="A1360" i="37"/>
  <c r="A1361" i="37"/>
  <c r="A1362" i="37"/>
  <c r="A1363" i="37"/>
  <c r="A1364" i="37"/>
  <c r="A1365" i="37"/>
  <c r="A1366" i="37"/>
  <c r="A1367" i="37"/>
  <c r="A1368" i="37"/>
  <c r="A1369" i="37"/>
  <c r="A1370" i="37"/>
  <c r="A1371" i="37"/>
  <c r="A1372" i="37"/>
  <c r="A1373" i="37"/>
  <c r="A1374" i="37"/>
  <c r="A1375" i="37"/>
  <c r="A1376" i="37"/>
  <c r="A1377" i="37"/>
  <c r="A1378" i="37"/>
  <c r="A1379" i="37"/>
  <c r="A1380" i="37"/>
  <c r="A1381" i="37"/>
  <c r="A1382" i="37"/>
  <c r="A1383" i="37"/>
  <c r="A1384" i="37"/>
  <c r="A1385" i="37"/>
  <c r="A1386" i="37"/>
  <c r="A1387" i="37"/>
  <c r="A1388" i="37"/>
  <c r="A1389" i="37"/>
  <c r="A1390" i="37"/>
  <c r="A1391" i="37"/>
  <c r="A1392" i="37"/>
  <c r="A1393" i="37"/>
  <c r="A1394" i="37"/>
  <c r="A1395" i="37"/>
  <c r="A1396" i="37"/>
  <c r="A1397" i="37"/>
  <c r="A1398" i="37"/>
  <c r="A1399" i="37"/>
  <c r="A1400" i="37"/>
  <c r="A1401" i="37"/>
  <c r="A1402" i="37"/>
  <c r="A1403" i="37"/>
  <c r="A1404" i="37"/>
  <c r="A1405" i="37"/>
  <c r="A1406" i="37"/>
  <c r="A1407" i="37"/>
  <c r="A1408" i="37"/>
  <c r="A1409" i="37"/>
  <c r="A1410" i="37"/>
  <c r="A1411" i="37"/>
  <c r="A1412" i="37"/>
  <c r="A1413" i="37"/>
  <c r="A1414" i="37"/>
  <c r="A1415" i="37"/>
  <c r="A1416" i="37"/>
  <c r="A1417" i="37"/>
  <c r="A1418" i="37"/>
  <c r="A1419" i="37"/>
  <c r="A1420" i="37"/>
  <c r="A1421" i="37"/>
  <c r="A1422" i="37"/>
  <c r="A1423" i="37"/>
  <c r="A1424" i="37"/>
  <c r="A1425" i="37"/>
  <c r="A1426" i="37"/>
  <c r="A1427" i="37"/>
  <c r="A1428" i="37"/>
  <c r="A1429" i="37"/>
  <c r="A1430" i="37"/>
  <c r="A1431" i="37"/>
  <c r="A1432" i="37"/>
  <c r="A1433" i="37"/>
  <c r="A1434" i="37"/>
  <c r="A1435" i="37"/>
  <c r="A1436" i="37"/>
  <c r="A1437" i="37"/>
  <c r="A1438" i="37"/>
  <c r="A1439" i="37"/>
  <c r="A1440" i="37"/>
  <c r="A1441" i="37"/>
  <c r="A1442" i="37"/>
  <c r="A1443" i="37"/>
  <c r="A1444" i="37"/>
  <c r="A1445" i="37"/>
  <c r="A1446" i="37"/>
  <c r="A1447" i="37"/>
  <c r="A1448" i="37"/>
  <c r="A1449" i="37"/>
  <c r="A1450" i="37"/>
  <c r="A1451" i="37"/>
  <c r="A1452" i="37"/>
  <c r="A1453" i="37"/>
  <c r="A1454" i="37"/>
  <c r="A1455" i="37"/>
  <c r="A1456" i="37"/>
  <c r="A1457" i="37"/>
  <c r="A1458" i="37"/>
  <c r="A1459" i="37"/>
  <c r="A1460" i="37"/>
  <c r="A1461" i="37"/>
  <c r="A1462" i="37"/>
  <c r="A1463" i="37"/>
  <c r="A1464" i="37"/>
  <c r="A1465" i="37"/>
  <c r="A1466" i="37"/>
  <c r="A1467" i="37"/>
  <c r="A1468" i="37"/>
  <c r="A1469" i="37"/>
  <c r="A1470" i="37"/>
  <c r="A1471" i="37"/>
  <c r="A1472" i="37"/>
  <c r="A1473" i="37"/>
  <c r="A1474" i="37"/>
  <c r="A1475" i="37"/>
  <c r="A1476" i="37"/>
  <c r="A1477" i="37"/>
  <c r="A1478" i="37"/>
  <c r="A1479" i="37"/>
  <c r="A1480" i="37"/>
  <c r="A1481" i="37"/>
  <c r="B3" i="33"/>
  <c r="Q3" i="33"/>
  <c r="Q3" i="34"/>
  <c r="B3" i="34"/>
  <c r="Q3" i="36"/>
  <c r="B3" i="36"/>
  <c r="U21" i="7"/>
  <c r="U22" i="7"/>
  <c r="U23" i="7"/>
  <c r="U24" i="7"/>
  <c r="F5" i="32" s="1"/>
  <c r="U25" i="7"/>
  <c r="U26" i="7"/>
  <c r="U27" i="7"/>
  <c r="U28" i="7"/>
  <c r="F7" i="34" s="1"/>
  <c r="N39" i="34" s="1"/>
  <c r="U29" i="7"/>
  <c r="U30" i="7"/>
  <c r="U31" i="7"/>
  <c r="U32" i="7"/>
  <c r="C30" i="42"/>
  <c r="E30" i="42" s="1"/>
  <c r="C29" i="42"/>
  <c r="E29" i="42" s="1"/>
  <c r="C28" i="42"/>
  <c r="E28" i="42" s="1"/>
  <c r="C27" i="42"/>
  <c r="E27" i="42" s="1"/>
  <c r="C26" i="42"/>
  <c r="C25" i="42"/>
  <c r="C22" i="42"/>
  <c r="C21" i="42"/>
  <c r="M21" i="42" s="1"/>
  <c r="C20" i="42"/>
  <c r="C19" i="42"/>
  <c r="E19" i="42" s="1"/>
  <c r="C18" i="42"/>
  <c r="E18" i="42" s="1"/>
  <c r="C17" i="42"/>
  <c r="E17" i="42" s="1"/>
  <c r="C16" i="42"/>
  <c r="E16" i="42" s="1"/>
  <c r="Q3" i="35"/>
  <c r="B3" i="35"/>
  <c r="A352" i="37"/>
  <c r="A353" i="37"/>
  <c r="A354" i="37"/>
  <c r="A355" i="37"/>
  <c r="E5" i="7"/>
  <c r="Q3" i="32"/>
  <c r="B3" i="32"/>
  <c r="AF3" i="10"/>
  <c r="D3" i="10"/>
  <c r="C15" i="42"/>
  <c r="E15" i="42" s="1"/>
  <c r="C14" i="42"/>
  <c r="E14" i="42" s="1"/>
  <c r="C13" i="42"/>
  <c r="E13" i="42" s="1"/>
  <c r="C12" i="42"/>
  <c r="E12" i="42" s="1"/>
  <c r="C11" i="42"/>
  <c r="E11" i="42" s="1"/>
  <c r="C10" i="42"/>
  <c r="E10" i="42" s="1"/>
  <c r="C9" i="42"/>
  <c r="E9" i="42" s="1"/>
  <c r="C8" i="42"/>
  <c r="E8" i="42" s="1"/>
  <c r="C7" i="42"/>
  <c r="E7" i="42" s="1"/>
  <c r="C6" i="42"/>
  <c r="E6" i="42" s="1"/>
  <c r="C5" i="42"/>
  <c r="E5" i="42" s="1"/>
  <c r="A350" i="37"/>
  <c r="A348" i="37"/>
  <c r="A346" i="37"/>
  <c r="A344" i="37"/>
  <c r="A342" i="37"/>
  <c r="A340" i="37"/>
  <c r="A320" i="37"/>
  <c r="A256" i="37"/>
  <c r="A224" i="37"/>
  <c r="A192" i="37"/>
  <c r="A128" i="37"/>
  <c r="A96" i="37"/>
  <c r="A78" i="37"/>
  <c r="A62" i="37"/>
  <c r="A54" i="37"/>
  <c r="A30" i="37"/>
  <c r="A14" i="37"/>
  <c r="A2" i="37"/>
  <c r="A2" i="39"/>
  <c r="C2" i="42"/>
  <c r="C1" i="42"/>
  <c r="AD23" i="5"/>
  <c r="AB33" i="41"/>
  <c r="AD33" i="41"/>
  <c r="AJ33" i="41" s="1"/>
  <c r="AF33" i="41"/>
  <c r="AH33" i="41"/>
  <c r="AB49" i="41"/>
  <c r="H49" i="41"/>
  <c r="AB48" i="41"/>
  <c r="H48" i="41"/>
  <c r="AB47" i="41"/>
  <c r="H47" i="41"/>
  <c r="AB46" i="41"/>
  <c r="H46" i="41"/>
  <c r="AB45" i="41"/>
  <c r="H45" i="41"/>
  <c r="J33" i="41"/>
  <c r="H33" i="41"/>
  <c r="F33" i="41"/>
  <c r="D33" i="41"/>
  <c r="AJ32" i="41"/>
  <c r="B32" i="41"/>
  <c r="AJ31" i="41"/>
  <c r="B31" i="41"/>
  <c r="AJ30" i="41"/>
  <c r="B30" i="41"/>
  <c r="AJ29" i="41"/>
  <c r="B29" i="41"/>
  <c r="AJ28" i="41"/>
  <c r="B28" i="41"/>
  <c r="AJ27" i="41"/>
  <c r="B27" i="41"/>
  <c r="AJ26" i="41"/>
  <c r="B26" i="41"/>
  <c r="AJ25" i="41"/>
  <c r="B25" i="41"/>
  <c r="AJ23" i="41"/>
  <c r="B23" i="41"/>
  <c r="AJ22" i="41"/>
  <c r="B22" i="41"/>
  <c r="AJ21" i="41"/>
  <c r="B21" i="41"/>
  <c r="AJ20" i="41"/>
  <c r="B20" i="41"/>
  <c r="AJ19" i="41"/>
  <c r="B19" i="41"/>
  <c r="AJ18" i="41"/>
  <c r="B18" i="41"/>
  <c r="AJ17" i="41"/>
  <c r="B17" i="41"/>
  <c r="AJ16" i="41"/>
  <c r="B16" i="41"/>
  <c r="AG9" i="41"/>
  <c r="W9" i="41"/>
  <c r="W43" i="41" s="1"/>
  <c r="L9" i="41"/>
  <c r="B9" i="41"/>
  <c r="M43" i="41" s="1"/>
  <c r="P1" i="36"/>
  <c r="A1" i="36"/>
  <c r="P1" i="35"/>
  <c r="A1" i="35"/>
  <c r="P1" i="34"/>
  <c r="A1" i="34"/>
  <c r="P1" i="33"/>
  <c r="A1" i="33"/>
  <c r="P1" i="32"/>
  <c r="A1" i="32"/>
  <c r="A1" i="18"/>
  <c r="B2" i="7"/>
  <c r="V108" i="39"/>
  <c r="AH29" i="5"/>
  <c r="AD29" i="5"/>
  <c r="AB23" i="5"/>
  <c r="X23" i="5"/>
  <c r="AH23" i="5"/>
  <c r="AB19" i="5"/>
  <c r="X19" i="5"/>
  <c r="AH19" i="5"/>
  <c r="AD19" i="5"/>
  <c r="AH15" i="5"/>
  <c r="AD15" i="5"/>
  <c r="AB15" i="5"/>
  <c r="X15" i="5"/>
  <c r="AH11" i="5"/>
  <c r="AD11" i="5"/>
  <c r="AB11" i="5"/>
  <c r="X11" i="5"/>
  <c r="M14" i="5"/>
  <c r="E14" i="5"/>
  <c r="I5" i="5"/>
  <c r="A341" i="37"/>
  <c r="A345" i="37"/>
  <c r="A349" i="37"/>
  <c r="A351" i="37"/>
  <c r="A347" i="37"/>
  <c r="A343" i="37"/>
  <c r="A339" i="37"/>
  <c r="A335" i="37"/>
  <c r="A331" i="37"/>
  <c r="A327" i="37"/>
  <c r="A323" i="37"/>
  <c r="A319" i="37"/>
  <c r="A315" i="37"/>
  <c r="A311" i="37"/>
  <c r="A307" i="37"/>
  <c r="A303" i="37"/>
  <c r="A299" i="37"/>
  <c r="A295" i="37"/>
  <c r="A291" i="37"/>
  <c r="A288" i="37"/>
  <c r="A287" i="37"/>
  <c r="A283" i="37"/>
  <c r="A279" i="37"/>
  <c r="A275" i="37"/>
  <c r="A271" i="37"/>
  <c r="A267" i="37"/>
  <c r="A263" i="37"/>
  <c r="A259" i="37"/>
  <c r="A255" i="37"/>
  <c r="A251" i="37"/>
  <c r="A247" i="37"/>
  <c r="A243" i="37"/>
  <c r="A239" i="37"/>
  <c r="A235" i="37"/>
  <c r="A231" i="37"/>
  <c r="A227" i="37"/>
  <c r="A223" i="37"/>
  <c r="A219" i="37"/>
  <c r="A215" i="37"/>
  <c r="A211" i="37"/>
  <c r="A207" i="37"/>
  <c r="A203" i="37"/>
  <c r="A199" i="37"/>
  <c r="A195" i="37"/>
  <c r="A191" i="37"/>
  <c r="A187" i="37"/>
  <c r="A183" i="37"/>
  <c r="A179" i="37"/>
  <c r="A175" i="37"/>
  <c r="A171" i="37"/>
  <c r="A167" i="37"/>
  <c r="A163" i="37"/>
  <c r="A160" i="37"/>
  <c r="A159" i="37"/>
  <c r="A155" i="37"/>
  <c r="A151" i="37"/>
  <c r="A147" i="37"/>
  <c r="A143" i="37"/>
  <c r="A139" i="37"/>
  <c r="A135" i="37"/>
  <c r="A131" i="37"/>
  <c r="A127" i="37"/>
  <c r="A123" i="37"/>
  <c r="A119" i="37"/>
  <c r="A115" i="37"/>
  <c r="A111" i="37"/>
  <c r="A107" i="37"/>
  <c r="A103" i="37"/>
  <c r="A99" i="37"/>
  <c r="A95" i="37"/>
  <c r="A94" i="37"/>
  <c r="A91" i="37"/>
  <c r="A87" i="37"/>
  <c r="A83" i="37"/>
  <c r="A79" i="37"/>
  <c r="A75" i="37"/>
  <c r="A71" i="37"/>
  <c r="A67" i="37"/>
  <c r="A63" i="37"/>
  <c r="A59" i="37"/>
  <c r="A55" i="37"/>
  <c r="A51" i="37"/>
  <c r="A47" i="37"/>
  <c r="A46" i="37"/>
  <c r="A43" i="37"/>
  <c r="A39" i="37"/>
  <c r="A35" i="37"/>
  <c r="A31" i="37"/>
  <c r="A27" i="37"/>
  <c r="A23" i="37"/>
  <c r="A20" i="37"/>
  <c r="A19" i="37"/>
  <c r="A15" i="37"/>
  <c r="A11" i="37"/>
  <c r="A7" i="37"/>
  <c r="A3" i="37"/>
  <c r="S89" i="35"/>
  <c r="Q89" i="35"/>
  <c r="D89" i="35"/>
  <c r="B89" i="35"/>
  <c r="S87" i="35"/>
  <c r="Q87" i="35"/>
  <c r="D87" i="35"/>
  <c r="B87" i="35"/>
  <c r="S85" i="35"/>
  <c r="Q85" i="35"/>
  <c r="D85" i="35"/>
  <c r="B85" i="35"/>
  <c r="S83" i="35"/>
  <c r="Q83" i="35"/>
  <c r="D83" i="35"/>
  <c r="B83" i="35"/>
  <c r="S60" i="35"/>
  <c r="Q60" i="35"/>
  <c r="D60" i="35"/>
  <c r="B60" i="35"/>
  <c r="S58" i="35"/>
  <c r="Q58" i="35"/>
  <c r="D58" i="35"/>
  <c r="B58" i="35"/>
  <c r="S56" i="35"/>
  <c r="Q56" i="35"/>
  <c r="D56" i="35"/>
  <c r="B56" i="35"/>
  <c r="S54" i="35"/>
  <c r="Q54" i="35"/>
  <c r="D54" i="35"/>
  <c r="B54" i="35"/>
  <c r="S31" i="35"/>
  <c r="Q31" i="35"/>
  <c r="D31" i="35"/>
  <c r="B31" i="35"/>
  <c r="S29" i="35"/>
  <c r="Q29" i="35"/>
  <c r="D29" i="35"/>
  <c r="B29" i="35"/>
  <c r="S27" i="35"/>
  <c r="Q27" i="35"/>
  <c r="D27" i="35"/>
  <c r="B27" i="35"/>
  <c r="S25" i="35"/>
  <c r="Q25" i="35"/>
  <c r="D25" i="35"/>
  <c r="B25" i="35"/>
  <c r="S89" i="34"/>
  <c r="Q89" i="34"/>
  <c r="D89" i="34"/>
  <c r="B89" i="34"/>
  <c r="S87" i="34"/>
  <c r="Q87" i="34"/>
  <c r="D87" i="34"/>
  <c r="B87" i="34"/>
  <c r="S85" i="34"/>
  <c r="Q85" i="34"/>
  <c r="D85" i="34"/>
  <c r="B85" i="34"/>
  <c r="S83" i="34"/>
  <c r="Q83" i="34"/>
  <c r="D83" i="34"/>
  <c r="B83" i="34"/>
  <c r="S60" i="34"/>
  <c r="Q60" i="34"/>
  <c r="D60" i="34"/>
  <c r="B60" i="34"/>
  <c r="S58" i="34"/>
  <c r="Q58" i="34"/>
  <c r="D58" i="34"/>
  <c r="B58" i="34"/>
  <c r="S56" i="34"/>
  <c r="Q56" i="34"/>
  <c r="D56" i="34"/>
  <c r="B56" i="34"/>
  <c r="S54" i="34"/>
  <c r="Q54" i="34"/>
  <c r="D54" i="34"/>
  <c r="B54" i="34"/>
  <c r="S31" i="34"/>
  <c r="Q31" i="34"/>
  <c r="D31" i="34"/>
  <c r="B31" i="34"/>
  <c r="S29" i="34"/>
  <c r="Q29" i="34"/>
  <c r="D29" i="34"/>
  <c r="B29" i="34"/>
  <c r="S27" i="34"/>
  <c r="Q27" i="34"/>
  <c r="D27" i="34"/>
  <c r="B27" i="34"/>
  <c r="S25" i="34"/>
  <c r="Q25" i="34"/>
  <c r="D25" i="34"/>
  <c r="B25" i="34"/>
  <c r="S89" i="33"/>
  <c r="Q89" i="33"/>
  <c r="D89" i="33"/>
  <c r="B89" i="33"/>
  <c r="S87" i="33"/>
  <c r="Q87" i="33"/>
  <c r="D87" i="33"/>
  <c r="B87" i="33"/>
  <c r="S85" i="33"/>
  <c r="Q85" i="33"/>
  <c r="D85" i="33"/>
  <c r="B85" i="33"/>
  <c r="S83" i="33"/>
  <c r="Q83" i="33"/>
  <c r="D83" i="33"/>
  <c r="B83" i="33"/>
  <c r="S60" i="33"/>
  <c r="Q60" i="33"/>
  <c r="D60" i="33"/>
  <c r="B60" i="33"/>
  <c r="S58" i="33"/>
  <c r="Q58" i="33"/>
  <c r="D58" i="33"/>
  <c r="B58" i="33"/>
  <c r="S56" i="33"/>
  <c r="Q56" i="33"/>
  <c r="D56" i="33"/>
  <c r="B56" i="33"/>
  <c r="S54" i="33"/>
  <c r="Q54" i="33"/>
  <c r="D54" i="33"/>
  <c r="B54" i="33"/>
  <c r="S31" i="33"/>
  <c r="Q31" i="33"/>
  <c r="D31" i="33"/>
  <c r="B31" i="33"/>
  <c r="S29" i="33"/>
  <c r="Q29" i="33"/>
  <c r="D29" i="33"/>
  <c r="B29" i="33"/>
  <c r="S27" i="33"/>
  <c r="Q27" i="33"/>
  <c r="D27" i="33"/>
  <c r="B27" i="33"/>
  <c r="S25" i="33"/>
  <c r="Q25" i="33"/>
  <c r="D25" i="33"/>
  <c r="B25" i="33"/>
  <c r="D116" i="36"/>
  <c r="B116" i="36"/>
  <c r="S116" i="36"/>
  <c r="Q116" i="36"/>
  <c r="D114" i="36"/>
  <c r="B114" i="36"/>
  <c r="S114" i="36"/>
  <c r="Q114" i="36"/>
  <c r="D112" i="36"/>
  <c r="B112" i="36"/>
  <c r="S112" i="36"/>
  <c r="Q112" i="36"/>
  <c r="D110" i="36"/>
  <c r="B110" i="36"/>
  <c r="S110" i="36"/>
  <c r="Q110" i="36"/>
  <c r="U5" i="7"/>
  <c r="U6" i="7"/>
  <c r="U7" i="7"/>
  <c r="U11" i="7"/>
  <c r="U8" i="7"/>
  <c r="U9" i="7"/>
  <c r="U10" i="7"/>
  <c r="F7" i="32" s="1"/>
  <c r="N39" i="32" s="1"/>
  <c r="U12" i="7"/>
  <c r="U13" i="7"/>
  <c r="U14" i="7"/>
  <c r="F6" i="34"/>
  <c r="F39" i="34" s="1"/>
  <c r="U7" i="35"/>
  <c r="B80" i="36"/>
  <c r="Q82" i="36"/>
  <c r="Q80" i="36"/>
  <c r="S86" i="36"/>
  <c r="Q86" i="36"/>
  <c r="S84" i="36"/>
  <c r="Q84" i="36"/>
  <c r="S82" i="36"/>
  <c r="S80" i="36"/>
  <c r="Q83" i="32"/>
  <c r="D86" i="36"/>
  <c r="B86" i="36"/>
  <c r="D84" i="36"/>
  <c r="B84" i="36"/>
  <c r="D82" i="36"/>
  <c r="B82" i="36"/>
  <c r="D80" i="36"/>
  <c r="Q50" i="36"/>
  <c r="B50" i="36"/>
  <c r="S56" i="36"/>
  <c r="Q56" i="36"/>
  <c r="S54" i="36"/>
  <c r="Q54" i="36"/>
  <c r="S52" i="36"/>
  <c r="Q52" i="36"/>
  <c r="S50" i="36"/>
  <c r="D56" i="36"/>
  <c r="B56" i="36"/>
  <c r="D54" i="36"/>
  <c r="B54" i="36"/>
  <c r="D52" i="36"/>
  <c r="B52" i="36"/>
  <c r="D50" i="36"/>
  <c r="Q24" i="36"/>
  <c r="Q22" i="36"/>
  <c r="S28" i="36"/>
  <c r="Q28" i="36"/>
  <c r="S26" i="36"/>
  <c r="Q26" i="36"/>
  <c r="S24" i="36"/>
  <c r="S22" i="36"/>
  <c r="D28" i="36"/>
  <c r="B28" i="36"/>
  <c r="D26" i="36"/>
  <c r="B26" i="36"/>
  <c r="D24" i="36"/>
  <c r="B24" i="36"/>
  <c r="D22" i="36"/>
  <c r="B22" i="36"/>
  <c r="AB7" i="35"/>
  <c r="M7" i="35"/>
  <c r="AB6" i="35"/>
  <c r="M6" i="35"/>
  <c r="AB5" i="35"/>
  <c r="M5" i="35"/>
  <c r="AB7" i="34"/>
  <c r="M7" i="34"/>
  <c r="AB6" i="34"/>
  <c r="M6" i="34"/>
  <c r="AB5" i="34"/>
  <c r="M5" i="34"/>
  <c r="AB7" i="33"/>
  <c r="M7" i="33"/>
  <c r="AB6" i="33"/>
  <c r="M6" i="33"/>
  <c r="AB5" i="33"/>
  <c r="M5" i="33"/>
  <c r="S89" i="32"/>
  <c r="Q89" i="32"/>
  <c r="S87" i="32"/>
  <c r="Q87" i="32"/>
  <c r="S85" i="32"/>
  <c r="Q85" i="32"/>
  <c r="S83" i="32"/>
  <c r="S60" i="32"/>
  <c r="Q60" i="32"/>
  <c r="S58" i="32"/>
  <c r="Q58" i="32"/>
  <c r="S56" i="32"/>
  <c r="Q56" i="32"/>
  <c r="S54" i="32"/>
  <c r="Q54" i="32"/>
  <c r="B83" i="32"/>
  <c r="D89" i="32"/>
  <c r="B89" i="32"/>
  <c r="D87" i="32"/>
  <c r="B87" i="32"/>
  <c r="D85" i="32"/>
  <c r="B85" i="32"/>
  <c r="D83" i="32"/>
  <c r="D60" i="32"/>
  <c r="B60" i="32"/>
  <c r="D58" i="32"/>
  <c r="B58" i="32"/>
  <c r="D56" i="32"/>
  <c r="B56" i="32"/>
  <c r="D54" i="32"/>
  <c r="B54" i="32"/>
  <c r="AB7" i="32"/>
  <c r="AB6" i="32"/>
  <c r="AB5" i="32"/>
  <c r="M7" i="32"/>
  <c r="M6" i="32"/>
  <c r="M5" i="32"/>
  <c r="A1" i="37"/>
  <c r="A4" i="37"/>
  <c r="A5" i="37"/>
  <c r="A6" i="37"/>
  <c r="A8" i="37"/>
  <c r="A9" i="37"/>
  <c r="A10" i="37"/>
  <c r="A12" i="37"/>
  <c r="A13" i="37"/>
  <c r="A16" i="37"/>
  <c r="A17" i="37"/>
  <c r="A18" i="37"/>
  <c r="A21" i="37"/>
  <c r="A22" i="37"/>
  <c r="A24" i="37"/>
  <c r="A25" i="37"/>
  <c r="A26" i="37"/>
  <c r="A28" i="37"/>
  <c r="A29" i="37"/>
  <c r="A32" i="37"/>
  <c r="A33" i="37"/>
  <c r="A34" i="37"/>
  <c r="A36" i="37"/>
  <c r="A37" i="37"/>
  <c r="A38" i="37"/>
  <c r="A40" i="37"/>
  <c r="A41" i="37"/>
  <c r="A42" i="37"/>
  <c r="A44" i="37"/>
  <c r="A45" i="37"/>
  <c r="A48" i="37"/>
  <c r="A49" i="37"/>
  <c r="A50" i="37"/>
  <c r="A52" i="37"/>
  <c r="A53" i="37"/>
  <c r="A56" i="37"/>
  <c r="A57" i="37"/>
  <c r="A58" i="37"/>
  <c r="A60" i="37"/>
  <c r="A61" i="37"/>
  <c r="A64" i="37"/>
  <c r="A65" i="37"/>
  <c r="A66" i="37"/>
  <c r="A68" i="37"/>
  <c r="A69" i="37"/>
  <c r="A70" i="37"/>
  <c r="A72" i="37"/>
  <c r="A73" i="37"/>
  <c r="A74" i="37"/>
  <c r="A76" i="37"/>
  <c r="A77" i="37"/>
  <c r="A80" i="37"/>
  <c r="A81" i="37"/>
  <c r="A82" i="37"/>
  <c r="A84" i="37"/>
  <c r="A85" i="37"/>
  <c r="A86" i="37"/>
  <c r="A88" i="37"/>
  <c r="A89" i="37"/>
  <c r="A90" i="37"/>
  <c r="A92" i="37"/>
  <c r="A93" i="37"/>
  <c r="A97" i="37"/>
  <c r="A98" i="37"/>
  <c r="A100" i="37"/>
  <c r="A101" i="37"/>
  <c r="A102" i="37"/>
  <c r="A104" i="37"/>
  <c r="A105" i="37"/>
  <c r="A106" i="37"/>
  <c r="A108" i="37"/>
  <c r="A109" i="37"/>
  <c r="A110" i="37"/>
  <c r="A112" i="37"/>
  <c r="A113" i="37"/>
  <c r="A114" i="37"/>
  <c r="A116" i="37"/>
  <c r="A117" i="37"/>
  <c r="A118" i="37"/>
  <c r="A120" i="37"/>
  <c r="A121" i="37"/>
  <c r="A122" i="37"/>
  <c r="A124" i="37"/>
  <c r="A125" i="37"/>
  <c r="A126" i="37"/>
  <c r="A129" i="37"/>
  <c r="A130" i="37"/>
  <c r="A132" i="37"/>
  <c r="A133" i="37"/>
  <c r="A134" i="37"/>
  <c r="A136" i="37"/>
  <c r="A137" i="37"/>
  <c r="A138" i="37"/>
  <c r="A140" i="37"/>
  <c r="A141" i="37"/>
  <c r="A142" i="37"/>
  <c r="A144" i="37"/>
  <c r="A145" i="37"/>
  <c r="A146" i="37"/>
  <c r="A148" i="37"/>
  <c r="A149" i="37"/>
  <c r="A150" i="37"/>
  <c r="A152" i="37"/>
  <c r="A153" i="37"/>
  <c r="A154" i="37"/>
  <c r="A156" i="37"/>
  <c r="A157" i="37"/>
  <c r="A158" i="37"/>
  <c r="A161" i="37"/>
  <c r="A162" i="37"/>
  <c r="A164" i="37"/>
  <c r="A165" i="37"/>
  <c r="A166" i="37"/>
  <c r="A168" i="37"/>
  <c r="A169" i="37"/>
  <c r="A170" i="37"/>
  <c r="A172" i="37"/>
  <c r="A173" i="37"/>
  <c r="A174" i="37"/>
  <c r="A176" i="37"/>
  <c r="A177" i="37"/>
  <c r="A178" i="37"/>
  <c r="A180" i="37"/>
  <c r="A181" i="37"/>
  <c r="A182" i="37"/>
  <c r="A184" i="37"/>
  <c r="A185" i="37"/>
  <c r="A186" i="37"/>
  <c r="A188" i="37"/>
  <c r="A189" i="37"/>
  <c r="A190" i="37"/>
  <c r="A193" i="37"/>
  <c r="A194" i="37"/>
  <c r="A196" i="37"/>
  <c r="A197" i="37"/>
  <c r="A198" i="37"/>
  <c r="A200" i="37"/>
  <c r="A201" i="37"/>
  <c r="A202" i="37"/>
  <c r="A204" i="37"/>
  <c r="A205" i="37"/>
  <c r="A206" i="37"/>
  <c r="A208" i="37"/>
  <c r="A209" i="37"/>
  <c r="A210" i="37"/>
  <c r="A212" i="37"/>
  <c r="A213" i="37"/>
  <c r="A214" i="37"/>
  <c r="A216" i="37"/>
  <c r="A217" i="37"/>
  <c r="A218" i="37"/>
  <c r="A220" i="37"/>
  <c r="A221" i="37"/>
  <c r="A222" i="37"/>
  <c r="A225" i="37"/>
  <c r="A226" i="37"/>
  <c r="A228" i="37"/>
  <c r="A229" i="37"/>
  <c r="A230" i="37"/>
  <c r="A232" i="37"/>
  <c r="A233" i="37"/>
  <c r="A234" i="37"/>
  <c r="A236" i="37"/>
  <c r="A237" i="37"/>
  <c r="A238" i="37"/>
  <c r="A240" i="37"/>
  <c r="A241" i="37"/>
  <c r="A242" i="37"/>
  <c r="A244" i="37"/>
  <c r="A245" i="37"/>
  <c r="A246" i="37"/>
  <c r="A248" i="37"/>
  <c r="A249" i="37"/>
  <c r="A250" i="37"/>
  <c r="A252" i="37"/>
  <c r="A253" i="37"/>
  <c r="A254" i="37"/>
  <c r="A257" i="37"/>
  <c r="A258" i="37"/>
  <c r="A260" i="37"/>
  <c r="A261" i="37"/>
  <c r="A262" i="37"/>
  <c r="A264" i="37"/>
  <c r="A265" i="37"/>
  <c r="A266" i="37"/>
  <c r="A268" i="37"/>
  <c r="A269" i="37"/>
  <c r="A270" i="37"/>
  <c r="A272" i="37"/>
  <c r="A273" i="37"/>
  <c r="A274" i="37"/>
  <c r="A276" i="37"/>
  <c r="A277" i="37"/>
  <c r="A278" i="37"/>
  <c r="A280" i="37"/>
  <c r="A281" i="37"/>
  <c r="A282" i="37"/>
  <c r="A284" i="37"/>
  <c r="A285" i="37"/>
  <c r="A286" i="37"/>
  <c r="A289" i="37"/>
  <c r="A290" i="37"/>
  <c r="A292" i="37"/>
  <c r="A293" i="37"/>
  <c r="A294" i="37"/>
  <c r="A296" i="37"/>
  <c r="A297" i="37"/>
  <c r="A298" i="37"/>
  <c r="A300" i="37"/>
  <c r="A301" i="37"/>
  <c r="A302" i="37"/>
  <c r="A304" i="37"/>
  <c r="A305" i="37"/>
  <c r="A306" i="37"/>
  <c r="A308" i="37"/>
  <c r="A309" i="37"/>
  <c r="A310" i="37"/>
  <c r="A312" i="37"/>
  <c r="A313" i="37"/>
  <c r="A314" i="37"/>
  <c r="A316" i="37"/>
  <c r="A317" i="37"/>
  <c r="A318" i="37"/>
  <c r="A321" i="37"/>
  <c r="A322" i="37"/>
  <c r="A324" i="37"/>
  <c r="A325" i="37"/>
  <c r="A326" i="37"/>
  <c r="A328" i="37"/>
  <c r="A329" i="37"/>
  <c r="A330" i="37"/>
  <c r="A332" i="37"/>
  <c r="A333" i="37"/>
  <c r="A334" i="37"/>
  <c r="A336" i="37"/>
  <c r="A337" i="37"/>
  <c r="A338" i="37"/>
  <c r="S31" i="32"/>
  <c r="Q31" i="32"/>
  <c r="D31" i="32"/>
  <c r="B31" i="32"/>
  <c r="S29" i="32"/>
  <c r="Q29" i="32"/>
  <c r="D29" i="32"/>
  <c r="B29" i="32"/>
  <c r="S27" i="32"/>
  <c r="Q27" i="32"/>
  <c r="D27" i="32"/>
  <c r="B27" i="32"/>
  <c r="S25" i="32"/>
  <c r="Q25" i="32"/>
  <c r="D25" i="32"/>
  <c r="B25" i="32"/>
  <c r="J34" i="7"/>
  <c r="L12" i="6" s="1"/>
  <c r="AX6" i="10" s="1"/>
  <c r="C34" i="7"/>
  <c r="L7" i="6" s="1"/>
  <c r="AC56" i="10" s="1"/>
  <c r="AI53" i="10" s="1"/>
  <c r="J17" i="7"/>
  <c r="I12" i="6" s="1"/>
  <c r="L13" i="7"/>
  <c r="J10" i="6" s="1"/>
  <c r="I21" i="6" s="1"/>
  <c r="AH15" i="10" s="1"/>
  <c r="C17" i="7"/>
  <c r="I7" i="6" s="1"/>
  <c r="AC48" i="10" s="1"/>
  <c r="AI45" i="10" s="1"/>
  <c r="E13" i="7"/>
  <c r="J5" i="6" s="1"/>
  <c r="AC46" i="10" s="1"/>
  <c r="AF45" i="10" s="1"/>
  <c r="J26" i="7"/>
  <c r="F12" i="6" s="1"/>
  <c r="A72" i="10" s="1"/>
  <c r="G69" i="10" s="1"/>
  <c r="C26" i="7"/>
  <c r="F7" i="6" s="1"/>
  <c r="A56" i="10" s="1"/>
  <c r="G53" i="10" s="1"/>
  <c r="M9" i="7"/>
  <c r="E12" i="6" s="1"/>
  <c r="E25" i="6" s="1"/>
  <c r="J19" i="10" s="1"/>
  <c r="J9" i="7"/>
  <c r="C12" i="6" s="1"/>
  <c r="E21" i="6" s="1"/>
  <c r="J15" i="10" s="1"/>
  <c r="C9" i="7"/>
  <c r="C7" i="6" s="1"/>
  <c r="C23" i="6" s="1"/>
  <c r="F17" i="10" s="1"/>
  <c r="U4" i="7"/>
  <c r="F6" i="32" s="1"/>
  <c r="N10" i="32" s="1"/>
  <c r="U6" i="32"/>
  <c r="AC10" i="32" s="1"/>
  <c r="U20" i="7"/>
  <c r="F5" i="35" s="1"/>
  <c r="F10" i="35" s="1"/>
  <c r="F19" i="35" s="1"/>
  <c r="M26" i="7"/>
  <c r="H12" i="6" s="1"/>
  <c r="H25" i="6" s="1"/>
  <c r="V19" i="10" s="1"/>
  <c r="F9" i="7"/>
  <c r="E7" i="6" s="1"/>
  <c r="C29" i="6" s="1"/>
  <c r="F21" i="10" s="1"/>
  <c r="M34" i="7"/>
  <c r="N12" i="6" s="1"/>
  <c r="E22" i="7"/>
  <c r="G5" i="6" s="1"/>
  <c r="H29" i="6" s="1"/>
  <c r="V21" i="10" s="1"/>
  <c r="E30" i="7"/>
  <c r="M5" i="6" s="1"/>
  <c r="N29" i="6" s="1"/>
  <c r="AX21" i="10" s="1"/>
  <c r="F26" i="7"/>
  <c r="H7" i="6" s="1"/>
  <c r="F29" i="6" s="1"/>
  <c r="R21" i="10" s="1"/>
  <c r="F17" i="7"/>
  <c r="K7" i="6" s="1"/>
  <c r="AC50" i="10" s="1"/>
  <c r="AL45" i="10" s="1"/>
  <c r="F34" i="7"/>
  <c r="N7" i="6" s="1"/>
  <c r="N23" i="6" s="1"/>
  <c r="AX17" i="10" s="1"/>
  <c r="L5" i="7"/>
  <c r="D10" i="6" s="1"/>
  <c r="E31" i="6" s="1"/>
  <c r="J23" i="10" s="1"/>
  <c r="L22" i="7"/>
  <c r="G10" i="6" s="1"/>
  <c r="F21" i="6" s="1"/>
  <c r="R15" i="10" s="1"/>
  <c r="L30" i="7"/>
  <c r="M10" i="6" s="1"/>
  <c r="AX5" i="10" s="1"/>
  <c r="M17" i="7"/>
  <c r="K12" i="6" s="1"/>
  <c r="AC66" i="10" s="1"/>
  <c r="AL61" i="10" s="1"/>
  <c r="AI71" i="10"/>
  <c r="AH73" i="10" s="1"/>
  <c r="AK71" i="10"/>
  <c r="AF73" i="10" s="1"/>
  <c r="AL71" i="10"/>
  <c r="AN71" i="10"/>
  <c r="AL73" i="10"/>
  <c r="AK75" i="10"/>
  <c r="AN73" i="10"/>
  <c r="AI75" i="10" s="1"/>
  <c r="AI63" i="10"/>
  <c r="AH65" i="10" s="1"/>
  <c r="AK63" i="10"/>
  <c r="AF65" i="10" s="1"/>
  <c r="AL63" i="10"/>
  <c r="AH67" i="10" s="1"/>
  <c r="AN63" i="10"/>
  <c r="AF67" i="10" s="1"/>
  <c r="AL65" i="10"/>
  <c r="AK67" i="10" s="1"/>
  <c r="AN65" i="10"/>
  <c r="AI67" i="10" s="1"/>
  <c r="AI55" i="10"/>
  <c r="AH57" i="10" s="1"/>
  <c r="AK55" i="10"/>
  <c r="AF57" i="10" s="1"/>
  <c r="AR56" i="10" s="1"/>
  <c r="AL55" i="10"/>
  <c r="AH59" i="10" s="1"/>
  <c r="AN55" i="10"/>
  <c r="AF59" i="10" s="1"/>
  <c r="AL57" i="10"/>
  <c r="AK59" i="10" s="1"/>
  <c r="AN57" i="10"/>
  <c r="AI59" i="10" s="1"/>
  <c r="AL49" i="10"/>
  <c r="AN49" i="10"/>
  <c r="AI51" i="10" s="1"/>
  <c r="AL47" i="10"/>
  <c r="AM46" i="10" s="1"/>
  <c r="AN47" i="10"/>
  <c r="AF51" i="10" s="1"/>
  <c r="AI47" i="10"/>
  <c r="AH49" i="10" s="1"/>
  <c r="AK47" i="10"/>
  <c r="AF49" i="10" s="1"/>
  <c r="AR48" i="10" s="1"/>
  <c r="AS46" i="10"/>
  <c r="L73" i="10"/>
  <c r="G75" i="10" s="1"/>
  <c r="J73" i="10"/>
  <c r="I75" i="10"/>
  <c r="L71" i="10"/>
  <c r="D75" i="10"/>
  <c r="J71" i="10"/>
  <c r="F75" i="10" s="1"/>
  <c r="I71" i="10"/>
  <c r="D73" i="10" s="1"/>
  <c r="G71" i="10"/>
  <c r="F73" i="10" s="1"/>
  <c r="L65" i="10"/>
  <c r="G67" i="10" s="1"/>
  <c r="J65" i="10"/>
  <c r="I67" i="10" s="1"/>
  <c r="L63" i="10"/>
  <c r="D67" i="10" s="1"/>
  <c r="J63" i="10"/>
  <c r="F67" i="10" s="1"/>
  <c r="I63" i="10"/>
  <c r="D65" i="10"/>
  <c r="E64" i="10" s="1"/>
  <c r="G63" i="10"/>
  <c r="H62" i="10" s="1"/>
  <c r="G55" i="10"/>
  <c r="J55" i="10"/>
  <c r="K54" i="10" s="1"/>
  <c r="I55" i="10"/>
  <c r="D57" i="10" s="1"/>
  <c r="L55" i="10"/>
  <c r="D59" i="10" s="1"/>
  <c r="L57" i="10"/>
  <c r="G59" i="10" s="1"/>
  <c r="J57" i="10"/>
  <c r="K56" i="10" s="1"/>
  <c r="L49" i="10"/>
  <c r="G51" i="10" s="1"/>
  <c r="J49" i="10"/>
  <c r="I51" i="10" s="1"/>
  <c r="L47" i="10"/>
  <c r="D51" i="10" s="1"/>
  <c r="J47" i="10"/>
  <c r="G47" i="10"/>
  <c r="P46" i="10"/>
  <c r="I47" i="10"/>
  <c r="D49" i="10" s="1"/>
  <c r="AD23" i="10"/>
  <c r="AD21" i="10"/>
  <c r="AD19" i="10"/>
  <c r="AD17" i="10"/>
  <c r="AD15" i="10"/>
  <c r="AD13" i="10"/>
  <c r="B23" i="10"/>
  <c r="B21" i="10"/>
  <c r="B19" i="10"/>
  <c r="B17" i="10"/>
  <c r="B15" i="10"/>
  <c r="B13" i="10"/>
  <c r="AR11" i="10"/>
  <c r="AF11" i="10"/>
  <c r="P11" i="10"/>
  <c r="D11" i="10"/>
  <c r="E108" i="39"/>
  <c r="C30" i="39"/>
  <c r="C31" i="39"/>
  <c r="L33" i="41"/>
  <c r="F7" i="33"/>
  <c r="N39" i="33" s="1"/>
  <c r="N56" i="33" s="1"/>
  <c r="U7" i="33"/>
  <c r="U68" i="33" s="1"/>
  <c r="U77" i="33" s="1"/>
  <c r="F7" i="35"/>
  <c r="N39" i="35" s="1"/>
  <c r="N48" i="35" s="1"/>
  <c r="U5" i="32"/>
  <c r="AC68" i="32" s="1"/>
  <c r="AC79" i="32" s="1"/>
  <c r="F6" i="33"/>
  <c r="N10" i="33" s="1"/>
  <c r="N19" i="33" s="1"/>
  <c r="AM62" i="10"/>
  <c r="Q46" i="10"/>
  <c r="F5" i="34"/>
  <c r="F5" i="33"/>
  <c r="N68" i="33" s="1"/>
  <c r="U6" i="35"/>
  <c r="U39" i="35" s="1"/>
  <c r="U56" i="35" s="1"/>
  <c r="AS70" i="10"/>
  <c r="H46" i="10"/>
  <c r="AS62" i="10"/>
  <c r="AM70" i="10"/>
  <c r="U5" i="34"/>
  <c r="U6" i="33"/>
  <c r="U7" i="34"/>
  <c r="U7" i="32"/>
  <c r="U68" i="32" s="1"/>
  <c r="U78" i="32" s="1"/>
  <c r="K18" i="41"/>
  <c r="U20" i="41"/>
  <c r="U22" i="41"/>
  <c r="R23" i="41"/>
  <c r="U27" i="41"/>
  <c r="R28" i="41"/>
  <c r="K31" i="41"/>
  <c r="U31" i="41"/>
  <c r="E37" i="41"/>
  <c r="E41" i="41"/>
  <c r="Z17" i="41"/>
  <c r="S18" i="41"/>
  <c r="Z21" i="41"/>
  <c r="S22" i="41"/>
  <c r="L23" i="41"/>
  <c r="S25" i="41"/>
  <c r="Z26" i="41"/>
  <c r="S29" i="41"/>
  <c r="Z30" i="41"/>
  <c r="L32" i="41"/>
  <c r="Z32" i="41"/>
  <c r="AE36" i="41"/>
  <c r="AE39" i="41"/>
  <c r="AE40" i="41"/>
  <c r="U17" i="41"/>
  <c r="R18" i="41"/>
  <c r="K21" i="41"/>
  <c r="U21" i="41"/>
  <c r="U23" i="41"/>
  <c r="R27" i="41"/>
  <c r="U28" i="41"/>
  <c r="K30" i="41"/>
  <c r="W36" i="41"/>
  <c r="W37" i="41"/>
  <c r="W40" i="41"/>
  <c r="W41" i="41"/>
  <c r="L16" i="41"/>
  <c r="Z16" i="41"/>
  <c r="S17" i="41"/>
  <c r="Z20" i="41"/>
  <c r="S21" i="41"/>
  <c r="L25" i="41"/>
  <c r="Z25" i="41"/>
  <c r="S28" i="41"/>
  <c r="Z29" i="41"/>
  <c r="S32" i="41"/>
  <c r="M36" i="41"/>
  <c r="M40" i="41"/>
  <c r="U18" i="41"/>
  <c r="K25" i="41"/>
  <c r="B33" i="41"/>
  <c r="AM48" i="10"/>
  <c r="AM56" i="10"/>
  <c r="AF75" i="10"/>
  <c r="K46" i="10"/>
  <c r="AJ54" i="10"/>
  <c r="F49" i="10"/>
  <c r="Q48" i="10"/>
  <c r="Q70" i="10"/>
  <c r="H70" i="10"/>
  <c r="P70" i="10"/>
  <c r="K72" i="10"/>
  <c r="AH75" i="10"/>
  <c r="AS74" i="10"/>
  <c r="F57" i="10"/>
  <c r="AS54" i="10"/>
  <c r="AR70" i="10"/>
  <c r="AW70" i="10" s="1"/>
  <c r="AL6" i="10"/>
  <c r="AR62" i="10"/>
  <c r="AW62" i="10" s="1"/>
  <c r="K62" i="10"/>
  <c r="Q54" i="10"/>
  <c r="Q56" i="10"/>
  <c r="AM54" i="10"/>
  <c r="K48" i="10"/>
  <c r="P62" i="10"/>
  <c r="AR46" i="10"/>
  <c r="AK51" i="10"/>
  <c r="AJ70" i="10"/>
  <c r="I59" i="10"/>
  <c r="AC92" i="36"/>
  <c r="AC115" i="36" s="1"/>
  <c r="U5" i="33"/>
  <c r="U10" i="33" s="1"/>
  <c r="U20" i="33" s="1"/>
  <c r="U34" i="36"/>
  <c r="U40" i="36" s="1"/>
  <c r="F65" i="10"/>
  <c r="Q64" i="10" s="1"/>
  <c r="F51" i="10"/>
  <c r="P54" i="10"/>
  <c r="Q62" i="10"/>
  <c r="K64" i="10"/>
  <c r="U92" i="36"/>
  <c r="F34" i="36"/>
  <c r="F39" i="36" s="1"/>
  <c r="J23" i="6"/>
  <c r="AO17" i="10" s="1"/>
  <c r="F59" i="10"/>
  <c r="Q58" i="10" s="1"/>
  <c r="N62" i="36"/>
  <c r="N97" i="36" s="1"/>
  <c r="F6" i="35"/>
  <c r="N10" i="35" s="1"/>
  <c r="F6" i="36"/>
  <c r="F24" i="36" s="1"/>
  <c r="U62" i="36"/>
  <c r="U72" i="36" s="1"/>
  <c r="E23" i="6"/>
  <c r="J17" i="10" s="1"/>
  <c r="N92" i="36"/>
  <c r="N112" i="36" s="1"/>
  <c r="AC34" i="36"/>
  <c r="AC51" i="36" s="1"/>
  <c r="U5" i="35"/>
  <c r="U10" i="35" s="1"/>
  <c r="N34" i="36"/>
  <c r="N54" i="36" s="1"/>
  <c r="U6" i="34"/>
  <c r="U39" i="34" s="1"/>
  <c r="U52" i="34" s="1"/>
  <c r="F92" i="36"/>
  <c r="F111" i="36" s="1"/>
  <c r="U6" i="36"/>
  <c r="U12" i="36" s="1"/>
  <c r="F62" i="36"/>
  <c r="F103" i="36" s="1"/>
  <c r="N6" i="36"/>
  <c r="N17" i="36" s="1"/>
  <c r="O46" i="10"/>
  <c r="N46" i="10"/>
  <c r="M46" i="10"/>
  <c r="R46" i="10" s="1"/>
  <c r="U46" i="10"/>
  <c r="AO54" i="10"/>
  <c r="AT54" i="10" s="1"/>
  <c r="AG74" i="10"/>
  <c r="AP54" i="10"/>
  <c r="AQ54" i="10"/>
  <c r="AP70" i="10"/>
  <c r="AQ70" i="10"/>
  <c r="AO70" i="10"/>
  <c r="AT70" i="10" s="1"/>
  <c r="U33" i="41" l="1"/>
  <c r="U16" i="41"/>
  <c r="Z31" i="41"/>
  <c r="Z27" i="41"/>
  <c r="S23" i="41"/>
  <c r="S19" i="41"/>
  <c r="W39" i="41"/>
  <c r="U32" i="41"/>
  <c r="AE42" i="41"/>
  <c r="AE38" i="41"/>
  <c r="Z28" i="41"/>
  <c r="Z23" i="41"/>
  <c r="S20" i="41"/>
  <c r="S16" i="41"/>
  <c r="U25" i="41"/>
  <c r="S30" i="41"/>
  <c r="S26" i="41"/>
  <c r="Z22" i="41"/>
  <c r="Z18" i="41"/>
  <c r="W42" i="41"/>
  <c r="W38" i="41"/>
  <c r="U30" i="41"/>
  <c r="U26" i="41"/>
  <c r="U19" i="41"/>
  <c r="AE41" i="41"/>
  <c r="AE37" i="41"/>
  <c r="S31" i="41"/>
  <c r="S27" i="41"/>
  <c r="Z19" i="41"/>
  <c r="U29" i="41"/>
  <c r="AE43" i="41"/>
  <c r="AC62" i="36"/>
  <c r="AC76" i="36" s="1"/>
  <c r="K22" i="41"/>
  <c r="M39" i="41"/>
  <c r="L27" i="41"/>
  <c r="L18" i="41"/>
  <c r="K32" i="41"/>
  <c r="R29" i="41"/>
  <c r="K23" i="41"/>
  <c r="R20" i="41"/>
  <c r="L26" i="41"/>
  <c r="L17" i="41"/>
  <c r="E40" i="41"/>
  <c r="E36" i="41"/>
  <c r="R30" i="41"/>
  <c r="R17" i="41"/>
  <c r="E43" i="41"/>
  <c r="R21" i="41"/>
  <c r="M42" i="41"/>
  <c r="M38" i="41"/>
  <c r="L29" i="41"/>
  <c r="L20" i="41"/>
  <c r="R31" i="41"/>
  <c r="K26" i="41"/>
  <c r="R22" i="41"/>
  <c r="K17" i="41"/>
  <c r="L28" i="41"/>
  <c r="L19" i="41"/>
  <c r="E39" i="41"/>
  <c r="R32" i="41"/>
  <c r="R26" i="41"/>
  <c r="K16" i="41"/>
  <c r="K27" i="41"/>
  <c r="K20" i="41"/>
  <c r="M41" i="41"/>
  <c r="M37" i="41"/>
  <c r="L31" i="41"/>
  <c r="L22" i="41"/>
  <c r="K28" i="41"/>
  <c r="R25" i="41"/>
  <c r="K19" i="41"/>
  <c r="R16" i="41"/>
  <c r="L30" i="41"/>
  <c r="L21" i="41"/>
  <c r="E42" i="41"/>
  <c r="E38" i="41"/>
  <c r="K29" i="41"/>
  <c r="R19" i="41"/>
  <c r="AC6" i="36"/>
  <c r="AC11" i="36" s="1"/>
  <c r="A54" i="10"/>
  <c r="D53" i="10" s="1"/>
  <c r="J6" i="10"/>
  <c r="P5" i="10"/>
  <c r="M22" i="42"/>
  <c r="M23" i="42"/>
  <c r="M24" i="42"/>
  <c r="U62" i="10"/>
  <c r="E66" i="10"/>
  <c r="P66" i="10"/>
  <c r="Q74" i="10"/>
  <c r="E74" i="10"/>
  <c r="K70" i="10"/>
  <c r="P74" i="10"/>
  <c r="AR74" i="10"/>
  <c r="AW74" i="10" s="1"/>
  <c r="AG66" i="10"/>
  <c r="AR66" i="10"/>
  <c r="U54" i="10"/>
  <c r="E58" i="10"/>
  <c r="AR54" i="10"/>
  <c r="AG58" i="10"/>
  <c r="AW54" i="10"/>
  <c r="AR58" i="10"/>
  <c r="E50" i="10"/>
  <c r="P50" i="10"/>
  <c r="AH51" i="10"/>
  <c r="AS50" i="10" s="1"/>
  <c r="AG50" i="10"/>
  <c r="AW46" i="10"/>
  <c r="Q66" i="10"/>
  <c r="H66" i="10"/>
  <c r="H74" i="10"/>
  <c r="O74" i="10" s="1"/>
  <c r="M74" i="10"/>
  <c r="P72" i="10"/>
  <c r="AS66" i="10"/>
  <c r="AJ66" i="10"/>
  <c r="AM64" i="10"/>
  <c r="AR64" i="10"/>
  <c r="AM72" i="10"/>
  <c r="AJ74" i="10"/>
  <c r="AQ74" i="10"/>
  <c r="AO74" i="10"/>
  <c r="AP74" i="10"/>
  <c r="AR72" i="10"/>
  <c r="AJ58" i="10"/>
  <c r="AS58" i="10"/>
  <c r="H50" i="10"/>
  <c r="Q50" i="10"/>
  <c r="H58" i="10"/>
  <c r="P58" i="10"/>
  <c r="U58" i="10" s="1"/>
  <c r="AR50" i="10"/>
  <c r="AW50" i="10" s="1"/>
  <c r="AJ50" i="10"/>
  <c r="U70" i="10"/>
  <c r="Q72" i="10"/>
  <c r="U72" i="10" s="1"/>
  <c r="E72" i="10"/>
  <c r="AS72" i="10"/>
  <c r="AW72" i="10" s="1"/>
  <c r="AG72" i="10"/>
  <c r="AJ62" i="10"/>
  <c r="AS64" i="10"/>
  <c r="AW64" i="10" s="1"/>
  <c r="AG64" i="10"/>
  <c r="N64" i="10"/>
  <c r="O64" i="10"/>
  <c r="M64" i="10"/>
  <c r="P64" i="10"/>
  <c r="U64" i="10" s="1"/>
  <c r="M62" i="10"/>
  <c r="N62" i="10"/>
  <c r="O62" i="10"/>
  <c r="AG48" i="10"/>
  <c r="AS48" i="10"/>
  <c r="AW48" i="10" s="1"/>
  <c r="AJ46" i="10"/>
  <c r="AS56" i="10"/>
  <c r="AW56" i="10" s="1"/>
  <c r="AG56" i="10"/>
  <c r="P56" i="10"/>
  <c r="U56" i="10" s="1"/>
  <c r="E56" i="10"/>
  <c r="H54" i="10"/>
  <c r="O54" i="10" s="1"/>
  <c r="N54" i="10"/>
  <c r="P48" i="10"/>
  <c r="U48" i="10" s="1"/>
  <c r="E48" i="10"/>
  <c r="G24" i="6"/>
  <c r="Y18" i="10" s="1"/>
  <c r="A48" i="10"/>
  <c r="G45" i="10" s="1"/>
  <c r="D5" i="6"/>
  <c r="D21" i="6" s="1"/>
  <c r="M15" i="10" s="1"/>
  <c r="I2" i="6"/>
  <c r="G19" i="6"/>
  <c r="Y13" i="10" s="1"/>
  <c r="G30" i="6"/>
  <c r="Y22" i="10" s="1"/>
  <c r="A74" i="10"/>
  <c r="J69" i="10" s="1"/>
  <c r="V7" i="10"/>
  <c r="AF6" i="10"/>
  <c r="H19" i="6"/>
  <c r="V13" i="10" s="1"/>
  <c r="AC62" i="10"/>
  <c r="AF61" i="10" s="1"/>
  <c r="P6" i="10"/>
  <c r="D26" i="6"/>
  <c r="M20" i="10" s="1"/>
  <c r="K31" i="6"/>
  <c r="AL23" i="10" s="1"/>
  <c r="E20" i="42"/>
  <c r="AC19" i="32"/>
  <c r="N25" i="32"/>
  <c r="E21" i="42"/>
  <c r="F51" i="34"/>
  <c r="AR5" i="10"/>
  <c r="L19" i="6"/>
  <c r="AT13" i="10" s="1"/>
  <c r="J5" i="10"/>
  <c r="A62" i="10"/>
  <c r="D61" i="10" s="1"/>
  <c r="M31" i="6"/>
  <c r="BA23" i="10" s="1"/>
  <c r="AC58" i="10"/>
  <c r="AL53" i="10" s="1"/>
  <c r="C21" i="6"/>
  <c r="F15" i="10" s="1"/>
  <c r="E29" i="6"/>
  <c r="J21" i="10" s="1"/>
  <c r="J19" i="6"/>
  <c r="AO13" i="10" s="1"/>
  <c r="AC39" i="32"/>
  <c r="AC56" i="32" s="1"/>
  <c r="F31" i="6"/>
  <c r="R23" i="10" s="1"/>
  <c r="E19" i="6"/>
  <c r="J13" i="10" s="1"/>
  <c r="D25" i="6"/>
  <c r="M19" i="10" s="1"/>
  <c r="D6" i="10"/>
  <c r="K23" i="6"/>
  <c r="AL17" i="10" s="1"/>
  <c r="J25" i="6"/>
  <c r="AO19" i="10" s="1"/>
  <c r="F39" i="32"/>
  <c r="F52" i="32" s="1"/>
  <c r="G31" i="6"/>
  <c r="Y23" i="10" s="1"/>
  <c r="AR6" i="10"/>
  <c r="V5" i="10"/>
  <c r="G20" i="6"/>
  <c r="Y14" i="10" s="1"/>
  <c r="K29" i="6"/>
  <c r="AL21" i="10" s="1"/>
  <c r="N19" i="6"/>
  <c r="AX13" i="10" s="1"/>
  <c r="AF5" i="10"/>
  <c r="A64" i="10"/>
  <c r="G61" i="10" s="1"/>
  <c r="G23" i="6"/>
  <c r="Y17" i="10" s="1"/>
  <c r="M20" i="6"/>
  <c r="BA14" i="10" s="1"/>
  <c r="M23" i="6"/>
  <c r="BA17" i="10" s="1"/>
  <c r="D22" i="6"/>
  <c r="M16" i="10" s="1"/>
  <c r="F68" i="32"/>
  <c r="F82" i="32" s="1"/>
  <c r="F58" i="34"/>
  <c r="F49" i="34"/>
  <c r="N14" i="36"/>
  <c r="F50" i="34"/>
  <c r="F48" i="34"/>
  <c r="F46" i="34"/>
  <c r="F47" i="34"/>
  <c r="F53" i="34"/>
  <c r="F55" i="34"/>
  <c r="F43" i="34"/>
  <c r="AC21" i="32"/>
  <c r="AC17" i="32"/>
  <c r="AC23" i="32"/>
  <c r="F70" i="36"/>
  <c r="N18" i="32"/>
  <c r="N26" i="36"/>
  <c r="U54" i="36"/>
  <c r="F84" i="36"/>
  <c r="L23" i="6"/>
  <c r="AT17" i="10" s="1"/>
  <c r="J21" i="6"/>
  <c r="AO15" i="10" s="1"/>
  <c r="I29" i="6"/>
  <c r="AH21" i="10" s="1"/>
  <c r="J26" i="6"/>
  <c r="AO20" i="10" s="1"/>
  <c r="I31" i="6"/>
  <c r="AH23" i="10" s="1"/>
  <c r="N50" i="35"/>
  <c r="AC26" i="36"/>
  <c r="F67" i="36"/>
  <c r="F22" i="36"/>
  <c r="N43" i="35"/>
  <c r="AC27" i="36"/>
  <c r="AC25" i="36"/>
  <c r="AC67" i="36"/>
  <c r="AC68" i="35"/>
  <c r="AC84" i="35" s="1"/>
  <c r="U46" i="36"/>
  <c r="U47" i="35"/>
  <c r="F68" i="35"/>
  <c r="F86" i="35" s="1"/>
  <c r="F39" i="33"/>
  <c r="F59" i="33" s="1"/>
  <c r="N59" i="35"/>
  <c r="AC86" i="32"/>
  <c r="N22" i="33"/>
  <c r="N15" i="33"/>
  <c r="U60" i="34"/>
  <c r="AC18" i="36"/>
  <c r="AC13" i="36"/>
  <c r="N27" i="36"/>
  <c r="N20" i="33"/>
  <c r="N60" i="35"/>
  <c r="D32" i="6"/>
  <c r="M24" i="10" s="1"/>
  <c r="M19" i="6"/>
  <c r="BA13" i="10" s="1"/>
  <c r="AC74" i="10"/>
  <c r="AL69" i="10" s="1"/>
  <c r="M30" i="6"/>
  <c r="BA22" i="10" s="1"/>
  <c r="N25" i="6"/>
  <c r="AX19" i="10" s="1"/>
  <c r="L31" i="6"/>
  <c r="AT23" i="10" s="1"/>
  <c r="AX7" i="10"/>
  <c r="U31" i="33"/>
  <c r="F76" i="36"/>
  <c r="N55" i="36"/>
  <c r="F38" i="36"/>
  <c r="AC109" i="36"/>
  <c r="U87" i="32"/>
  <c r="F10" i="36"/>
  <c r="U89" i="33"/>
  <c r="U88" i="33"/>
  <c r="U22" i="33"/>
  <c r="U75" i="33"/>
  <c r="U83" i="33"/>
  <c r="F112" i="36"/>
  <c r="AC80" i="36"/>
  <c r="N15" i="32"/>
  <c r="U80" i="33"/>
  <c r="U74" i="33"/>
  <c r="U86" i="33"/>
  <c r="U73" i="33"/>
  <c r="U75" i="36"/>
  <c r="F42" i="36"/>
  <c r="U78" i="33"/>
  <c r="U47" i="34"/>
  <c r="U85" i="33"/>
  <c r="U82" i="33"/>
  <c r="U87" i="33"/>
  <c r="U81" i="33"/>
  <c r="U74" i="36"/>
  <c r="N18" i="36"/>
  <c r="AC74" i="36"/>
  <c r="AC107" i="36"/>
  <c r="N83" i="36"/>
  <c r="U18" i="36"/>
  <c r="AC113" i="36"/>
  <c r="AC110" i="36"/>
  <c r="U76" i="33"/>
  <c r="U79" i="33"/>
  <c r="U72" i="33"/>
  <c r="U84" i="33"/>
  <c r="N16" i="36"/>
  <c r="AC71" i="36"/>
  <c r="F74" i="36"/>
  <c r="F106" i="36"/>
  <c r="F39" i="35"/>
  <c r="F48" i="35" s="1"/>
  <c r="N81" i="36"/>
  <c r="N47" i="36"/>
  <c r="F14" i="35"/>
  <c r="N48" i="33"/>
  <c r="F75" i="36"/>
  <c r="F79" i="36"/>
  <c r="F72" i="36"/>
  <c r="F104" i="36"/>
  <c r="F73" i="36"/>
  <c r="F81" i="36"/>
  <c r="N43" i="36"/>
  <c r="U10" i="32"/>
  <c r="U26" i="32" s="1"/>
  <c r="N52" i="33"/>
  <c r="F77" i="36"/>
  <c r="F97" i="36"/>
  <c r="F107" i="36"/>
  <c r="F66" i="36"/>
  <c r="F83" i="36"/>
  <c r="F102" i="36"/>
  <c r="N41" i="36"/>
  <c r="N44" i="36"/>
  <c r="F71" i="36"/>
  <c r="F86" i="36"/>
  <c r="F105" i="36"/>
  <c r="F85" i="36"/>
  <c r="F101" i="36"/>
  <c r="N50" i="36"/>
  <c r="N40" i="36"/>
  <c r="F68" i="33"/>
  <c r="F77" i="33" s="1"/>
  <c r="N26" i="35"/>
  <c r="N17" i="35"/>
  <c r="N27" i="35"/>
  <c r="N14" i="35"/>
  <c r="N16" i="35"/>
  <c r="N18" i="35"/>
  <c r="N25" i="35"/>
  <c r="N24" i="35"/>
  <c r="N30" i="35"/>
  <c r="N21" i="35"/>
  <c r="N22" i="35"/>
  <c r="N20" i="35"/>
  <c r="U83" i="36"/>
  <c r="F109" i="36"/>
  <c r="AC82" i="36"/>
  <c r="U16" i="33"/>
  <c r="U69" i="36"/>
  <c r="U79" i="36"/>
  <c r="U98" i="36"/>
  <c r="N12" i="36"/>
  <c r="F114" i="36"/>
  <c r="AC73" i="36"/>
  <c r="AC66" i="36"/>
  <c r="AC96" i="36"/>
  <c r="AC105" i="36"/>
  <c r="F23" i="36"/>
  <c r="AC45" i="36"/>
  <c r="N76" i="36"/>
  <c r="N19" i="32"/>
  <c r="N111" i="36"/>
  <c r="F54" i="36"/>
  <c r="F51" i="36"/>
  <c r="F10" i="33"/>
  <c r="F30" i="33" s="1"/>
  <c r="U74" i="32"/>
  <c r="AC10" i="35"/>
  <c r="AC23" i="35" s="1"/>
  <c r="U25" i="33"/>
  <c r="U29" i="33"/>
  <c r="U86" i="36"/>
  <c r="U67" i="36"/>
  <c r="F113" i="36"/>
  <c r="AC99" i="36"/>
  <c r="AC101" i="36"/>
  <c r="AC102" i="36"/>
  <c r="AC84" i="36"/>
  <c r="AC106" i="36"/>
  <c r="AC56" i="36"/>
  <c r="N24" i="32"/>
  <c r="AC10" i="34"/>
  <c r="AC20" i="34" s="1"/>
  <c r="F47" i="36"/>
  <c r="U51" i="35"/>
  <c r="AC112" i="36"/>
  <c r="AC111" i="36"/>
  <c r="U80" i="32"/>
  <c r="U15" i="33"/>
  <c r="AC81" i="36"/>
  <c r="AC75" i="36"/>
  <c r="N17" i="32"/>
  <c r="F43" i="36"/>
  <c r="AC68" i="33"/>
  <c r="AC85" i="33" s="1"/>
  <c r="N19" i="35"/>
  <c r="N15" i="35"/>
  <c r="N23" i="35"/>
  <c r="N53" i="36"/>
  <c r="N56" i="36"/>
  <c r="AC12" i="36"/>
  <c r="AC19" i="36"/>
  <c r="AC17" i="36"/>
  <c r="AC14" i="36"/>
  <c r="AC10" i="36"/>
  <c r="AC68" i="34"/>
  <c r="AC81" i="34" s="1"/>
  <c r="U10" i="34"/>
  <c r="U15" i="34" s="1"/>
  <c r="U57" i="35"/>
  <c r="U52" i="35"/>
  <c r="AC79" i="36"/>
  <c r="AC97" i="36"/>
  <c r="AC69" i="36"/>
  <c r="AC83" i="36"/>
  <c r="AC77" i="36"/>
  <c r="AC72" i="36"/>
  <c r="AC50" i="36"/>
  <c r="AC46" i="36"/>
  <c r="N29" i="32"/>
  <c r="N21" i="32"/>
  <c r="U85" i="36"/>
  <c r="U84" i="36"/>
  <c r="U66" i="36"/>
  <c r="J7" i="10"/>
  <c r="C31" i="6"/>
  <c r="F23" i="10" s="1"/>
  <c r="D30" i="6"/>
  <c r="M22" i="10" s="1"/>
  <c r="N11" i="36"/>
  <c r="N24" i="36"/>
  <c r="U21" i="36"/>
  <c r="U13" i="36"/>
  <c r="U49" i="34"/>
  <c r="U50" i="34"/>
  <c r="N115" i="36"/>
  <c r="N116" i="36"/>
  <c r="F26" i="36"/>
  <c r="F17" i="36"/>
  <c r="N71" i="36"/>
  <c r="N86" i="36"/>
  <c r="F23" i="6"/>
  <c r="R17" i="10" s="1"/>
  <c r="G25" i="6"/>
  <c r="Y19" i="10" s="1"/>
  <c r="F69" i="36"/>
  <c r="F96" i="36"/>
  <c r="F82" i="36"/>
  <c r="F99" i="36"/>
  <c r="F98" i="36"/>
  <c r="F68" i="36"/>
  <c r="F100" i="36"/>
  <c r="F80" i="36"/>
  <c r="N42" i="36"/>
  <c r="N49" i="36"/>
  <c r="N52" i="36"/>
  <c r="F56" i="36"/>
  <c r="F50" i="36"/>
  <c r="K21" i="6"/>
  <c r="AL15" i="10" s="1"/>
  <c r="J29" i="6"/>
  <c r="AO21" i="10" s="1"/>
  <c r="J24" i="6"/>
  <c r="AO18" i="10" s="1"/>
  <c r="I25" i="6"/>
  <c r="AH19" i="10" s="1"/>
  <c r="U21" i="33"/>
  <c r="H31" i="6"/>
  <c r="V23" i="10" s="1"/>
  <c r="A70" i="10"/>
  <c r="D69" i="10" s="1"/>
  <c r="I23" i="6"/>
  <c r="AH17" i="10" s="1"/>
  <c r="J22" i="6"/>
  <c r="AO16" i="10" s="1"/>
  <c r="K19" i="6"/>
  <c r="AL13" i="10" s="1"/>
  <c r="U72" i="32"/>
  <c r="U88" i="32"/>
  <c r="L25" i="6"/>
  <c r="AT19" i="10" s="1"/>
  <c r="AC72" i="10"/>
  <c r="AI69" i="10" s="1"/>
  <c r="M29" i="6"/>
  <c r="BA21" i="10" s="1"/>
  <c r="M24" i="6"/>
  <c r="BA18" i="10" s="1"/>
  <c r="AC98" i="36"/>
  <c r="AC86" i="36"/>
  <c r="AC104" i="36"/>
  <c r="AC68" i="36"/>
  <c r="AC103" i="36"/>
  <c r="AC70" i="36"/>
  <c r="AC100" i="36"/>
  <c r="AC85" i="36"/>
  <c r="F115" i="36"/>
  <c r="F116" i="36"/>
  <c r="U96" i="36"/>
  <c r="U102" i="36"/>
  <c r="U97" i="36"/>
  <c r="U99" i="36"/>
  <c r="F53" i="36"/>
  <c r="F52" i="36"/>
  <c r="F44" i="36"/>
  <c r="F49" i="36"/>
  <c r="U43" i="36"/>
  <c r="U39" i="36"/>
  <c r="AL7" i="10"/>
  <c r="K25" i="6"/>
  <c r="AL19" i="10" s="1"/>
  <c r="J30" i="6"/>
  <c r="AO22" i="10" s="1"/>
  <c r="N15" i="36"/>
  <c r="N19" i="36"/>
  <c r="N21" i="36"/>
  <c r="N28" i="36"/>
  <c r="N13" i="36"/>
  <c r="F21" i="36"/>
  <c r="F27" i="36"/>
  <c r="U116" i="36"/>
  <c r="U110" i="36"/>
  <c r="U18" i="33"/>
  <c r="U17" i="33"/>
  <c r="U39" i="33"/>
  <c r="U54" i="33" s="1"/>
  <c r="AC10" i="33"/>
  <c r="AC15" i="33" s="1"/>
  <c r="N31" i="6"/>
  <c r="AX23" i="10" s="1"/>
  <c r="AC70" i="10"/>
  <c r="AF69" i="10" s="1"/>
  <c r="L21" i="6"/>
  <c r="AT15" i="10" s="1"/>
  <c r="G21" i="6"/>
  <c r="Y15" i="10" s="1"/>
  <c r="F19" i="6"/>
  <c r="R13" i="10" s="1"/>
  <c r="G32" i="6"/>
  <c r="Y24" i="10" s="1"/>
  <c r="J32" i="6"/>
  <c r="AO24" i="10" s="1"/>
  <c r="I19" i="6"/>
  <c r="AH13" i="10" s="1"/>
  <c r="N68" i="35"/>
  <c r="N86" i="35" s="1"/>
  <c r="D19" i="6"/>
  <c r="M13" i="10" s="1"/>
  <c r="AF7" i="10"/>
  <c r="J31" i="6"/>
  <c r="AO23" i="10" s="1"/>
  <c r="A66" i="10"/>
  <c r="J61" i="10" s="1"/>
  <c r="N44" i="34"/>
  <c r="N59" i="34"/>
  <c r="N55" i="34"/>
  <c r="N50" i="34"/>
  <c r="N60" i="34"/>
  <c r="N49" i="34"/>
  <c r="N45" i="34"/>
  <c r="N47" i="34"/>
  <c r="N43" i="34"/>
  <c r="N56" i="34"/>
  <c r="N57" i="34"/>
  <c r="N58" i="34"/>
  <c r="N54" i="34"/>
  <c r="N52" i="34"/>
  <c r="N46" i="34"/>
  <c r="N53" i="34"/>
  <c r="N51" i="34"/>
  <c r="N48" i="34"/>
  <c r="U21" i="35"/>
  <c r="U24" i="35"/>
  <c r="U27" i="35"/>
  <c r="U14" i="35"/>
  <c r="U15" i="35"/>
  <c r="U23" i="35"/>
  <c r="U22" i="35"/>
  <c r="U31" i="35"/>
  <c r="U25" i="35"/>
  <c r="U18" i="35"/>
  <c r="U17" i="35"/>
  <c r="U28" i="35"/>
  <c r="U29" i="35"/>
  <c r="U55" i="34"/>
  <c r="U51" i="34"/>
  <c r="U57" i="34"/>
  <c r="U30" i="33"/>
  <c r="U26" i="33"/>
  <c r="U28" i="33"/>
  <c r="U23" i="33"/>
  <c r="U24" i="33"/>
  <c r="F88" i="35"/>
  <c r="F84" i="35"/>
  <c r="F79" i="35"/>
  <c r="AC39" i="36"/>
  <c r="AC47" i="36"/>
  <c r="H23" i="6"/>
  <c r="V17" i="10" s="1"/>
  <c r="L29" i="6"/>
  <c r="AT21" i="10" s="1"/>
  <c r="AC114" i="36"/>
  <c r="AC116" i="36"/>
  <c r="J20" i="6"/>
  <c r="AO14" i="10" s="1"/>
  <c r="N43" i="33"/>
  <c r="N46" i="33"/>
  <c r="AC54" i="10"/>
  <c r="AF53" i="10" s="1"/>
  <c r="M21" i="6"/>
  <c r="BA15" i="10" s="1"/>
  <c r="M32" i="6"/>
  <c r="BA24" i="10" s="1"/>
  <c r="U111" i="36"/>
  <c r="U114" i="36"/>
  <c r="U109" i="36"/>
  <c r="U112" i="36"/>
  <c r="U48" i="34"/>
  <c r="U44" i="34"/>
  <c r="U27" i="33"/>
  <c r="U19" i="33"/>
  <c r="U14" i="33"/>
  <c r="F80" i="35"/>
  <c r="F83" i="35"/>
  <c r="F68" i="34"/>
  <c r="F78" i="34" s="1"/>
  <c r="U115" i="36"/>
  <c r="U16" i="36"/>
  <c r="U26" i="36"/>
  <c r="AR7" i="10"/>
  <c r="A58" i="10"/>
  <c r="J53" i="10" s="1"/>
  <c r="M26" i="6"/>
  <c r="BA20" i="10" s="1"/>
  <c r="AL5" i="10"/>
  <c r="C25" i="6"/>
  <c r="F19" i="10" s="1"/>
  <c r="D24" i="6"/>
  <c r="M18" i="10" s="1"/>
  <c r="D29" i="6"/>
  <c r="M21" i="10" s="1"/>
  <c r="U113" i="36"/>
  <c r="F28" i="35"/>
  <c r="N51" i="36"/>
  <c r="N46" i="36"/>
  <c r="N45" i="36"/>
  <c r="N38" i="36"/>
  <c r="N39" i="36"/>
  <c r="G26" i="6"/>
  <c r="Y20" i="10" s="1"/>
  <c r="N68" i="36"/>
  <c r="N96" i="36"/>
  <c r="F45" i="36"/>
  <c r="F41" i="36"/>
  <c r="F40" i="36"/>
  <c r="F46" i="36"/>
  <c r="F55" i="36"/>
  <c r="U50" i="36"/>
  <c r="U41" i="36"/>
  <c r="U79" i="32"/>
  <c r="U76" i="32"/>
  <c r="D23" i="6"/>
  <c r="M17" i="10" s="1"/>
  <c r="D20" i="6"/>
  <c r="M14" i="10" s="1"/>
  <c r="P7" i="10"/>
  <c r="A50" i="10"/>
  <c r="J45" i="10" s="1"/>
  <c r="D7" i="10"/>
  <c r="D31" i="6"/>
  <c r="M23" i="10" s="1"/>
  <c r="H21" i="6"/>
  <c r="V15" i="10" s="1"/>
  <c r="V6" i="10"/>
  <c r="G29" i="6"/>
  <c r="Y21" i="10" s="1"/>
  <c r="F25" i="6"/>
  <c r="R19" i="10" s="1"/>
  <c r="M22" i="6"/>
  <c r="BA16" i="10" s="1"/>
  <c r="M25" i="6"/>
  <c r="BA19" i="10" s="1"/>
  <c r="AC64" i="10"/>
  <c r="AI61" i="10" s="1"/>
  <c r="N21" i="6"/>
  <c r="AX15" i="10" s="1"/>
  <c r="G22" i="6"/>
  <c r="Y16" i="10" s="1"/>
  <c r="AC39" i="33"/>
  <c r="AC44" i="33" s="1"/>
  <c r="U26" i="35"/>
  <c r="U19" i="35"/>
  <c r="U16" i="35"/>
  <c r="U20" i="35"/>
  <c r="U30" i="35"/>
  <c r="F27" i="35"/>
  <c r="F31" i="35"/>
  <c r="F17" i="35"/>
  <c r="F16" i="35"/>
  <c r="F22" i="35"/>
  <c r="F20" i="35"/>
  <c r="F18" i="35"/>
  <c r="F29" i="35"/>
  <c r="F25" i="35"/>
  <c r="F24" i="35"/>
  <c r="F30" i="35"/>
  <c r="F15" i="35"/>
  <c r="F26" i="35"/>
  <c r="F23" i="35"/>
  <c r="F21" i="35"/>
  <c r="AC39" i="35"/>
  <c r="AC49" i="35" s="1"/>
  <c r="U68" i="35"/>
  <c r="U68" i="34"/>
  <c r="AC39" i="34"/>
  <c r="F10" i="34"/>
  <c r="F16" i="34" s="1"/>
  <c r="N68" i="34"/>
  <c r="N88" i="34" s="1"/>
  <c r="F60" i="34"/>
  <c r="F52" i="34"/>
  <c r="F59" i="34"/>
  <c r="F56" i="34"/>
  <c r="F54" i="34"/>
  <c r="F45" i="34"/>
  <c r="F57" i="34"/>
  <c r="F44" i="34"/>
  <c r="U59" i="34"/>
  <c r="U43" i="34"/>
  <c r="U56" i="34"/>
  <c r="U53" i="34"/>
  <c r="AC76" i="32"/>
  <c r="AC85" i="32"/>
  <c r="AC84" i="32"/>
  <c r="AC72" i="32"/>
  <c r="AC78" i="32"/>
  <c r="AC81" i="32"/>
  <c r="AC83" i="32"/>
  <c r="AC75" i="32"/>
  <c r="AC82" i="32"/>
  <c r="AC80" i="32"/>
  <c r="AC73" i="32"/>
  <c r="AC74" i="32"/>
  <c r="AC88" i="32"/>
  <c r="AC77" i="32"/>
  <c r="AC87" i="32"/>
  <c r="AC89" i="32"/>
  <c r="U73" i="36"/>
  <c r="U107" i="36"/>
  <c r="U106" i="36"/>
  <c r="U76" i="36"/>
  <c r="U104" i="36"/>
  <c r="U82" i="36"/>
  <c r="U101" i="36"/>
  <c r="U80" i="36"/>
  <c r="U68" i="36"/>
  <c r="U81" i="36"/>
  <c r="U70" i="36"/>
  <c r="U105" i="36"/>
  <c r="U71" i="36"/>
  <c r="U100" i="36"/>
  <c r="U103" i="36"/>
  <c r="U77" i="36"/>
  <c r="N80" i="36"/>
  <c r="N99" i="36"/>
  <c r="N98" i="36"/>
  <c r="N102" i="36"/>
  <c r="N84" i="36"/>
  <c r="N70" i="36"/>
  <c r="N79" i="36"/>
  <c r="N85" i="36"/>
  <c r="N100" i="36"/>
  <c r="N74" i="36"/>
  <c r="N103" i="36"/>
  <c r="N66" i="36"/>
  <c r="N75" i="36"/>
  <c r="N77" i="36"/>
  <c r="N82" i="36"/>
  <c r="N72" i="36"/>
  <c r="N105" i="36"/>
  <c r="N67" i="36"/>
  <c r="N104" i="36"/>
  <c r="N107" i="36"/>
  <c r="N106" i="36"/>
  <c r="N69" i="36"/>
  <c r="N101" i="36"/>
  <c r="N73" i="36"/>
  <c r="N10" i="34"/>
  <c r="U14" i="36"/>
  <c r="U17" i="36"/>
  <c r="U11" i="36"/>
  <c r="U28" i="36"/>
  <c r="U24" i="36"/>
  <c r="U27" i="36"/>
  <c r="U25" i="36"/>
  <c r="U10" i="36"/>
  <c r="U23" i="36"/>
  <c r="U22" i="36"/>
  <c r="AC44" i="36"/>
  <c r="AC53" i="36"/>
  <c r="AC38" i="36"/>
  <c r="AC40" i="36"/>
  <c r="AC41" i="36"/>
  <c r="AC43" i="36"/>
  <c r="AC49" i="36"/>
  <c r="AC55" i="36"/>
  <c r="F16" i="36"/>
  <c r="F18" i="36"/>
  <c r="F13" i="36"/>
  <c r="F14" i="36"/>
  <c r="F15" i="36"/>
  <c r="F25" i="36"/>
  <c r="F19" i="36"/>
  <c r="F12" i="36"/>
  <c r="U53" i="36"/>
  <c r="U47" i="36"/>
  <c r="U42" i="36"/>
  <c r="U38" i="36"/>
  <c r="U44" i="36"/>
  <c r="U45" i="36"/>
  <c r="U51" i="36"/>
  <c r="U56" i="36"/>
  <c r="U49" i="36"/>
  <c r="U75" i="32"/>
  <c r="U82" i="32"/>
  <c r="U77" i="32"/>
  <c r="U81" i="32"/>
  <c r="U84" i="32"/>
  <c r="U83" i="32"/>
  <c r="U89" i="32"/>
  <c r="U85" i="32"/>
  <c r="U86" i="32"/>
  <c r="U58" i="35"/>
  <c r="U50" i="35"/>
  <c r="U55" i="35"/>
  <c r="U49" i="35"/>
  <c r="U60" i="35"/>
  <c r="U48" i="35"/>
  <c r="U59" i="35"/>
  <c r="U46" i="35"/>
  <c r="U44" i="35"/>
  <c r="U45" i="35"/>
  <c r="U53" i="35"/>
  <c r="N25" i="36"/>
  <c r="N22" i="36"/>
  <c r="N23" i="36"/>
  <c r="N10" i="36"/>
  <c r="F110" i="36"/>
  <c r="F28" i="36"/>
  <c r="F11" i="36"/>
  <c r="AC42" i="36"/>
  <c r="AC54" i="36"/>
  <c r="AC52" i="36"/>
  <c r="U19" i="36"/>
  <c r="U15" i="36"/>
  <c r="U52" i="36"/>
  <c r="U55" i="36"/>
  <c r="U43" i="35"/>
  <c r="U54" i="35"/>
  <c r="U73" i="32"/>
  <c r="N113" i="36"/>
  <c r="N109" i="36"/>
  <c r="N110" i="36"/>
  <c r="N114" i="36"/>
  <c r="N16" i="32"/>
  <c r="N27" i="32"/>
  <c r="N20" i="32"/>
  <c r="N22" i="32"/>
  <c r="N30" i="32"/>
  <c r="N14" i="32"/>
  <c r="N23" i="32"/>
  <c r="N28" i="32"/>
  <c r="N31" i="32"/>
  <c r="N26" i="32"/>
  <c r="N83" i="33"/>
  <c r="N88" i="33"/>
  <c r="N73" i="33"/>
  <c r="F10" i="32"/>
  <c r="F24" i="32" s="1"/>
  <c r="N68" i="32"/>
  <c r="N58" i="33"/>
  <c r="N57" i="33"/>
  <c r="N60" i="33"/>
  <c r="N54" i="33"/>
  <c r="N44" i="33"/>
  <c r="N51" i="33"/>
  <c r="N55" i="33"/>
  <c r="N45" i="33"/>
  <c r="N76" i="33"/>
  <c r="N87" i="33"/>
  <c r="N45" i="32"/>
  <c r="N54" i="32"/>
  <c r="N59" i="32"/>
  <c r="N43" i="32"/>
  <c r="N58" i="32"/>
  <c r="N56" i="32"/>
  <c r="N60" i="32"/>
  <c r="N52" i="32"/>
  <c r="N51" i="32"/>
  <c r="N55" i="32"/>
  <c r="N49" i="32"/>
  <c r="N47" i="32"/>
  <c r="N48" i="32"/>
  <c r="N46" i="32"/>
  <c r="N53" i="32"/>
  <c r="N44" i="32"/>
  <c r="N50" i="32"/>
  <c r="N57" i="32"/>
  <c r="U45" i="34"/>
  <c r="U46" i="34"/>
  <c r="U54" i="34"/>
  <c r="U58" i="34"/>
  <c r="N28" i="35"/>
  <c r="N29" i="35"/>
  <c r="N31" i="35"/>
  <c r="N47" i="35"/>
  <c r="N54" i="35"/>
  <c r="N52" i="35"/>
  <c r="N57" i="35"/>
  <c r="N55" i="35"/>
  <c r="N46" i="35"/>
  <c r="N58" i="35"/>
  <c r="N45" i="35"/>
  <c r="N53" i="35"/>
  <c r="N49" i="35"/>
  <c r="N44" i="35"/>
  <c r="N51" i="35"/>
  <c r="N56" i="35"/>
  <c r="AC30" i="32"/>
  <c r="AC26" i="32"/>
  <c r="AC14" i="32"/>
  <c r="AC27" i="32"/>
  <c r="AC20" i="32"/>
  <c r="AC18" i="32"/>
  <c r="AC16" i="32"/>
  <c r="AC24" i="32"/>
  <c r="AC22" i="32"/>
  <c r="AC15" i="32"/>
  <c r="AC31" i="32"/>
  <c r="AC25" i="32"/>
  <c r="AC28" i="32"/>
  <c r="AC29" i="32"/>
  <c r="N86" i="33"/>
  <c r="N80" i="33"/>
  <c r="N77" i="33"/>
  <c r="N75" i="33"/>
  <c r="N82" i="33"/>
  <c r="N85" i="33"/>
  <c r="N78" i="33"/>
  <c r="N84" i="33"/>
  <c r="N79" i="33"/>
  <c r="N89" i="33"/>
  <c r="N72" i="33"/>
  <c r="N74" i="33"/>
  <c r="N81" i="33"/>
  <c r="N14" i="33"/>
  <c r="N16" i="33"/>
  <c r="N29" i="33"/>
  <c r="N23" i="33"/>
  <c r="N27" i="33"/>
  <c r="N28" i="33"/>
  <c r="N24" i="33"/>
  <c r="N30" i="33"/>
  <c r="N17" i="33"/>
  <c r="N26" i="33"/>
  <c r="N31" i="33"/>
  <c r="N21" i="33"/>
  <c r="N25" i="33"/>
  <c r="N18" i="33"/>
  <c r="N47" i="33"/>
  <c r="N49" i="33"/>
  <c r="N50" i="33"/>
  <c r="N53" i="33"/>
  <c r="N59" i="33"/>
  <c r="U39" i="32"/>
  <c r="AC23" i="36" l="1"/>
  <c r="AC22" i="36"/>
  <c r="AC16" i="36"/>
  <c r="AC28" i="36"/>
  <c r="AC24" i="36"/>
  <c r="AC15" i="36"/>
  <c r="AC21" i="36"/>
  <c r="AC27" i="33"/>
  <c r="AC72" i="35"/>
  <c r="AC89" i="35"/>
  <c r="F49" i="33"/>
  <c r="U66" i="10"/>
  <c r="W66" i="10" s="1"/>
  <c r="U74" i="10"/>
  <c r="O70" i="10"/>
  <c r="M70" i="10"/>
  <c r="R70" i="10" s="1"/>
  <c r="N70" i="10"/>
  <c r="W74" i="10"/>
  <c r="W70" i="10"/>
  <c r="AY64" i="10"/>
  <c r="AW66" i="10"/>
  <c r="AW58" i="10"/>
  <c r="AY54" i="10" s="1"/>
  <c r="U50" i="10"/>
  <c r="W50" i="10" s="1"/>
  <c r="W62" i="10"/>
  <c r="R64" i="10"/>
  <c r="N66" i="10"/>
  <c r="M66" i="10"/>
  <c r="O66" i="10"/>
  <c r="N74" i="10"/>
  <c r="R74" i="10" s="1"/>
  <c r="AQ66" i="10"/>
  <c r="AO66" i="10"/>
  <c r="AT66" i="10" s="1"/>
  <c r="AP66" i="10"/>
  <c r="AT74" i="10"/>
  <c r="AO58" i="10"/>
  <c r="AT58" i="10" s="1"/>
  <c r="AQ58" i="10"/>
  <c r="AP58" i="10"/>
  <c r="M50" i="10"/>
  <c r="R50" i="10" s="1"/>
  <c r="O50" i="10"/>
  <c r="N50" i="10"/>
  <c r="N58" i="10"/>
  <c r="O58" i="10"/>
  <c r="M58" i="10"/>
  <c r="AO50" i="10"/>
  <c r="AT50" i="10" s="1"/>
  <c r="AQ50" i="10"/>
  <c r="AP50" i="10"/>
  <c r="W72" i="10"/>
  <c r="M72" i="10"/>
  <c r="N72" i="10"/>
  <c r="O72" i="10"/>
  <c r="AP72" i="10"/>
  <c r="AQ72" i="10"/>
  <c r="AO72" i="10"/>
  <c r="AT72" i="10" s="1"/>
  <c r="AY72" i="10"/>
  <c r="AY70" i="10"/>
  <c r="AY74" i="10"/>
  <c r="AP62" i="10"/>
  <c r="AO62" i="10"/>
  <c r="AQ62" i="10"/>
  <c r="AY66" i="10"/>
  <c r="AP64" i="10"/>
  <c r="AO64" i="10"/>
  <c r="AQ64" i="10"/>
  <c r="AY62" i="10"/>
  <c r="W64" i="10"/>
  <c r="R62" i="10"/>
  <c r="AP46" i="10"/>
  <c r="AQ46" i="10"/>
  <c r="AO46" i="10"/>
  <c r="AT46" i="10" s="1"/>
  <c r="AY48" i="10"/>
  <c r="AY46" i="10"/>
  <c r="AY50" i="10"/>
  <c r="AO48" i="10"/>
  <c r="AQ48" i="10"/>
  <c r="AP48" i="10"/>
  <c r="AO56" i="10"/>
  <c r="AQ56" i="10"/>
  <c r="AP56" i="10"/>
  <c r="AY58" i="10"/>
  <c r="M54" i="10"/>
  <c r="R54" i="10" s="1"/>
  <c r="W54" i="10"/>
  <c r="W56" i="10"/>
  <c r="W58" i="10"/>
  <c r="N56" i="10"/>
  <c r="O56" i="10"/>
  <c r="M56" i="10"/>
  <c r="W48" i="10"/>
  <c r="O48" i="10"/>
  <c r="M48" i="10"/>
  <c r="N48" i="10"/>
  <c r="F74" i="35"/>
  <c r="C19" i="6"/>
  <c r="F13" i="10" s="1"/>
  <c r="AC50" i="32"/>
  <c r="AC53" i="32"/>
  <c r="AC51" i="32"/>
  <c r="AC46" i="32"/>
  <c r="AC45" i="32"/>
  <c r="AC43" i="32"/>
  <c r="AC58" i="32"/>
  <c r="AC57" i="32"/>
  <c r="AC48" i="32"/>
  <c r="AC55" i="32"/>
  <c r="AC54" i="32"/>
  <c r="A46" i="10"/>
  <c r="D45" i="10" s="1"/>
  <c r="D5" i="10"/>
  <c r="U21" i="32"/>
  <c r="U16" i="34"/>
  <c r="U19" i="34"/>
  <c r="U22" i="34"/>
  <c r="U27" i="34"/>
  <c r="U19" i="32"/>
  <c r="U28" i="34"/>
  <c r="AC52" i="32"/>
  <c r="AC49" i="32"/>
  <c r="AC44" i="32"/>
  <c r="AC60" i="32"/>
  <c r="AC47" i="32"/>
  <c r="AC59" i="32"/>
  <c r="U45" i="33"/>
  <c r="N83" i="34"/>
  <c r="F58" i="32"/>
  <c r="AC78" i="33"/>
  <c r="AC81" i="33"/>
  <c r="AC86" i="33"/>
  <c r="AC25" i="35"/>
  <c r="F51" i="32"/>
  <c r="F76" i="32"/>
  <c r="AC73" i="33"/>
  <c r="U48" i="33"/>
  <c r="F54" i="32"/>
  <c r="F77" i="32"/>
  <c r="F47" i="32"/>
  <c r="F50" i="32"/>
  <c r="AC87" i="33"/>
  <c r="AC89" i="34"/>
  <c r="AC77" i="33"/>
  <c r="U53" i="33"/>
  <c r="AC83" i="33"/>
  <c r="AC79" i="33"/>
  <c r="U43" i="33"/>
  <c r="AC88" i="33"/>
  <c r="F53" i="32"/>
  <c r="F55" i="32"/>
  <c r="F56" i="32"/>
  <c r="F49" i="32"/>
  <c r="F48" i="32"/>
  <c r="F46" i="32"/>
  <c r="F75" i="32"/>
  <c r="AC88" i="35"/>
  <c r="F44" i="32"/>
  <c r="F45" i="32"/>
  <c r="F60" i="32"/>
  <c r="F88" i="32"/>
  <c r="F60" i="33"/>
  <c r="F43" i="32"/>
  <c r="F57" i="32"/>
  <c r="N74" i="34"/>
  <c r="F59" i="32"/>
  <c r="N85" i="34"/>
  <c r="N82" i="34"/>
  <c r="AC89" i="33"/>
  <c r="N76" i="34"/>
  <c r="N89" i="34"/>
  <c r="AC76" i="33"/>
  <c r="AC20" i="35"/>
  <c r="F74" i="34"/>
  <c r="AC43" i="35"/>
  <c r="F87" i="34"/>
  <c r="F86" i="34"/>
  <c r="F79" i="32"/>
  <c r="F80" i="32"/>
  <c r="F74" i="32"/>
  <c r="AC74" i="35"/>
  <c r="AC87" i="35"/>
  <c r="AC80" i="35"/>
  <c r="AC86" i="34"/>
  <c r="AC88" i="34"/>
  <c r="F76" i="34"/>
  <c r="F28" i="34"/>
  <c r="F84" i="34"/>
  <c r="F87" i="32"/>
  <c r="F83" i="32"/>
  <c r="F86" i="32"/>
  <c r="F89" i="32"/>
  <c r="AC77" i="35"/>
  <c r="F72" i="35"/>
  <c r="F77" i="35"/>
  <c r="AC75" i="35"/>
  <c r="F75" i="35"/>
  <c r="AC79" i="35"/>
  <c r="F81" i="35"/>
  <c r="F50" i="33"/>
  <c r="AC72" i="34"/>
  <c r="AC80" i="34"/>
  <c r="F78" i="32"/>
  <c r="AC81" i="35"/>
  <c r="F43" i="33"/>
  <c r="AC82" i="35"/>
  <c r="AC84" i="34"/>
  <c r="F77" i="34"/>
  <c r="F76" i="33"/>
  <c r="F85" i="32"/>
  <c r="F81" i="32"/>
  <c r="F84" i="32"/>
  <c r="AC85" i="35"/>
  <c r="F47" i="33"/>
  <c r="F73" i="35"/>
  <c r="F85" i="35"/>
  <c r="F89" i="35"/>
  <c r="AC83" i="35"/>
  <c r="F52" i="33"/>
  <c r="F51" i="35"/>
  <c r="F78" i="35"/>
  <c r="F58" i="33"/>
  <c r="F72" i="32"/>
  <c r="F73" i="32"/>
  <c r="AC73" i="34"/>
  <c r="AC77" i="34"/>
  <c r="AC83" i="34"/>
  <c r="U25" i="32"/>
  <c r="F87" i="35"/>
  <c r="AC85" i="34"/>
  <c r="AC75" i="34"/>
  <c r="U31" i="32"/>
  <c r="F45" i="33"/>
  <c r="AC86" i="35"/>
  <c r="F44" i="33"/>
  <c r="AC28" i="33"/>
  <c r="U24" i="34"/>
  <c r="AC14" i="33"/>
  <c r="U29" i="34"/>
  <c r="F89" i="33"/>
  <c r="F27" i="33"/>
  <c r="N87" i="34"/>
  <c r="F49" i="35"/>
  <c r="F73" i="33"/>
  <c r="AC17" i="35"/>
  <c r="F56" i="35"/>
  <c r="F16" i="32"/>
  <c r="F84" i="33"/>
  <c r="F85" i="33"/>
  <c r="F25" i="33"/>
  <c r="F87" i="33"/>
  <c r="F81" i="33"/>
  <c r="AC31" i="34"/>
  <c r="F14" i="33"/>
  <c r="F29" i="33"/>
  <c r="F88" i="33"/>
  <c r="F79" i="33"/>
  <c r="F22" i="33"/>
  <c r="AC74" i="33"/>
  <c r="F58" i="35"/>
  <c r="F23" i="34"/>
  <c r="U60" i="33"/>
  <c r="U56" i="33"/>
  <c r="U50" i="33"/>
  <c r="U14" i="32"/>
  <c r="U16" i="32"/>
  <c r="U24" i="32"/>
  <c r="U23" i="32"/>
  <c r="AC46" i="35"/>
  <c r="AC59" i="35"/>
  <c r="U52" i="33"/>
  <c r="U58" i="33"/>
  <c r="F14" i="34"/>
  <c r="U49" i="33"/>
  <c r="U51" i="33"/>
  <c r="U44" i="33"/>
  <c r="U27" i="32"/>
  <c r="U30" i="32"/>
  <c r="U17" i="32"/>
  <c r="U29" i="32"/>
  <c r="AC56" i="35"/>
  <c r="U47" i="33"/>
  <c r="AC59" i="33"/>
  <c r="U20" i="32"/>
  <c r="U46" i="33"/>
  <c r="F24" i="34"/>
  <c r="U59" i="33"/>
  <c r="U57" i="33"/>
  <c r="U55" i="33"/>
  <c r="U22" i="32"/>
  <c r="U28" i="32"/>
  <c r="AC57" i="35"/>
  <c r="AC17" i="33"/>
  <c r="AC25" i="33"/>
  <c r="F16" i="33"/>
  <c r="AC28" i="35"/>
  <c r="F57" i="33"/>
  <c r="F55" i="33"/>
  <c r="F56" i="33"/>
  <c r="F51" i="33"/>
  <c r="AC76" i="35"/>
  <c r="F82" i="35"/>
  <c r="F76" i="35"/>
  <c r="F27" i="32"/>
  <c r="AC26" i="33"/>
  <c r="AC16" i="33"/>
  <c r="F48" i="33"/>
  <c r="F46" i="33"/>
  <c r="F54" i="33"/>
  <c r="F53" i="33"/>
  <c r="AC78" i="35"/>
  <c r="AC73" i="35"/>
  <c r="F18" i="32"/>
  <c r="F28" i="33"/>
  <c r="AC15" i="35"/>
  <c r="F59" i="35"/>
  <c r="F43" i="35"/>
  <c r="F55" i="35"/>
  <c r="F54" i="35"/>
  <c r="F23" i="32"/>
  <c r="AC43" i="33"/>
  <c r="F45" i="35"/>
  <c r="AC84" i="33"/>
  <c r="AC29" i="35"/>
  <c r="AC18" i="35"/>
  <c r="F50" i="35"/>
  <c r="F52" i="35"/>
  <c r="U25" i="34"/>
  <c r="F53" i="35"/>
  <c r="F44" i="35"/>
  <c r="F47" i="35"/>
  <c r="F57" i="35"/>
  <c r="F46" i="35"/>
  <c r="F60" i="35"/>
  <c r="AC53" i="33"/>
  <c r="AC56" i="33"/>
  <c r="AC47" i="33"/>
  <c r="U15" i="32"/>
  <c r="U18" i="32"/>
  <c r="F86" i="33"/>
  <c r="F72" i="33"/>
  <c r="F78" i="33"/>
  <c r="F74" i="33"/>
  <c r="F82" i="33"/>
  <c r="F83" i="33"/>
  <c r="F80" i="33"/>
  <c r="AC52" i="33"/>
  <c r="AC60" i="33"/>
  <c r="F75" i="33"/>
  <c r="AC14" i="34"/>
  <c r="AC23" i="34"/>
  <c r="AC17" i="34"/>
  <c r="AC15" i="34"/>
  <c r="AC25" i="34"/>
  <c r="AC27" i="34"/>
  <c r="AC16" i="34"/>
  <c r="AC26" i="34"/>
  <c r="AC21" i="34"/>
  <c r="F29" i="34"/>
  <c r="F15" i="34"/>
  <c r="AC47" i="35"/>
  <c r="AC51" i="35"/>
  <c r="AC30" i="34"/>
  <c r="N85" i="35"/>
  <c r="AC24" i="34"/>
  <c r="AC72" i="33"/>
  <c r="AC80" i="33"/>
  <c r="AC75" i="33"/>
  <c r="F19" i="33"/>
  <c r="F26" i="33"/>
  <c r="F17" i="33"/>
  <c r="F15" i="33"/>
  <c r="F31" i="33"/>
  <c r="F20" i="33"/>
  <c r="F18" i="33"/>
  <c r="F23" i="33"/>
  <c r="F24" i="33"/>
  <c r="F21" i="33"/>
  <c r="F17" i="34"/>
  <c r="F25" i="34"/>
  <c r="AC53" i="35"/>
  <c r="F22" i="34"/>
  <c r="F21" i="34"/>
  <c r="F19" i="34"/>
  <c r="F27" i="34"/>
  <c r="AC44" i="35"/>
  <c r="AC54" i="35"/>
  <c r="AC50" i="35"/>
  <c r="AC45" i="35"/>
  <c r="AC22" i="34"/>
  <c r="N75" i="35"/>
  <c r="U17" i="34"/>
  <c r="AC82" i="33"/>
  <c r="AC28" i="34"/>
  <c r="F30" i="34"/>
  <c r="AC52" i="35"/>
  <c r="F20" i="34"/>
  <c r="F18" i="34"/>
  <c r="F26" i="34"/>
  <c r="F31" i="34"/>
  <c r="AC55" i="35"/>
  <c r="AC48" i="35"/>
  <c r="AC60" i="35"/>
  <c r="AC58" i="35"/>
  <c r="AC19" i="34"/>
  <c r="AC29" i="34"/>
  <c r="AC22" i="33"/>
  <c r="AC18" i="34"/>
  <c r="AC30" i="35"/>
  <c r="AC21" i="35"/>
  <c r="AC31" i="35"/>
  <c r="AC26" i="35"/>
  <c r="AC27" i="35"/>
  <c r="AC14" i="35"/>
  <c r="AC24" i="35"/>
  <c r="AC19" i="35"/>
  <c r="AC22" i="35"/>
  <c r="AC16" i="35"/>
  <c r="U14" i="34"/>
  <c r="U31" i="34"/>
  <c r="U30" i="34"/>
  <c r="U26" i="34"/>
  <c r="U23" i="34"/>
  <c r="U18" i="34"/>
  <c r="U20" i="34"/>
  <c r="U21" i="34"/>
  <c r="AC82" i="34"/>
  <c r="AC79" i="34"/>
  <c r="AC87" i="34"/>
  <c r="AC76" i="34"/>
  <c r="AC74" i="34"/>
  <c r="AC78" i="34"/>
  <c r="AC54" i="33"/>
  <c r="AC45" i="33"/>
  <c r="AC48" i="33"/>
  <c r="N78" i="35"/>
  <c r="N80" i="35"/>
  <c r="N73" i="35"/>
  <c r="N74" i="35"/>
  <c r="N81" i="35"/>
  <c r="N82" i="35"/>
  <c r="N79" i="35"/>
  <c r="N87" i="35"/>
  <c r="N72" i="35"/>
  <c r="N77" i="35"/>
  <c r="N89" i="35"/>
  <c r="N84" i="35"/>
  <c r="N88" i="35"/>
  <c r="N83" i="35"/>
  <c r="N76" i="35"/>
  <c r="AC49" i="33"/>
  <c r="AC55" i="33"/>
  <c r="AC57" i="33"/>
  <c r="AC23" i="33"/>
  <c r="AC20" i="33"/>
  <c r="AC18" i="33"/>
  <c r="AC29" i="33"/>
  <c r="AC30" i="33"/>
  <c r="AC21" i="33"/>
  <c r="AC31" i="33"/>
  <c r="AC24" i="33"/>
  <c r="AC19" i="33"/>
  <c r="F20" i="32"/>
  <c r="F26" i="32"/>
  <c r="F82" i="34"/>
  <c r="F81" i="34"/>
  <c r="F72" i="34"/>
  <c r="F80" i="34"/>
  <c r="F73" i="34"/>
  <c r="F85" i="34"/>
  <c r="F79" i="34"/>
  <c r="F88" i="34"/>
  <c r="F83" i="34"/>
  <c r="F75" i="34"/>
  <c r="F89" i="34"/>
  <c r="F25" i="32"/>
  <c r="F14" i="32"/>
  <c r="F17" i="32"/>
  <c r="AC58" i="33"/>
  <c r="AC50" i="33"/>
  <c r="AC46" i="33"/>
  <c r="AC51" i="33"/>
  <c r="F28" i="32"/>
  <c r="F15" i="32"/>
  <c r="N74" i="32"/>
  <c r="N79" i="32"/>
  <c r="N84" i="32"/>
  <c r="N83" i="32"/>
  <c r="N77" i="32"/>
  <c r="N82" i="32"/>
  <c r="N80" i="32"/>
  <c r="N73" i="32"/>
  <c r="N75" i="32"/>
  <c r="N78" i="32"/>
  <c r="N86" i="32"/>
  <c r="N85" i="32"/>
  <c r="N87" i="32"/>
  <c r="N76" i="32"/>
  <c r="N72" i="32"/>
  <c r="N89" i="32"/>
  <c r="N88" i="32"/>
  <c r="N81" i="32"/>
  <c r="U83" i="34"/>
  <c r="U89" i="34"/>
  <c r="U85" i="34"/>
  <c r="U87" i="34"/>
  <c r="U86" i="34"/>
  <c r="U72" i="34"/>
  <c r="U88" i="34"/>
  <c r="U79" i="34"/>
  <c r="U81" i="34"/>
  <c r="U75" i="34"/>
  <c r="U82" i="34"/>
  <c r="U74" i="34"/>
  <c r="U78" i="34"/>
  <c r="U77" i="34"/>
  <c r="U80" i="34"/>
  <c r="U73" i="34"/>
  <c r="U76" i="34"/>
  <c r="U84" i="34"/>
  <c r="F30" i="32"/>
  <c r="F19" i="32"/>
  <c r="N14" i="34"/>
  <c r="N26" i="34"/>
  <c r="N19" i="34"/>
  <c r="N16" i="34"/>
  <c r="N30" i="34"/>
  <c r="N22" i="34"/>
  <c r="N17" i="34"/>
  <c r="N27" i="34"/>
  <c r="N24" i="34"/>
  <c r="N20" i="34"/>
  <c r="N31" i="34"/>
  <c r="N29" i="34"/>
  <c r="N18" i="34"/>
  <c r="N25" i="34"/>
  <c r="N23" i="34"/>
  <c r="N21" i="34"/>
  <c r="N15" i="34"/>
  <c r="N28" i="34"/>
  <c r="N86" i="34"/>
  <c r="N84" i="34"/>
  <c r="N79" i="34"/>
  <c r="N77" i="34"/>
  <c r="N72" i="34"/>
  <c r="N75" i="34"/>
  <c r="N80" i="34"/>
  <c r="N78" i="34"/>
  <c r="N73" i="34"/>
  <c r="N81" i="34"/>
  <c r="U82" i="35"/>
  <c r="U78" i="35"/>
  <c r="U74" i="35"/>
  <c r="U87" i="35"/>
  <c r="U80" i="35"/>
  <c r="U76" i="35"/>
  <c r="U77" i="35"/>
  <c r="U83" i="35"/>
  <c r="U73" i="35"/>
  <c r="U88" i="35"/>
  <c r="U85" i="35"/>
  <c r="U86" i="35"/>
  <c r="U84" i="35"/>
  <c r="U81" i="35"/>
  <c r="U75" i="35"/>
  <c r="U89" i="35"/>
  <c r="U79" i="35"/>
  <c r="U72" i="35"/>
  <c r="F31" i="32"/>
  <c r="F22" i="32"/>
  <c r="F29" i="32"/>
  <c r="F21" i="32"/>
  <c r="AC45" i="34"/>
  <c r="AC44" i="34"/>
  <c r="AC51" i="34"/>
  <c r="AC59" i="34"/>
  <c r="AC48" i="34"/>
  <c r="AC58" i="34"/>
  <c r="AC43" i="34"/>
  <c r="AC54" i="34"/>
  <c r="AC46" i="34"/>
  <c r="AC50" i="34"/>
  <c r="AC49" i="34"/>
  <c r="AC52" i="34"/>
  <c r="AC57" i="34"/>
  <c r="AC60" i="34"/>
  <c r="AC55" i="34"/>
  <c r="AC56" i="34"/>
  <c r="AC53" i="34"/>
  <c r="AC47" i="34"/>
  <c r="U49" i="32"/>
  <c r="U47" i="32"/>
  <c r="U59" i="32"/>
  <c r="U46" i="32"/>
  <c r="U56" i="32"/>
  <c r="U44" i="32"/>
  <c r="U58" i="32"/>
  <c r="U55" i="32"/>
  <c r="U54" i="32"/>
  <c r="U43" i="32"/>
  <c r="U52" i="32"/>
  <c r="U45" i="32"/>
  <c r="U60" i="32"/>
  <c r="U48" i="32"/>
  <c r="U51" i="32"/>
  <c r="U57" i="32"/>
  <c r="U50" i="32"/>
  <c r="U53" i="32"/>
  <c r="R66" i="10" l="1"/>
  <c r="AT62" i="10"/>
  <c r="AU62" i="10" s="1"/>
  <c r="AY56" i="10"/>
  <c r="W46" i="10"/>
  <c r="AT64" i="10"/>
  <c r="AT56" i="10"/>
  <c r="R48" i="10"/>
  <c r="S46" i="10" s="1"/>
  <c r="R58" i="10"/>
  <c r="R72" i="10"/>
  <c r="S72" i="10" s="1"/>
  <c r="AU72" i="10"/>
  <c r="AU74" i="10"/>
  <c r="AU70" i="10"/>
  <c r="S66" i="10"/>
  <c r="S62" i="10"/>
  <c r="S64" i="10"/>
  <c r="AT48" i="10"/>
  <c r="AU48" i="10" s="1"/>
  <c r="AU50" i="10"/>
  <c r="AU56" i="10"/>
  <c r="AU54" i="10"/>
  <c r="AU58" i="10"/>
  <c r="R56" i="10"/>
  <c r="S56" i="10" s="1"/>
  <c r="AU64" i="10" l="1"/>
  <c r="AU66" i="10"/>
  <c r="S50" i="10"/>
  <c r="S48" i="10"/>
  <c r="S54" i="10"/>
  <c r="AU46" i="10"/>
  <c r="S74" i="10"/>
  <c r="S70" i="10"/>
  <c r="S58" i="10"/>
</calcChain>
</file>

<file path=xl/sharedStrings.xml><?xml version="1.0" encoding="utf-8"?>
<sst xmlns="http://schemas.openxmlformats.org/spreadsheetml/2006/main" count="29639" uniqueCount="11922">
  <si>
    <t>地区名</t>
    <rPh sb="0" eb="2">
      <t>チク</t>
    </rPh>
    <rPh sb="2" eb="3">
      <t>メイ</t>
    </rPh>
    <phoneticPr fontId="5"/>
  </si>
  <si>
    <t>豊肥</t>
    <rPh sb="0" eb="1">
      <t>ホウ</t>
    </rPh>
    <rPh sb="1" eb="2">
      <t>ヒ</t>
    </rPh>
    <phoneticPr fontId="5"/>
  </si>
  <si>
    <t>別府</t>
    <rPh sb="0" eb="2">
      <t>ベップ</t>
    </rPh>
    <phoneticPr fontId="5"/>
  </si>
  <si>
    <t>大分</t>
    <rPh sb="0" eb="2">
      <t>オオイタ</t>
    </rPh>
    <phoneticPr fontId="5"/>
  </si>
  <si>
    <t>チーム名</t>
    <rPh sb="3" eb="4">
      <t>メイ</t>
    </rPh>
    <phoneticPr fontId="5"/>
  </si>
  <si>
    <t>中津</t>
    <rPh sb="0" eb="2">
      <t>ナカツ</t>
    </rPh>
    <phoneticPr fontId="5"/>
  </si>
  <si>
    <t>佐伯</t>
    <rPh sb="0" eb="2">
      <t>サイキ</t>
    </rPh>
    <phoneticPr fontId="5"/>
  </si>
  <si>
    <t>４．会議次第</t>
    <rPh sb="2" eb="4">
      <t>カイギ</t>
    </rPh>
    <rPh sb="4" eb="6">
      <t>シダイ</t>
    </rPh>
    <phoneticPr fontId="5"/>
  </si>
  <si>
    <t>５．その他</t>
    <rPh sb="4" eb="5">
      <t>タ</t>
    </rPh>
    <phoneticPr fontId="5"/>
  </si>
  <si>
    <t>地　　区</t>
    <rPh sb="0" eb="1">
      <t>チ</t>
    </rPh>
    <rPh sb="3" eb="4">
      <t>ク</t>
    </rPh>
    <phoneticPr fontId="5"/>
  </si>
  <si>
    <t>《決勝トーナメント日程》</t>
    <rPh sb="1" eb="3">
      <t>ケッショウ</t>
    </rPh>
    <rPh sb="9" eb="11">
      <t>ニッテイ</t>
    </rPh>
    <phoneticPr fontId="5"/>
  </si>
  <si>
    <t>A-１位</t>
    <rPh sb="3" eb="4">
      <t>イ</t>
    </rPh>
    <phoneticPr fontId="5"/>
  </si>
  <si>
    <t>E-１位</t>
    <rPh sb="3" eb="4">
      <t>イ</t>
    </rPh>
    <phoneticPr fontId="5"/>
  </si>
  <si>
    <t>B-１位</t>
    <rPh sb="3" eb="4">
      <t>イ</t>
    </rPh>
    <phoneticPr fontId="5"/>
  </si>
  <si>
    <t>F-１位</t>
    <rPh sb="3" eb="4">
      <t>イ</t>
    </rPh>
    <phoneticPr fontId="5"/>
  </si>
  <si>
    <t>C-１位</t>
    <rPh sb="3" eb="4">
      <t>イ</t>
    </rPh>
    <phoneticPr fontId="5"/>
  </si>
  <si>
    <t>G-１位</t>
    <rPh sb="3" eb="4">
      <t>イ</t>
    </rPh>
    <phoneticPr fontId="5"/>
  </si>
  <si>
    <t>D-１位</t>
    <rPh sb="3" eb="4">
      <t>イ</t>
    </rPh>
    <phoneticPr fontId="5"/>
  </si>
  <si>
    <t>H-１位</t>
    <rPh sb="3" eb="4">
      <t>イ</t>
    </rPh>
    <phoneticPr fontId="5"/>
  </si>
  <si>
    <t>開始時刻</t>
    <rPh sb="0" eb="2">
      <t>カイシ</t>
    </rPh>
    <rPh sb="2" eb="4">
      <t>ジコク</t>
    </rPh>
    <phoneticPr fontId="5"/>
  </si>
  <si>
    <t>審判</t>
    <rPh sb="0" eb="1">
      <t>シン</t>
    </rPh>
    <rPh sb="1" eb="2">
      <t>ハン</t>
    </rPh>
    <phoneticPr fontId="5"/>
  </si>
  <si>
    <t>休憩</t>
    <rPh sb="0" eb="2">
      <t>キュウケイ</t>
    </rPh>
    <phoneticPr fontId="5"/>
  </si>
  <si>
    <t>決勝</t>
    <rPh sb="0" eb="2">
      <t>ケッショウ</t>
    </rPh>
    <phoneticPr fontId="5"/>
  </si>
  <si>
    <t>閉会式</t>
    <rPh sb="0" eb="3">
      <t>ヘイカイシキ</t>
    </rPh>
    <phoneticPr fontId="5"/>
  </si>
  <si>
    <t>《予選リーグ日程》</t>
    <rPh sb="6" eb="8">
      <t>ニッテイ</t>
    </rPh>
    <phoneticPr fontId="5"/>
  </si>
  <si>
    <t>ｺﾞｰﾙ運搬</t>
    <rPh sb="4" eb="6">
      <t>ウンパン</t>
    </rPh>
    <phoneticPr fontId="5"/>
  </si>
  <si>
    <t>「Aパート」</t>
    <phoneticPr fontId="5"/>
  </si>
  <si>
    <t>「Cパート」</t>
    <phoneticPr fontId="5"/>
  </si>
  <si>
    <t>「Eパート」</t>
  </si>
  <si>
    <t>「Gパート」</t>
  </si>
  <si>
    <t>「Bパート」</t>
  </si>
  <si>
    <t>「Dパート」</t>
  </si>
  <si>
    <t>「Fパート」</t>
  </si>
  <si>
    <t>「Hパート」</t>
  </si>
  <si>
    <t>副審</t>
    <rPh sb="0" eb="2">
      <t>フクシン</t>
    </rPh>
    <phoneticPr fontId="5"/>
  </si>
  <si>
    <t>グループ</t>
  </si>
  <si>
    <t>【　A　】</t>
  </si>
  <si>
    <t>【　B　】</t>
  </si>
  <si>
    <t>【　C　】</t>
  </si>
  <si>
    <t>チーム</t>
  </si>
  <si>
    <t>コート</t>
  </si>
  <si>
    <t>勝点表</t>
  </si>
  <si>
    <t>勝</t>
  </si>
  <si>
    <t>敗</t>
  </si>
  <si>
    <t>星取表</t>
  </si>
  <si>
    <t>得失点</t>
  </si>
  <si>
    <t>＜予選リーグ組み合わせ・結果＞</t>
    <rPh sb="6" eb="7">
      <t>ク</t>
    </rPh>
    <rPh sb="8" eb="9">
      <t>ア</t>
    </rPh>
    <rPh sb="12" eb="14">
      <t>ケッカ</t>
    </rPh>
    <phoneticPr fontId="5"/>
  </si>
  <si>
    <t>会場</t>
    <rPh sb="0" eb="2">
      <t>カイジョウ</t>
    </rPh>
    <phoneticPr fontId="5"/>
  </si>
  <si>
    <t>【組合せ・時間割】</t>
    <rPh sb="1" eb="3">
      <t>クミアワ</t>
    </rPh>
    <rPh sb="5" eb="7">
      <t>ジカン</t>
    </rPh>
    <rPh sb="7" eb="8">
      <t>ワリ</t>
    </rPh>
    <phoneticPr fontId="5"/>
  </si>
  <si>
    <t>試合時間</t>
    <rPh sb="0" eb="2">
      <t>シアイ</t>
    </rPh>
    <rPh sb="2" eb="4">
      <t>ジカン</t>
    </rPh>
    <phoneticPr fontId="5"/>
  </si>
  <si>
    <t>対戦相手</t>
    <rPh sb="0" eb="2">
      <t>タイセン</t>
    </rPh>
    <rPh sb="2" eb="4">
      <t>アイテ</t>
    </rPh>
    <phoneticPr fontId="5"/>
  </si>
  <si>
    <t>得失点</t>
    <rPh sb="0" eb="3">
      <t>トクシッテン</t>
    </rPh>
    <phoneticPr fontId="5"/>
  </si>
  <si>
    <t>負</t>
    <rPh sb="0" eb="1">
      <t>マ</t>
    </rPh>
    <phoneticPr fontId="5"/>
  </si>
  <si>
    <t>位</t>
    <rPh sb="0" eb="1">
      <t>イ</t>
    </rPh>
    <phoneticPr fontId="5"/>
  </si>
  <si>
    <t>速杵国東</t>
    <rPh sb="0" eb="1">
      <t>ソク</t>
    </rPh>
    <rPh sb="1" eb="2">
      <t>キネ</t>
    </rPh>
    <rPh sb="2" eb="4">
      <t>クニサキ</t>
    </rPh>
    <phoneticPr fontId="5"/>
  </si>
  <si>
    <t>Bブロック（奇数）</t>
    <rPh sb="6" eb="8">
      <t>キスウ</t>
    </rPh>
    <phoneticPr fontId="5"/>
  </si>
  <si>
    <t>E1</t>
  </si>
  <si>
    <t>E2</t>
  </si>
  <si>
    <t>E3</t>
  </si>
  <si>
    <t>B1</t>
  </si>
  <si>
    <t>B2</t>
  </si>
  <si>
    <t>B3</t>
  </si>
  <si>
    <t>F1</t>
  </si>
  <si>
    <t>F2</t>
  </si>
  <si>
    <t>F3</t>
  </si>
  <si>
    <t>C1</t>
  </si>
  <si>
    <t>C2</t>
  </si>
  <si>
    <t>C3</t>
  </si>
  <si>
    <t>G1</t>
  </si>
  <si>
    <t>G2</t>
  </si>
  <si>
    <t>G3</t>
  </si>
  <si>
    <t>D1</t>
  </si>
  <si>
    <t>D2</t>
  </si>
  <si>
    <t>D3</t>
  </si>
  <si>
    <t>H1</t>
  </si>
  <si>
    <t>H2</t>
  </si>
  <si>
    <t>H3</t>
  </si>
  <si>
    <t>Aブロック（フリー）</t>
    <phoneticPr fontId="5"/>
  </si>
  <si>
    <t>休　　　　　　憩</t>
    <rPh sb="0" eb="1">
      <t>キュウ</t>
    </rPh>
    <rPh sb="7" eb="8">
      <t>イコイ</t>
    </rPh>
    <phoneticPr fontId="5"/>
  </si>
  <si>
    <t>☆準優勝</t>
    <rPh sb="1" eb="4">
      <t>ジュンユウショウ</t>
    </rPh>
    <phoneticPr fontId="5"/>
  </si>
  <si>
    <t>☆３位</t>
    <rPh sb="2" eb="3">
      <t>イ</t>
    </rPh>
    <phoneticPr fontId="5"/>
  </si>
  <si>
    <t>公式記録</t>
    <rPh sb="0" eb="2">
      <t>コウシキ</t>
    </rPh>
    <rPh sb="2" eb="4">
      <t>キロク</t>
    </rPh>
    <phoneticPr fontId="5"/>
  </si>
  <si>
    <t>大</t>
    <rPh sb="0" eb="1">
      <t>タイ</t>
    </rPh>
    <phoneticPr fontId="5"/>
  </si>
  <si>
    <t>第</t>
    <rPh sb="0" eb="1">
      <t>ダイ</t>
    </rPh>
    <phoneticPr fontId="5"/>
  </si>
  <si>
    <t>競技</t>
    <rPh sb="0" eb="1">
      <t>セリ</t>
    </rPh>
    <rPh sb="1" eb="2">
      <t>ワザ</t>
    </rPh>
    <phoneticPr fontId="5"/>
  </si>
  <si>
    <t>記</t>
    <rPh sb="0" eb="1">
      <t>キ</t>
    </rPh>
    <phoneticPr fontId="5"/>
  </si>
  <si>
    <t>会</t>
    <rPh sb="0" eb="1">
      <t>カイ</t>
    </rPh>
    <phoneticPr fontId="5"/>
  </si>
  <si>
    <t>時間</t>
    <rPh sb="0" eb="1">
      <t>トキ</t>
    </rPh>
    <rPh sb="1" eb="2">
      <t>アイダ</t>
    </rPh>
    <phoneticPr fontId="5"/>
  </si>
  <si>
    <t>録</t>
    <rPh sb="0" eb="1">
      <t>ロク</t>
    </rPh>
    <phoneticPr fontId="5"/>
  </si>
  <si>
    <t>名</t>
    <rPh sb="0" eb="1">
      <t>ナ</t>
    </rPh>
    <phoneticPr fontId="5"/>
  </si>
  <si>
    <t>準決勝</t>
    <rPh sb="0" eb="3">
      <t>ジュンケッショウ</t>
    </rPh>
    <phoneticPr fontId="5"/>
  </si>
  <si>
    <t>延長</t>
    <rPh sb="0" eb="2">
      <t>エンチョウ</t>
    </rPh>
    <phoneticPr fontId="5"/>
  </si>
  <si>
    <t>者</t>
    <rPh sb="0" eb="1">
      <t>シャ</t>
    </rPh>
    <phoneticPr fontId="5"/>
  </si>
  <si>
    <t>天</t>
    <rPh sb="0" eb="1">
      <t>テン</t>
    </rPh>
    <phoneticPr fontId="5"/>
  </si>
  <si>
    <t>晴</t>
    <rPh sb="0" eb="1">
      <t>ハレ</t>
    </rPh>
    <phoneticPr fontId="5"/>
  </si>
  <si>
    <t>風</t>
    <rPh sb="0" eb="1">
      <t>カゼ</t>
    </rPh>
    <phoneticPr fontId="5"/>
  </si>
  <si>
    <t>強</t>
    <rPh sb="0" eb="1">
      <t>キョウ</t>
    </rPh>
    <phoneticPr fontId="5"/>
  </si>
  <si>
    <t>弱</t>
    <rPh sb="0" eb="1">
      <t>ジャク</t>
    </rPh>
    <phoneticPr fontId="5"/>
  </si>
  <si>
    <t>無</t>
    <rPh sb="0" eb="1">
      <t>ム</t>
    </rPh>
    <phoneticPr fontId="5"/>
  </si>
  <si>
    <t>芝</t>
    <rPh sb="0" eb="1">
      <t>シバ</t>
    </rPh>
    <phoneticPr fontId="5"/>
  </si>
  <si>
    <t>状</t>
    <rPh sb="0" eb="1">
      <t>ジョウ</t>
    </rPh>
    <phoneticPr fontId="5"/>
  </si>
  <si>
    <t>良好</t>
    <rPh sb="0" eb="2">
      <t>リョウコウ</t>
    </rPh>
    <phoneticPr fontId="5"/>
  </si>
  <si>
    <t>審</t>
    <rPh sb="0" eb="1">
      <t>シン</t>
    </rPh>
    <phoneticPr fontId="5"/>
  </si>
  <si>
    <t>主審</t>
    <rPh sb="0" eb="2">
      <t>シュシン</t>
    </rPh>
    <phoneticPr fontId="5"/>
  </si>
  <si>
    <t>曇</t>
    <rPh sb="0" eb="1">
      <t>クモリ</t>
    </rPh>
    <phoneticPr fontId="5"/>
  </si>
  <si>
    <t>気温</t>
    <rPh sb="0" eb="2">
      <t>キオン</t>
    </rPh>
    <phoneticPr fontId="5"/>
  </si>
  <si>
    <t>不良</t>
    <rPh sb="0" eb="2">
      <t>フリョウ</t>
    </rPh>
    <phoneticPr fontId="5"/>
  </si>
  <si>
    <t>場</t>
    <rPh sb="0" eb="1">
      <t>バ</t>
    </rPh>
    <phoneticPr fontId="5"/>
  </si>
  <si>
    <t>候</t>
    <rPh sb="0" eb="1">
      <t>コウ</t>
    </rPh>
    <phoneticPr fontId="5"/>
  </si>
  <si>
    <t>雨</t>
    <rPh sb="0" eb="1">
      <t>アメ</t>
    </rPh>
    <phoneticPr fontId="5"/>
  </si>
  <si>
    <t>湿度</t>
    <rPh sb="0" eb="2">
      <t>シツド</t>
    </rPh>
    <phoneticPr fontId="5"/>
  </si>
  <si>
    <t>土</t>
    <rPh sb="0" eb="1">
      <t>ツチ</t>
    </rPh>
    <phoneticPr fontId="5"/>
  </si>
  <si>
    <t>態</t>
    <rPh sb="0" eb="1">
      <t>タイ</t>
    </rPh>
    <phoneticPr fontId="5"/>
  </si>
  <si>
    <t>泥沼</t>
    <rPh sb="0" eb="2">
      <t>ドロヌマ</t>
    </rPh>
    <phoneticPr fontId="5"/>
  </si>
  <si>
    <t>判</t>
    <rPh sb="0" eb="1">
      <t>ハン</t>
    </rPh>
    <phoneticPr fontId="5"/>
  </si>
  <si>
    <t>【チーム名】</t>
    <rPh sb="4" eb="5">
      <t>ナ</t>
    </rPh>
    <phoneticPr fontId="5"/>
  </si>
  <si>
    <t>前半</t>
    <rPh sb="0" eb="2">
      <t>ゼンハン</t>
    </rPh>
    <phoneticPr fontId="5"/>
  </si>
  <si>
    <t>後半</t>
    <rPh sb="0" eb="2">
      <t>コウハン</t>
    </rPh>
    <phoneticPr fontId="5"/>
  </si>
  <si>
    <t>延前</t>
    <rPh sb="0" eb="1">
      <t>エン</t>
    </rPh>
    <rPh sb="1" eb="2">
      <t>ゼン</t>
    </rPh>
    <phoneticPr fontId="5"/>
  </si>
  <si>
    <t>延後</t>
    <rPh sb="0" eb="1">
      <t>エン</t>
    </rPh>
    <rPh sb="1" eb="2">
      <t>コウ</t>
    </rPh>
    <phoneticPr fontId="5"/>
  </si>
  <si>
    <t>先</t>
    <rPh sb="0" eb="1">
      <t>サキ</t>
    </rPh>
    <phoneticPr fontId="5"/>
  </si>
  <si>
    <t>後</t>
    <rPh sb="0" eb="1">
      <t>アト</t>
    </rPh>
    <phoneticPr fontId="5"/>
  </si>
  <si>
    <t>ＰＫ戦</t>
    <rPh sb="2" eb="3">
      <t>セン</t>
    </rPh>
    <phoneticPr fontId="5"/>
  </si>
  <si>
    <t>シュート（得点者は○印）</t>
    <rPh sb="5" eb="8">
      <t>トクテンシャ</t>
    </rPh>
    <rPh sb="10" eb="11">
      <t>イン</t>
    </rPh>
    <phoneticPr fontId="5"/>
  </si>
  <si>
    <t>学</t>
    <rPh sb="0" eb="1">
      <t>ガク</t>
    </rPh>
    <phoneticPr fontId="5"/>
  </si>
  <si>
    <t>合</t>
    <rPh sb="0" eb="1">
      <t>ゴウ</t>
    </rPh>
    <phoneticPr fontId="5"/>
  </si>
  <si>
    <t>延</t>
    <rPh sb="0" eb="1">
      <t>エン</t>
    </rPh>
    <phoneticPr fontId="5"/>
  </si>
  <si>
    <t>前</t>
    <rPh sb="0" eb="1">
      <t>マエ</t>
    </rPh>
    <phoneticPr fontId="5"/>
  </si>
  <si>
    <t>選</t>
    <rPh sb="0" eb="1">
      <t>セン</t>
    </rPh>
    <phoneticPr fontId="5"/>
  </si>
  <si>
    <t>手</t>
    <rPh sb="0" eb="1">
      <t>シュ</t>
    </rPh>
    <phoneticPr fontId="5"/>
  </si>
  <si>
    <t>番</t>
    <rPh sb="0" eb="1">
      <t>バン</t>
    </rPh>
    <phoneticPr fontId="5"/>
  </si>
  <si>
    <t>位置</t>
    <rPh sb="0" eb="2">
      <t>イチ</t>
    </rPh>
    <phoneticPr fontId="5"/>
  </si>
  <si>
    <t>名</t>
    <rPh sb="0" eb="1">
      <t>メイ</t>
    </rPh>
    <phoneticPr fontId="5"/>
  </si>
  <si>
    <t>計</t>
    <rPh sb="0" eb="1">
      <t>ケイ</t>
    </rPh>
    <phoneticPr fontId="5"/>
  </si>
  <si>
    <t>半</t>
    <rPh sb="0" eb="1">
      <t>ハン</t>
    </rPh>
    <phoneticPr fontId="5"/>
  </si>
  <si>
    <t>年</t>
    <rPh sb="0" eb="1">
      <t>ネン</t>
    </rPh>
    <phoneticPr fontId="5"/>
  </si>
  <si>
    <t>号</t>
    <rPh sb="0" eb="1">
      <t>ゴウ</t>
    </rPh>
    <phoneticPr fontId="5"/>
  </si>
  <si>
    <t>背番号</t>
  </si>
  <si>
    <t>学年</t>
  </si>
  <si>
    <t>ポジション</t>
  </si>
  <si>
    <t>小計</t>
    <rPh sb="0" eb="2">
      <t>ショウケイ</t>
    </rPh>
    <phoneticPr fontId="5"/>
  </si>
  <si>
    <t>合計</t>
    <rPh sb="0" eb="2">
      <t>ゴウケイ</t>
    </rPh>
    <phoneticPr fontId="5"/>
  </si>
  <si>
    <t>シュート数</t>
    <rPh sb="4" eb="5">
      <t>カズ</t>
    </rPh>
    <phoneticPr fontId="5"/>
  </si>
  <si>
    <t>交代</t>
    <rPh sb="0" eb="2">
      <t>コウタイ</t>
    </rPh>
    <phoneticPr fontId="5"/>
  </si>
  <si>
    <t>選手</t>
    <rPh sb="0" eb="2">
      <t>センシュ</t>
    </rPh>
    <phoneticPr fontId="5"/>
  </si>
  <si>
    <t>分</t>
    <rPh sb="0" eb="1">
      <t>フン</t>
    </rPh>
    <phoneticPr fontId="5"/>
  </si>
  <si>
    <t>警告（Ｃ）・退場（Ｓ）など</t>
  </si>
  <si>
    <t>延後</t>
  </si>
  <si>
    <t>延前</t>
  </si>
  <si>
    <t>後半</t>
  </si>
  <si>
    <t>前半</t>
  </si>
  <si>
    <t>チーム
合計</t>
    <rPh sb="4" eb="6">
      <t>ゴウケイ</t>
    </rPh>
    <phoneticPr fontId="5"/>
  </si>
  <si>
    <t>直接</t>
    <rPh sb="0" eb="2">
      <t>チョクセツ</t>
    </rPh>
    <phoneticPr fontId="5"/>
  </si>
  <si>
    <t>間接</t>
    <rPh sb="0" eb="2">
      <t>カンセツ</t>
    </rPh>
    <phoneticPr fontId="5"/>
  </si>
  <si>
    <t>時間</t>
    <rPh sb="0" eb="2">
      <t>ジカン</t>
    </rPh>
    <phoneticPr fontId="5"/>
  </si>
  <si>
    <t>得点者</t>
    <rPh sb="0" eb="3">
      <t>トクテンシャ</t>
    </rPh>
    <phoneticPr fontId="5"/>
  </si>
  <si>
    <t>得　　点　　経　　過</t>
  </si>
  <si>
    <t>《略号例》</t>
    <rPh sb="1" eb="2">
      <t>リャク</t>
    </rPh>
    <rPh sb="2" eb="3">
      <t>ゴウ</t>
    </rPh>
    <rPh sb="3" eb="4">
      <t>レイ</t>
    </rPh>
    <phoneticPr fontId="5"/>
  </si>
  <si>
    <t>浮き球</t>
    <rPh sb="0" eb="1">
      <t>ウ</t>
    </rPh>
    <rPh sb="2" eb="3">
      <t>キュウ</t>
    </rPh>
    <phoneticPr fontId="5"/>
  </si>
  <si>
    <t>混戦</t>
    <rPh sb="0" eb="2">
      <t>コンセン</t>
    </rPh>
    <phoneticPr fontId="5"/>
  </si>
  <si>
    <t>戦評者氏名</t>
    <rPh sb="0" eb="1">
      <t>セン</t>
    </rPh>
    <rPh sb="1" eb="2">
      <t>ヒョウ</t>
    </rPh>
    <rPh sb="2" eb="3">
      <t>シャ</t>
    </rPh>
    <rPh sb="3" eb="5">
      <t>シメイ</t>
    </rPh>
    <phoneticPr fontId="5"/>
  </si>
  <si>
    <t>会　場　長</t>
    <rPh sb="0" eb="1">
      <t>カイ</t>
    </rPh>
    <rPh sb="2" eb="3">
      <t>バ</t>
    </rPh>
    <rPh sb="4" eb="5">
      <t>チョウ</t>
    </rPh>
    <phoneticPr fontId="5"/>
  </si>
  <si>
    <t>主　　審</t>
    <rPh sb="0" eb="1">
      <t>シュ</t>
    </rPh>
    <rPh sb="3" eb="4">
      <t>シン</t>
    </rPh>
    <phoneticPr fontId="5"/>
  </si>
  <si>
    <t>30分</t>
    <rPh sb="2" eb="3">
      <t>プン</t>
    </rPh>
    <phoneticPr fontId="5"/>
  </si>
  <si>
    <t>第4の審判員</t>
    <rPh sb="0" eb="1">
      <t>ダイ</t>
    </rPh>
    <rPh sb="3" eb="5">
      <t>シンパン</t>
    </rPh>
    <rPh sb="5" eb="6">
      <t>イン</t>
    </rPh>
    <phoneticPr fontId="5"/>
  </si>
  <si>
    <t>1回戦</t>
    <rPh sb="1" eb="3">
      <t>カイセン</t>
    </rPh>
    <phoneticPr fontId="5"/>
  </si>
  <si>
    <t>2回戦</t>
    <rPh sb="1" eb="3">
      <t>カイセン</t>
    </rPh>
    <phoneticPr fontId="5"/>
  </si>
  <si>
    <t>Match No：26 勝</t>
  </si>
  <si>
    <t>Match No：27 勝</t>
  </si>
  <si>
    <t>Match No：28 勝</t>
  </si>
  <si>
    <t>Match No：29 勝</t>
  </si>
  <si>
    <t>Match No：31 勝</t>
  </si>
  <si>
    <t>Match No：25  負</t>
  </si>
  <si>
    <t>Match No：26  負</t>
  </si>
  <si>
    <t>Match No：27  負</t>
  </si>
  <si>
    <t>Match No：28  負</t>
  </si>
  <si>
    <t>「Hパート」</t>
    <phoneticPr fontId="5"/>
  </si>
  <si>
    <t>①</t>
    <phoneticPr fontId="5"/>
  </si>
  <si>
    <t>②</t>
    <phoneticPr fontId="5"/>
  </si>
  <si>
    <t>③</t>
    <phoneticPr fontId="5"/>
  </si>
  <si>
    <t>④</t>
    <phoneticPr fontId="5"/>
  </si>
  <si>
    <t>⑤</t>
    <phoneticPr fontId="5"/>
  </si>
  <si>
    <t>⑥</t>
    <phoneticPr fontId="5"/>
  </si>
  <si>
    <t>チーム</t>
    <phoneticPr fontId="5"/>
  </si>
  <si>
    <t>　①ジュニア委員長あいさつ</t>
    <rPh sb="6" eb="9">
      <t>イインチョウ</t>
    </rPh>
    <phoneticPr fontId="5"/>
  </si>
  <si>
    <t>　　②領収証は、｢振込みの際の領収証」にかえさせていただきます。</t>
    <rPh sb="3" eb="6">
      <t>リョウシュウショウ</t>
    </rPh>
    <rPh sb="9" eb="11">
      <t>フリコ</t>
    </rPh>
    <rPh sb="13" eb="14">
      <t>サイ</t>
    </rPh>
    <rPh sb="15" eb="18">
      <t>リョウシュウショウ</t>
    </rPh>
    <phoneticPr fontId="5"/>
  </si>
  <si>
    <t>６．試合会場</t>
    <rPh sb="2" eb="4">
      <t>シアイ</t>
    </rPh>
    <rPh sb="4" eb="6">
      <t>カイジョウ</t>
    </rPh>
    <phoneticPr fontId="5"/>
  </si>
  <si>
    <t>住所</t>
    <rPh sb="0" eb="2">
      <t>ジュウショ</t>
    </rPh>
    <phoneticPr fontId="5"/>
  </si>
  <si>
    <t>PK</t>
    <phoneticPr fontId="5"/>
  </si>
  <si>
    <t>宇佐高田</t>
    <rPh sb="0" eb="1">
      <t>ウ</t>
    </rPh>
    <rPh sb="1" eb="2">
      <t>サ</t>
    </rPh>
    <rPh sb="2" eb="3">
      <t>コウ</t>
    </rPh>
    <rPh sb="3" eb="4">
      <t>タ</t>
    </rPh>
    <phoneticPr fontId="5"/>
  </si>
  <si>
    <t>氏名</t>
    <rPh sb="0" eb="2">
      <t>シメイ</t>
    </rPh>
    <phoneticPr fontId="5"/>
  </si>
  <si>
    <t>【　D　】</t>
    <phoneticPr fontId="5"/>
  </si>
  <si>
    <t>【　E　】</t>
    <phoneticPr fontId="5"/>
  </si>
  <si>
    <t>【　G　】</t>
    <phoneticPr fontId="5"/>
  </si>
  <si>
    <t>【　F　】</t>
    <phoneticPr fontId="5"/>
  </si>
  <si>
    <t>【　H　】</t>
    <phoneticPr fontId="5"/>
  </si>
  <si>
    <t>警告/退場</t>
    <rPh sb="0" eb="2">
      <t>ケイコク</t>
    </rPh>
    <rPh sb="3" eb="5">
      <t>タイジョウ</t>
    </rPh>
    <phoneticPr fontId="5"/>
  </si>
  <si>
    <t>Match No：29</t>
    <phoneticPr fontId="5"/>
  </si>
  <si>
    <t>Match No：31</t>
    <phoneticPr fontId="5"/>
  </si>
  <si>
    <t>Match No：30</t>
    <phoneticPr fontId="5"/>
  </si>
  <si>
    <t>Match No：32</t>
    <phoneticPr fontId="5"/>
  </si>
  <si>
    <t>F-１位</t>
    <phoneticPr fontId="5"/>
  </si>
  <si>
    <t>Match No：26</t>
  </si>
  <si>
    <t>Match No：27</t>
  </si>
  <si>
    <t>Match No：28</t>
  </si>
  <si>
    <t>（</t>
    <phoneticPr fontId="5"/>
  </si>
  <si>
    <t>）</t>
    <phoneticPr fontId="5"/>
  </si>
  <si>
    <t>GK</t>
  </si>
  <si>
    <t>DF</t>
  </si>
  <si>
    <t>MF</t>
  </si>
  <si>
    <t>FW</t>
  </si>
  <si>
    <t>日</t>
    <phoneticPr fontId="5"/>
  </si>
  <si>
    <t>佐藤　颯</t>
  </si>
  <si>
    <t>きつきＦＣ</t>
  </si>
  <si>
    <t>申込</t>
    <rPh sb="0" eb="2">
      <t>モウシコミ</t>
    </rPh>
    <phoneticPr fontId="5"/>
  </si>
  <si>
    <t>参加料</t>
    <phoneticPr fontId="5"/>
  </si>
  <si>
    <t>佐伯リベロフットボールクラブ</t>
  </si>
  <si>
    <t>4th:</t>
    <phoneticPr fontId="5"/>
  </si>
  <si>
    <t>AR2:</t>
    <phoneticPr fontId="5"/>
  </si>
  <si>
    <t>AR1:</t>
    <phoneticPr fontId="5"/>
  </si>
  <si>
    <t>A1</t>
    <phoneticPr fontId="5"/>
  </si>
  <si>
    <t>C1</t>
    <phoneticPr fontId="5"/>
  </si>
  <si>
    <t>A2</t>
    <phoneticPr fontId="5"/>
  </si>
  <si>
    <t>C2</t>
    <phoneticPr fontId="5"/>
  </si>
  <si>
    <t>A3</t>
    <phoneticPr fontId="5"/>
  </si>
  <si>
    <t>C3</t>
    <phoneticPr fontId="5"/>
  </si>
  <si>
    <t>番号</t>
    <rPh sb="0" eb="2">
      <t>バンゴウ</t>
    </rPh>
    <phoneticPr fontId="5"/>
  </si>
  <si>
    <t>R</t>
    <phoneticPr fontId="5"/>
  </si>
  <si>
    <t>得点者</t>
  </si>
  <si>
    <t>男子</t>
  </si>
  <si>
    <t>モリサコ　ハルキ</t>
  </si>
  <si>
    <t>女子小学生</t>
  </si>
  <si>
    <t>野田　航平</t>
  </si>
  <si>
    <t>ミヤモト　コウタ</t>
  </si>
  <si>
    <t>キャプテン</t>
  </si>
  <si>
    <t>男女区分</t>
  </si>
  <si>
    <t>大会参加チーム名</t>
  </si>
  <si>
    <t>３級</t>
  </si>
  <si>
    <t>寺岡　富夫</t>
  </si>
  <si>
    <t>宇野　耕二</t>
  </si>
  <si>
    <t>２級</t>
  </si>
  <si>
    <t>甲斐　正三</t>
  </si>
  <si>
    <t>毛藤　勇三</t>
  </si>
  <si>
    <t>引地　弘幸</t>
  </si>
  <si>
    <t>津田　憲生</t>
  </si>
  <si>
    <t>松原　マヤ</t>
  </si>
  <si>
    <t>寺林　豊</t>
  </si>
  <si>
    <t>佐々木　正志</t>
  </si>
  <si>
    <t>後藤　啓之</t>
  </si>
  <si>
    <t>小出　康博</t>
  </si>
  <si>
    <t>木原　一心</t>
  </si>
  <si>
    <t>岩尾　雅広</t>
  </si>
  <si>
    <t>諌本　秀樹</t>
  </si>
  <si>
    <t>荒木　宗明</t>
  </si>
  <si>
    <t>秋元　昭一</t>
  </si>
  <si>
    <t>４級</t>
  </si>
  <si>
    <t>湯田　浩士</t>
  </si>
  <si>
    <t>松原　広幸</t>
  </si>
  <si>
    <t>マガリェンス　リシャルドソン</t>
  </si>
  <si>
    <t>古畑　親治</t>
  </si>
  <si>
    <t>深堀　祥司</t>
  </si>
  <si>
    <t>姫野　恵一</t>
  </si>
  <si>
    <t>田邊　政治</t>
  </si>
  <si>
    <t>田中　貴大</t>
  </si>
  <si>
    <t>立川　充</t>
  </si>
  <si>
    <t>竹嶋　仁</t>
  </si>
  <si>
    <t>髙野　大輔</t>
  </si>
  <si>
    <t>関　文雄</t>
  </si>
  <si>
    <t>杉野　岳士</t>
  </si>
  <si>
    <t>佐藤　亮</t>
  </si>
  <si>
    <t>後藤　文生</t>
  </si>
  <si>
    <t>小野　晃央</t>
  </si>
  <si>
    <t>江良　信司</t>
  </si>
  <si>
    <t>五十川　文明</t>
  </si>
  <si>
    <t>秋吉　明</t>
  </si>
  <si>
    <t>渡邉　卓人</t>
  </si>
  <si>
    <t>山本　哲司</t>
  </si>
  <si>
    <t>柳井　孝則</t>
  </si>
  <si>
    <t>廣田　寧孝</t>
  </si>
  <si>
    <t>野村　哲也</t>
  </si>
  <si>
    <t>中尾　優志</t>
  </si>
  <si>
    <t>徳永　浩幸</t>
  </si>
  <si>
    <t>津守　一雄</t>
  </si>
  <si>
    <t>柴田　健一</t>
  </si>
  <si>
    <t>五所　睦雄</t>
  </si>
  <si>
    <t>桑原　栄二郎</t>
  </si>
  <si>
    <t>吉良　信輝</t>
  </si>
  <si>
    <t>大渡　年春</t>
  </si>
  <si>
    <t>井上　健次郎</t>
  </si>
  <si>
    <t>安部　武志</t>
  </si>
  <si>
    <t>渡邉　友輔</t>
  </si>
  <si>
    <t>R009659544</t>
  </si>
  <si>
    <t>R010007794</t>
  </si>
  <si>
    <t>米田　尚司</t>
  </si>
  <si>
    <t>R001261972</t>
  </si>
  <si>
    <t>佳元　省三</t>
  </si>
  <si>
    <t>R001261936</t>
  </si>
  <si>
    <t>吉松　健</t>
  </si>
  <si>
    <t>R001261918</t>
  </si>
  <si>
    <t>吉原　喬樹</t>
  </si>
  <si>
    <t>R008798466</t>
  </si>
  <si>
    <t>吉野　公司</t>
  </si>
  <si>
    <t>R005603875</t>
  </si>
  <si>
    <t>吉武　毅</t>
  </si>
  <si>
    <t>R003421480</t>
  </si>
  <si>
    <t>矢幡　裕一</t>
  </si>
  <si>
    <t>R005164312</t>
  </si>
  <si>
    <t>山本　真乃介</t>
  </si>
  <si>
    <t>R008626886</t>
  </si>
  <si>
    <t>山本　康平</t>
  </si>
  <si>
    <t>R005603228</t>
  </si>
  <si>
    <t>山本　一広</t>
  </si>
  <si>
    <t>R006125639</t>
  </si>
  <si>
    <t>R006872612</t>
  </si>
  <si>
    <t>山本　篤</t>
  </si>
  <si>
    <t>R005603486</t>
  </si>
  <si>
    <t>山根　雄治</t>
  </si>
  <si>
    <t>R006220101</t>
  </si>
  <si>
    <t>山下　直一</t>
  </si>
  <si>
    <t>R007753606</t>
  </si>
  <si>
    <t>山崎　武志</t>
  </si>
  <si>
    <t>R006220873</t>
  </si>
  <si>
    <t>山﨑　爽暉</t>
  </si>
  <si>
    <t>R008174338</t>
  </si>
  <si>
    <t>矢野　三千生</t>
  </si>
  <si>
    <t>R003972443</t>
  </si>
  <si>
    <t>柳元　哲哉</t>
  </si>
  <si>
    <t>R009197594</t>
  </si>
  <si>
    <t>八坂　秀青</t>
  </si>
  <si>
    <t>R009460472</t>
  </si>
  <si>
    <t>八坂　直輝</t>
  </si>
  <si>
    <t>R009554735</t>
  </si>
  <si>
    <t>薬師寺　翔</t>
  </si>
  <si>
    <t>R008798457</t>
  </si>
  <si>
    <t>森下　洋一</t>
  </si>
  <si>
    <t>R007002779</t>
  </si>
  <si>
    <t>森下　晴悟</t>
  </si>
  <si>
    <t>R010069888</t>
  </si>
  <si>
    <t>森　隆嗣</t>
  </si>
  <si>
    <t>R010027876</t>
  </si>
  <si>
    <t>森　健太</t>
  </si>
  <si>
    <t>本野　秀貴</t>
  </si>
  <si>
    <t>R003421684</t>
  </si>
  <si>
    <t>本杉　拓也</t>
  </si>
  <si>
    <t>R002530851</t>
  </si>
  <si>
    <t>村谷　祐一</t>
  </si>
  <si>
    <t>R008797908</t>
  </si>
  <si>
    <t>村上　洋平</t>
  </si>
  <si>
    <t>R001737174</t>
  </si>
  <si>
    <t>宗岡　亮次</t>
  </si>
  <si>
    <t>R004793755</t>
  </si>
  <si>
    <t>宗岡　弦徳</t>
  </si>
  <si>
    <t>R010001968</t>
  </si>
  <si>
    <t>宮崎　友雅</t>
  </si>
  <si>
    <t>R004793852</t>
  </si>
  <si>
    <t>三原　将弥</t>
  </si>
  <si>
    <t>R003677432</t>
  </si>
  <si>
    <t>三笘　晋也</t>
  </si>
  <si>
    <t>R002917494</t>
  </si>
  <si>
    <t>御手洗　佑太</t>
  </si>
  <si>
    <t>R004794073</t>
  </si>
  <si>
    <t>水島　義規</t>
  </si>
  <si>
    <t>R004060374</t>
  </si>
  <si>
    <t>三重野　英人</t>
  </si>
  <si>
    <t>R006125772</t>
  </si>
  <si>
    <t>三浦　雄大</t>
  </si>
  <si>
    <t>R006932437</t>
  </si>
  <si>
    <t>三浦　憲太郎</t>
  </si>
  <si>
    <t>R008634283</t>
  </si>
  <si>
    <t>松吉　宏剛</t>
  </si>
  <si>
    <t>R010007817</t>
  </si>
  <si>
    <t>松本　祐輔</t>
  </si>
  <si>
    <t>R004793940</t>
  </si>
  <si>
    <t>松原　政司</t>
  </si>
  <si>
    <t>R004714970</t>
  </si>
  <si>
    <t>R007002991</t>
  </si>
  <si>
    <t>松下　稜河</t>
  </si>
  <si>
    <t>R009546806</t>
  </si>
  <si>
    <t>松下　立夫</t>
  </si>
  <si>
    <t>R007959723</t>
  </si>
  <si>
    <t>松尾　賢一</t>
  </si>
  <si>
    <t>R007334951</t>
  </si>
  <si>
    <t>松尾　国洋</t>
  </si>
  <si>
    <t>R005528097</t>
  </si>
  <si>
    <t>本田　淳仁</t>
  </si>
  <si>
    <t>R001258899</t>
  </si>
  <si>
    <t>星野　嵐</t>
  </si>
  <si>
    <t>R009484728</t>
  </si>
  <si>
    <t>星野　杏</t>
  </si>
  <si>
    <t>R010056105</t>
  </si>
  <si>
    <t>保明　栄治</t>
  </si>
  <si>
    <t>R002678009</t>
  </si>
  <si>
    <t>R001260405</t>
  </si>
  <si>
    <t>藤原　佑史朗</t>
  </si>
  <si>
    <t>R010027860</t>
  </si>
  <si>
    <t>藤原　妙子</t>
  </si>
  <si>
    <t>R005467945</t>
  </si>
  <si>
    <t>藤松　竜也</t>
  </si>
  <si>
    <t>R003351233</t>
  </si>
  <si>
    <t>藤野　誠</t>
  </si>
  <si>
    <t>R007090941</t>
  </si>
  <si>
    <t>藤並　敬大</t>
  </si>
  <si>
    <t>R006123862</t>
  </si>
  <si>
    <t>藤田　和也</t>
  </si>
  <si>
    <t>R008798183</t>
  </si>
  <si>
    <t>藤井　康之</t>
  </si>
  <si>
    <t>R009408825</t>
  </si>
  <si>
    <t>廣瀬　尚人</t>
  </si>
  <si>
    <t>R008798253</t>
  </si>
  <si>
    <t>廣瀬　直軌</t>
  </si>
  <si>
    <t>R010069886</t>
  </si>
  <si>
    <t>平原　悟</t>
  </si>
  <si>
    <t>R008797953</t>
  </si>
  <si>
    <t>平原　晃</t>
  </si>
  <si>
    <t>R001260016</t>
  </si>
  <si>
    <t>平野　道弘</t>
  </si>
  <si>
    <t>R008174064</t>
  </si>
  <si>
    <t>平川　伸吾</t>
  </si>
  <si>
    <t>R003972513</t>
  </si>
  <si>
    <t>姫野　太輔</t>
  </si>
  <si>
    <t>R010027875</t>
  </si>
  <si>
    <t>姫野　貴裕</t>
  </si>
  <si>
    <t>R007959194</t>
  </si>
  <si>
    <t>姫野　航平</t>
  </si>
  <si>
    <t>R006220183</t>
  </si>
  <si>
    <t>馬場　睦紀</t>
  </si>
  <si>
    <t>R004111605</t>
  </si>
  <si>
    <t>半谷　風花</t>
  </si>
  <si>
    <t>R010067952</t>
  </si>
  <si>
    <t>原　正佳</t>
  </si>
  <si>
    <t>R006220095</t>
  </si>
  <si>
    <t>原　貴宏</t>
  </si>
  <si>
    <t>R008174365</t>
  </si>
  <si>
    <t>原　海斗</t>
  </si>
  <si>
    <t>R008626965</t>
  </si>
  <si>
    <t>浜町　隆蒔</t>
  </si>
  <si>
    <t>R006221100</t>
  </si>
  <si>
    <t>濱崎　賢一</t>
  </si>
  <si>
    <t>R001259579</t>
  </si>
  <si>
    <t>波津久　雄平</t>
  </si>
  <si>
    <t>R003421116</t>
  </si>
  <si>
    <t>波多野　政美</t>
  </si>
  <si>
    <t>R010007845</t>
  </si>
  <si>
    <t>羽田野　順一</t>
  </si>
  <si>
    <t>橋本　葉音</t>
  </si>
  <si>
    <t>R008797962</t>
  </si>
  <si>
    <t>橋本　敏邦</t>
  </si>
  <si>
    <t>R006221012</t>
  </si>
  <si>
    <t>狭間　照央</t>
  </si>
  <si>
    <t>R010027819</t>
  </si>
  <si>
    <t>吐合　直樹</t>
  </si>
  <si>
    <t>R009546055</t>
  </si>
  <si>
    <t>則次　祐介</t>
  </si>
  <si>
    <t>R006544278</t>
  </si>
  <si>
    <t>R006125736</t>
  </si>
  <si>
    <t>野村　辰寿</t>
  </si>
  <si>
    <t>R001259436</t>
  </si>
  <si>
    <t>野尻　崇</t>
  </si>
  <si>
    <t>R005527830</t>
  </si>
  <si>
    <t>野口　智隆</t>
  </si>
  <si>
    <t>野口　康二郎</t>
  </si>
  <si>
    <t>R002917333</t>
  </si>
  <si>
    <t>二宮　康彰</t>
  </si>
  <si>
    <t>R004055664</t>
  </si>
  <si>
    <t>西村　竜司</t>
  </si>
  <si>
    <t>R009670176</t>
  </si>
  <si>
    <t>西岡　京一郎</t>
  </si>
  <si>
    <t>R001251957</t>
  </si>
  <si>
    <t>西尾　拓之</t>
  </si>
  <si>
    <t>R004386023</t>
  </si>
  <si>
    <t>奈須野　安侑里</t>
  </si>
  <si>
    <t>R009072295</t>
  </si>
  <si>
    <t>流川　新</t>
  </si>
  <si>
    <t>R005987403</t>
  </si>
  <si>
    <t>永山　正樹</t>
  </si>
  <si>
    <t>R005527353</t>
  </si>
  <si>
    <t>永松　真朗</t>
  </si>
  <si>
    <t>R005164941</t>
  </si>
  <si>
    <t>長門　崚太</t>
  </si>
  <si>
    <t>R010074018</t>
  </si>
  <si>
    <t>仲村　陽一郎</t>
  </si>
  <si>
    <t>R010073993</t>
  </si>
  <si>
    <t>中村　友海</t>
  </si>
  <si>
    <t>中村　真彦</t>
  </si>
  <si>
    <t>R001251911</t>
  </si>
  <si>
    <t>中村　智美</t>
  </si>
  <si>
    <t>R009197585</t>
  </si>
  <si>
    <t>中村　髙峰</t>
  </si>
  <si>
    <t>R007959990</t>
  </si>
  <si>
    <t>中村　冴里</t>
  </si>
  <si>
    <t>R003316948</t>
  </si>
  <si>
    <t>仲村　晃和</t>
  </si>
  <si>
    <t>R010016109</t>
  </si>
  <si>
    <t>中間　敏彦</t>
  </si>
  <si>
    <t>R001251896</t>
  </si>
  <si>
    <t>中畑　光宏</t>
  </si>
  <si>
    <t>R006574394</t>
  </si>
  <si>
    <t>中野　俊宏</t>
  </si>
  <si>
    <t>R001259056</t>
  </si>
  <si>
    <t>中根　幹雄</t>
  </si>
  <si>
    <t>R001259038</t>
  </si>
  <si>
    <t>中西　智彦</t>
  </si>
  <si>
    <t>R002917412</t>
  </si>
  <si>
    <t>中津留　正三</t>
  </si>
  <si>
    <t>中嶋　結孝</t>
  </si>
  <si>
    <t>R001258914</t>
  </si>
  <si>
    <t>中島　大成</t>
  </si>
  <si>
    <t>R002530329</t>
  </si>
  <si>
    <t>中川　俊哉</t>
  </si>
  <si>
    <t>R001258880</t>
  </si>
  <si>
    <t>中川　勝裕</t>
  </si>
  <si>
    <t>R004793931</t>
  </si>
  <si>
    <t>豊田　裕司</t>
  </si>
  <si>
    <t>R003421170</t>
  </si>
  <si>
    <t>得丸　政徳</t>
  </si>
  <si>
    <t>R001258686</t>
  </si>
  <si>
    <t>徳丸　英明</t>
  </si>
  <si>
    <t>R001258695</t>
  </si>
  <si>
    <t>出口　功</t>
  </si>
  <si>
    <t>R001258613</t>
  </si>
  <si>
    <t>手島　冠</t>
  </si>
  <si>
    <t>R009408782</t>
  </si>
  <si>
    <t>津守　翔太</t>
  </si>
  <si>
    <t>R006937089</t>
  </si>
  <si>
    <t>恒松　和也</t>
  </si>
  <si>
    <t>R005405723</t>
  </si>
  <si>
    <t>都竹　創</t>
  </si>
  <si>
    <t>R008651794</t>
  </si>
  <si>
    <t>伊達　洋介</t>
  </si>
  <si>
    <t>R001251753</t>
  </si>
  <si>
    <t>谷川　潤弥</t>
  </si>
  <si>
    <t>R008798484</t>
  </si>
  <si>
    <t>R007728503</t>
  </si>
  <si>
    <t>立川　千紗</t>
  </si>
  <si>
    <t>R009430578</t>
  </si>
  <si>
    <t>立川　大記</t>
  </si>
  <si>
    <t>R008626770</t>
  </si>
  <si>
    <t>田代　修三</t>
  </si>
  <si>
    <t>R004371818</t>
  </si>
  <si>
    <t>竹中　啓司</t>
  </si>
  <si>
    <t>R007335127</t>
  </si>
  <si>
    <t>R003972489</t>
  </si>
  <si>
    <t>田上　龍真</t>
  </si>
  <si>
    <t>R009533440</t>
  </si>
  <si>
    <t>高橋　由資</t>
  </si>
  <si>
    <t>R003256062</t>
  </si>
  <si>
    <t>高橋　央明</t>
  </si>
  <si>
    <t>R007334924</t>
  </si>
  <si>
    <t>高橋　洸介</t>
  </si>
  <si>
    <t>R008798156</t>
  </si>
  <si>
    <t>R003578487</t>
  </si>
  <si>
    <t>高倉　一城</t>
  </si>
  <si>
    <t>R001257942</t>
  </si>
  <si>
    <t>R010052667</t>
  </si>
  <si>
    <t>高柿　康平</t>
  </si>
  <si>
    <t>R006664615</t>
  </si>
  <si>
    <t>平　和隆</t>
  </si>
  <si>
    <t>R005987430</t>
  </si>
  <si>
    <t>曽根田　康寿</t>
  </si>
  <si>
    <t>R005987458</t>
  </si>
  <si>
    <t>曽根崎　照紀</t>
  </si>
  <si>
    <t>R001257854</t>
  </si>
  <si>
    <t>相馬　大典</t>
  </si>
  <si>
    <t>R007606238</t>
  </si>
  <si>
    <t>関谷　僚人</t>
  </si>
  <si>
    <t>R007959750</t>
  </si>
  <si>
    <t>関屋　俊侑</t>
  </si>
  <si>
    <t>R008798174</t>
  </si>
  <si>
    <t>関　正二</t>
  </si>
  <si>
    <t>R001257809</t>
  </si>
  <si>
    <t>関　一昭</t>
  </si>
  <si>
    <t>R003258422</t>
  </si>
  <si>
    <t>清家　大介</t>
  </si>
  <si>
    <t>R010027823</t>
  </si>
  <si>
    <t>隅田　哲平</t>
  </si>
  <si>
    <t>R008798013</t>
  </si>
  <si>
    <t>巣野　哲平</t>
  </si>
  <si>
    <t>R007959185</t>
  </si>
  <si>
    <t>鈴木　優希</t>
  </si>
  <si>
    <t>R008798369</t>
  </si>
  <si>
    <t>杉本　哲太</t>
  </si>
  <si>
    <t>R006220369</t>
  </si>
  <si>
    <t>R005528103</t>
  </si>
  <si>
    <t>杉崎　誠</t>
  </si>
  <si>
    <t>R008798004</t>
  </si>
  <si>
    <t>末永　成久</t>
  </si>
  <si>
    <t>R009545995</t>
  </si>
  <si>
    <t>末綱　太舟</t>
  </si>
  <si>
    <t>R006148463</t>
  </si>
  <si>
    <t>末綱　航大</t>
  </si>
  <si>
    <t>R001257711</t>
  </si>
  <si>
    <t>須浦　清隆</t>
  </si>
  <si>
    <t>R007959167</t>
  </si>
  <si>
    <t>城野　清</t>
  </si>
  <si>
    <t>R009198335</t>
  </si>
  <si>
    <t>軸丸　耕平</t>
  </si>
  <si>
    <t>R006123774</t>
  </si>
  <si>
    <t>白江　直樹</t>
  </si>
  <si>
    <t>R009554780</t>
  </si>
  <si>
    <t>庄部　正人</t>
  </si>
  <si>
    <t>R009460533</t>
  </si>
  <si>
    <t>庄司　誠</t>
  </si>
  <si>
    <t>R005527362</t>
  </si>
  <si>
    <t>首藤　晴美</t>
  </si>
  <si>
    <t>R007002645</t>
  </si>
  <si>
    <t>首藤　翼</t>
  </si>
  <si>
    <t>R008643838</t>
  </si>
  <si>
    <t>清水　聖徳</t>
  </si>
  <si>
    <t>R005986981</t>
  </si>
  <si>
    <t>清水　圭二</t>
  </si>
  <si>
    <t>R007686216</t>
  </si>
  <si>
    <t>島谷　真司</t>
  </si>
  <si>
    <t>R001257447</t>
  </si>
  <si>
    <t>篠田　裕也</t>
  </si>
  <si>
    <t>R010073990</t>
  </si>
  <si>
    <t>重藤　光</t>
  </si>
  <si>
    <t>R001257304</t>
  </si>
  <si>
    <t>椎原　健夫</t>
  </si>
  <si>
    <t>R005603291</t>
  </si>
  <si>
    <t>鮫島　裕貴</t>
  </si>
  <si>
    <t>佐藤　諒</t>
  </si>
  <si>
    <t>R009552560</t>
  </si>
  <si>
    <t>佐藤　教春</t>
  </si>
  <si>
    <t>R007729210</t>
  </si>
  <si>
    <t>佐藤　光雄</t>
  </si>
  <si>
    <t>R005603389</t>
  </si>
  <si>
    <t>佐藤　秀勝</t>
  </si>
  <si>
    <t>R001257137</t>
  </si>
  <si>
    <t>佐藤　巨規</t>
  </si>
  <si>
    <t>R008634706</t>
  </si>
  <si>
    <t>佐藤　武吉</t>
  </si>
  <si>
    <t>R001257085</t>
  </si>
  <si>
    <t>佐藤　慎也</t>
  </si>
  <si>
    <t>R004386306</t>
  </si>
  <si>
    <t>佐藤　明</t>
  </si>
  <si>
    <t>R001257076</t>
  </si>
  <si>
    <t>相良　宣雄</t>
  </si>
  <si>
    <t>R008173746</t>
  </si>
  <si>
    <t>相良　章成</t>
  </si>
  <si>
    <t>R006664864</t>
  </si>
  <si>
    <t>坂本　璃王</t>
  </si>
  <si>
    <t>R010071981</t>
  </si>
  <si>
    <t>酒井　泰峰</t>
  </si>
  <si>
    <t>酒井　隆宏</t>
  </si>
  <si>
    <t>R001251577</t>
  </si>
  <si>
    <t>斎藤　亮真</t>
  </si>
  <si>
    <t>R008173685</t>
  </si>
  <si>
    <t>後藤　亮一</t>
  </si>
  <si>
    <t>R010001964</t>
  </si>
  <si>
    <t>後藤　寿</t>
  </si>
  <si>
    <t>R001256554</t>
  </si>
  <si>
    <t>後藤　達也</t>
  </si>
  <si>
    <t>R005603671</t>
  </si>
  <si>
    <t>後藤　真一</t>
  </si>
  <si>
    <t>R003256044</t>
  </si>
  <si>
    <t>後藤　茂好</t>
  </si>
  <si>
    <t>R003421426</t>
  </si>
  <si>
    <t>後藤　幸治</t>
  </si>
  <si>
    <t>R001256590</t>
  </si>
  <si>
    <t>後藤　慶太郎</t>
  </si>
  <si>
    <t>R005987519</t>
  </si>
  <si>
    <t>後藤　儀一郎</t>
  </si>
  <si>
    <t>R001256572</t>
  </si>
  <si>
    <t>R009546091</t>
  </si>
  <si>
    <t>近藤　孝司</t>
  </si>
  <si>
    <t>R006664855</t>
  </si>
  <si>
    <t>古谷　悠汰</t>
  </si>
  <si>
    <t>小林　覚</t>
  </si>
  <si>
    <t>R004226712</t>
  </si>
  <si>
    <t>小手川　洋介</t>
  </si>
  <si>
    <t>R005528060</t>
  </si>
  <si>
    <t>古賀　雅則</t>
  </si>
  <si>
    <t>R006574206</t>
  </si>
  <si>
    <t>古賀　博喜</t>
  </si>
  <si>
    <t>R002530277</t>
  </si>
  <si>
    <t>河野　千恵子</t>
  </si>
  <si>
    <t>R001255670</t>
  </si>
  <si>
    <t>桑原　剛志</t>
  </si>
  <si>
    <t>R001256387</t>
  </si>
  <si>
    <t>栗井　勝</t>
  </si>
  <si>
    <t>R010074028</t>
  </si>
  <si>
    <t>熊谷　勇哉</t>
  </si>
  <si>
    <t>R007334890</t>
  </si>
  <si>
    <t>久保山　崇</t>
  </si>
  <si>
    <t>R010027820</t>
  </si>
  <si>
    <t>久保　茂樹</t>
  </si>
  <si>
    <t>R008793249</t>
  </si>
  <si>
    <t>工藤　光範</t>
  </si>
  <si>
    <t>R001256244</t>
  </si>
  <si>
    <t>工藤　洋</t>
  </si>
  <si>
    <t>R001256253</t>
  </si>
  <si>
    <t>工藤　忠弘</t>
  </si>
  <si>
    <t>R009546116</t>
  </si>
  <si>
    <t>清松　隆浩</t>
  </si>
  <si>
    <t>R007003486</t>
  </si>
  <si>
    <t>岐部　裕二</t>
  </si>
  <si>
    <t>R001256068</t>
  </si>
  <si>
    <t>木下　秀紀</t>
  </si>
  <si>
    <t>R008798138</t>
  </si>
  <si>
    <t>木下　和夫</t>
  </si>
  <si>
    <t>R001256031</t>
  </si>
  <si>
    <t>木津　洋孝</t>
  </si>
  <si>
    <t>R010074021</t>
  </si>
  <si>
    <t>R008798147</t>
  </si>
  <si>
    <t>木嶋　高行</t>
  </si>
  <si>
    <t>R001255980</t>
  </si>
  <si>
    <t>菊地　誠</t>
  </si>
  <si>
    <t>R003972586</t>
  </si>
  <si>
    <t>菊田　興太郎</t>
  </si>
  <si>
    <t>R001255953</t>
  </si>
  <si>
    <t>河村　信善</t>
  </si>
  <si>
    <t>R001255908</t>
  </si>
  <si>
    <t>河村　航大</t>
  </si>
  <si>
    <t>R005405264</t>
  </si>
  <si>
    <t>川邉　太一朗</t>
  </si>
  <si>
    <t>R009198487</t>
  </si>
  <si>
    <t>河野　斗馬</t>
  </si>
  <si>
    <t>R010027894</t>
  </si>
  <si>
    <t>河野　成利</t>
  </si>
  <si>
    <t>R006220606</t>
  </si>
  <si>
    <t>河井　寛次郎</t>
  </si>
  <si>
    <t>R002917476</t>
  </si>
  <si>
    <t>亀山　万生</t>
  </si>
  <si>
    <t>R005603282</t>
  </si>
  <si>
    <t>紙谷　昌弥</t>
  </si>
  <si>
    <t>R010027818</t>
  </si>
  <si>
    <t>加藤　泰広</t>
  </si>
  <si>
    <t>R009197929</t>
  </si>
  <si>
    <t>加藤　恭介</t>
  </si>
  <si>
    <t>R007959608</t>
  </si>
  <si>
    <t>片山　雄一</t>
  </si>
  <si>
    <t>R008634593</t>
  </si>
  <si>
    <t>梶川　正和</t>
  </si>
  <si>
    <t>R001255342</t>
  </si>
  <si>
    <t>笠村　大</t>
  </si>
  <si>
    <t>R009545913</t>
  </si>
  <si>
    <t>垣内　太陽</t>
  </si>
  <si>
    <t>香川　豊</t>
  </si>
  <si>
    <t>R005987397</t>
  </si>
  <si>
    <t>甲斐　亮介</t>
  </si>
  <si>
    <t>R001255281</t>
  </si>
  <si>
    <t>甲斐　竜二</t>
  </si>
  <si>
    <t>R006314455</t>
  </si>
  <si>
    <t>甲斐　直樹</t>
  </si>
  <si>
    <t>R005987388</t>
  </si>
  <si>
    <t>甲斐　剛樹</t>
  </si>
  <si>
    <t>R008173700</t>
  </si>
  <si>
    <t>甲斐　英治</t>
  </si>
  <si>
    <t>甲斐　一翠</t>
  </si>
  <si>
    <t>R005164446</t>
  </si>
  <si>
    <t>小野　耕一</t>
  </si>
  <si>
    <t>R004385936</t>
  </si>
  <si>
    <t>越智　龍平</t>
  </si>
  <si>
    <t>小田原　蓮</t>
  </si>
  <si>
    <t>R006901589</t>
  </si>
  <si>
    <t>小田　邦昭</t>
  </si>
  <si>
    <t>R009546064</t>
  </si>
  <si>
    <t>小関　啓太郎</t>
  </si>
  <si>
    <t>奥野　真一郎</t>
  </si>
  <si>
    <t>R001254972</t>
  </si>
  <si>
    <t>奥田　和彦</t>
  </si>
  <si>
    <t>R009460515</t>
  </si>
  <si>
    <t>小川　健二</t>
  </si>
  <si>
    <t>R006901570</t>
  </si>
  <si>
    <t>岡田　涼平</t>
  </si>
  <si>
    <t>R005603200</t>
  </si>
  <si>
    <t>岡田　隆行</t>
  </si>
  <si>
    <t>R005987412</t>
  </si>
  <si>
    <t>大塚　丈司</t>
  </si>
  <si>
    <t>R005528130</t>
  </si>
  <si>
    <t>大久保　正明</t>
  </si>
  <si>
    <t>R003421912</t>
  </si>
  <si>
    <t>大久保　広紀</t>
  </si>
  <si>
    <t>R005430163</t>
  </si>
  <si>
    <t>大石　正雄</t>
  </si>
  <si>
    <t>R010027821</t>
  </si>
  <si>
    <t>大石　拓也</t>
  </si>
  <si>
    <t>R010027883</t>
  </si>
  <si>
    <t>大芦　佳宏</t>
  </si>
  <si>
    <t>R001254583</t>
  </si>
  <si>
    <t>遠藤　朝春</t>
  </si>
  <si>
    <t>R003350881</t>
  </si>
  <si>
    <t>衛藤　秀高</t>
  </si>
  <si>
    <t>R007728983</t>
  </si>
  <si>
    <t>衛藤　智成</t>
  </si>
  <si>
    <t>R007959796</t>
  </si>
  <si>
    <t>江藤　恭平</t>
  </si>
  <si>
    <t>R008634274</t>
  </si>
  <si>
    <t>衛藤　和憲</t>
  </si>
  <si>
    <t>R004653305</t>
  </si>
  <si>
    <t>江隈　健斗</t>
  </si>
  <si>
    <t>R010002119</t>
  </si>
  <si>
    <t>漆間　大士</t>
  </si>
  <si>
    <t>R001254431</t>
  </si>
  <si>
    <t>宇髙　篤史</t>
  </si>
  <si>
    <t>R007003431</t>
  </si>
  <si>
    <t>上屋　守</t>
  </si>
  <si>
    <t>R007959617</t>
  </si>
  <si>
    <t>上野　貴士</t>
  </si>
  <si>
    <t>R001251133</t>
  </si>
  <si>
    <t>上田　晃</t>
  </si>
  <si>
    <t>R008797944</t>
  </si>
  <si>
    <t>植垣　秀人</t>
  </si>
  <si>
    <t>R008480956</t>
  </si>
  <si>
    <t>岩丸　博季</t>
  </si>
  <si>
    <t>R006314464</t>
  </si>
  <si>
    <t>岩永　和馬</t>
  </si>
  <si>
    <t>岩田　進</t>
  </si>
  <si>
    <t>R007959176</t>
  </si>
  <si>
    <t>岩崎　利勝</t>
  </si>
  <si>
    <t>R001254185</t>
  </si>
  <si>
    <t>岩尾　潤一郎</t>
  </si>
  <si>
    <t>R005603820</t>
  </si>
  <si>
    <t>井上　彩</t>
  </si>
  <si>
    <t>R010067951</t>
  </si>
  <si>
    <t>井上　海</t>
  </si>
  <si>
    <t>R008523312</t>
  </si>
  <si>
    <t>伊東　昇太郎</t>
  </si>
  <si>
    <t>R007959699</t>
  </si>
  <si>
    <t>出田　武</t>
  </si>
  <si>
    <t>R008797926</t>
  </si>
  <si>
    <t>一法師　直喜</t>
  </si>
  <si>
    <t>R007090808</t>
  </si>
  <si>
    <t>市原　宗久</t>
  </si>
  <si>
    <t>板井　裕樹</t>
  </si>
  <si>
    <t>R010007837</t>
  </si>
  <si>
    <t>板井　龍法</t>
  </si>
  <si>
    <t>R006093835</t>
  </si>
  <si>
    <t>板井　晋一</t>
  </si>
  <si>
    <t>R008536972</t>
  </si>
  <si>
    <t>和泉　宜幸</t>
  </si>
  <si>
    <t>R004714712</t>
  </si>
  <si>
    <t>石本　直也</t>
  </si>
  <si>
    <t>R007753129</t>
  </si>
  <si>
    <t>石松　大輔</t>
  </si>
  <si>
    <t>R001253751</t>
  </si>
  <si>
    <t>石川　裕明</t>
  </si>
  <si>
    <t>R010027832</t>
  </si>
  <si>
    <t>石川　誠司</t>
  </si>
  <si>
    <t>R009198399</t>
  </si>
  <si>
    <t>池田　航</t>
  </si>
  <si>
    <t>R006937229</t>
  </si>
  <si>
    <t>池田　雅俊</t>
  </si>
  <si>
    <t>R005603662</t>
  </si>
  <si>
    <t>飯倉　洋介</t>
  </si>
  <si>
    <t>R001253584</t>
  </si>
  <si>
    <t>阿武　志郎</t>
  </si>
  <si>
    <t>R002530383</t>
  </si>
  <si>
    <t>安東　湖楠</t>
  </si>
  <si>
    <t>R010047303</t>
  </si>
  <si>
    <t>安東　弘貴</t>
  </si>
  <si>
    <t>R007959158</t>
  </si>
  <si>
    <t>安藤　昭徳</t>
  </si>
  <si>
    <t>R008634229</t>
  </si>
  <si>
    <t>有門　寿</t>
  </si>
  <si>
    <t>R007002715</t>
  </si>
  <si>
    <t>荒巻　恭貴</t>
  </si>
  <si>
    <t>R008798165</t>
  </si>
  <si>
    <t>荒巻　成志</t>
  </si>
  <si>
    <t>R001253423</t>
  </si>
  <si>
    <t>安倍　達也</t>
  </si>
  <si>
    <t>R007959103</t>
  </si>
  <si>
    <t>安部　隆行</t>
  </si>
  <si>
    <t>R009460436</t>
  </si>
  <si>
    <t>安部　太貴</t>
  </si>
  <si>
    <t>R010027824</t>
  </si>
  <si>
    <t>阿部　哲士</t>
  </si>
  <si>
    <t>R001253344</t>
  </si>
  <si>
    <t>R009430268</t>
  </si>
  <si>
    <t>足立　卓也</t>
  </si>
  <si>
    <t>R010069871</t>
  </si>
  <si>
    <t>朝山　睦夫</t>
  </si>
  <si>
    <t>R001254990</t>
  </si>
  <si>
    <t>秋月　将吾</t>
  </si>
  <si>
    <t>R005603884</t>
  </si>
  <si>
    <t>赤嶺　一宇</t>
  </si>
  <si>
    <t>R008174028</t>
  </si>
  <si>
    <t>赤星　勝</t>
  </si>
  <si>
    <t>R001252947</t>
  </si>
  <si>
    <t>和田　浩</t>
  </si>
  <si>
    <t>R001869127</t>
  </si>
  <si>
    <t>和田　健二</t>
  </si>
  <si>
    <t>R001264890</t>
  </si>
  <si>
    <t>和田　健一郎</t>
  </si>
  <si>
    <t>R007729070</t>
  </si>
  <si>
    <t>渡里　賢人</t>
  </si>
  <si>
    <t>R001252390</t>
  </si>
  <si>
    <t>渡辺　陽一郎</t>
  </si>
  <si>
    <t>R001262111</t>
  </si>
  <si>
    <t>R001264881</t>
  </si>
  <si>
    <t>和才　幸司</t>
  </si>
  <si>
    <t>R004386218</t>
  </si>
  <si>
    <t>和喜田　拓</t>
  </si>
  <si>
    <t>R006220378</t>
  </si>
  <si>
    <t>脇　雄洋</t>
  </si>
  <si>
    <t>R001264872</t>
  </si>
  <si>
    <t>吉元　健太朗</t>
  </si>
  <si>
    <t>R007090686</t>
  </si>
  <si>
    <t>吉田　大助</t>
  </si>
  <si>
    <t>R003972665</t>
  </si>
  <si>
    <t>吉田　栄治</t>
  </si>
  <si>
    <t>R001264854</t>
  </si>
  <si>
    <t>横山　解史</t>
  </si>
  <si>
    <t>R003421374</t>
  </si>
  <si>
    <t>柚木　徹也</t>
  </si>
  <si>
    <t>R008515553</t>
  </si>
  <si>
    <t>R001261778</t>
  </si>
  <si>
    <t>幸　靖博</t>
  </si>
  <si>
    <t>R001264836</t>
  </si>
  <si>
    <t>幸　壮一郎</t>
  </si>
  <si>
    <t>R006093817</t>
  </si>
  <si>
    <t>山本　悠司</t>
  </si>
  <si>
    <t>R004111562</t>
  </si>
  <si>
    <t>R003351093</t>
  </si>
  <si>
    <t>山本　貴志</t>
  </si>
  <si>
    <t>R001252336</t>
  </si>
  <si>
    <t>山宮　俊寛</t>
  </si>
  <si>
    <t>R005164358</t>
  </si>
  <si>
    <t>山野内　哲朗</t>
  </si>
  <si>
    <t>R001264809</t>
  </si>
  <si>
    <t>山中　早一郎</t>
  </si>
  <si>
    <t>R001252293</t>
  </si>
  <si>
    <t>山下　省二</t>
  </si>
  <si>
    <t>R006147145</t>
  </si>
  <si>
    <t>山崎　和也</t>
  </si>
  <si>
    <t>R001965713</t>
  </si>
  <si>
    <t>山　大祐</t>
  </si>
  <si>
    <t>R004747206</t>
  </si>
  <si>
    <t>矢羽田　崇</t>
  </si>
  <si>
    <t>R008537139</t>
  </si>
  <si>
    <t>柳本　剛</t>
  </si>
  <si>
    <t>R001261477</t>
  </si>
  <si>
    <t>柳川　知也</t>
  </si>
  <si>
    <t>R004793825</t>
  </si>
  <si>
    <t>R005527308</t>
  </si>
  <si>
    <t>保田　薫</t>
  </si>
  <si>
    <t>R006093987</t>
  </si>
  <si>
    <t>屋敷　伴幸</t>
  </si>
  <si>
    <t>R001264775</t>
  </si>
  <si>
    <t>矢﨑　年勝</t>
  </si>
  <si>
    <t>R001264766</t>
  </si>
  <si>
    <t>薬師寺　亮太</t>
  </si>
  <si>
    <t>R008798314</t>
  </si>
  <si>
    <t>森山　信浩</t>
  </si>
  <si>
    <t>R001261398</t>
  </si>
  <si>
    <t>森山　幸介</t>
  </si>
  <si>
    <t>R008634636</t>
  </si>
  <si>
    <t>用松　修平</t>
  </si>
  <si>
    <t>R007705326</t>
  </si>
  <si>
    <t>毛利　明博</t>
  </si>
  <si>
    <t>R001252220</t>
  </si>
  <si>
    <t>村上　貴志</t>
  </si>
  <si>
    <t>村上　一幸</t>
  </si>
  <si>
    <t>R001264711</t>
  </si>
  <si>
    <t>三好　美輝</t>
  </si>
  <si>
    <t>R001252196</t>
  </si>
  <si>
    <t>R004385495</t>
  </si>
  <si>
    <t>宮迫　利範</t>
  </si>
  <si>
    <t>R001264687</t>
  </si>
  <si>
    <t>都　学志</t>
  </si>
  <si>
    <t>R004112057</t>
  </si>
  <si>
    <t>三原　隼人</t>
  </si>
  <si>
    <t>R004793764</t>
  </si>
  <si>
    <t>美濃　誠</t>
  </si>
  <si>
    <t>R001264669</t>
  </si>
  <si>
    <t>御手洗　毅</t>
  </si>
  <si>
    <t>R001264605</t>
  </si>
  <si>
    <t>溝邊　祐幸</t>
  </si>
  <si>
    <t>R002917263</t>
  </si>
  <si>
    <t>溝辺　宏輝</t>
  </si>
  <si>
    <t>R008174046</t>
  </si>
  <si>
    <t>水口　裕太</t>
  </si>
  <si>
    <t>R007003307</t>
  </si>
  <si>
    <t>箕迫　雄介</t>
  </si>
  <si>
    <t>R005405699</t>
  </si>
  <si>
    <t>真鍋　裕一</t>
  </si>
  <si>
    <t>R001264580</t>
  </si>
  <si>
    <t>松山　和寛</t>
  </si>
  <si>
    <t>R008481113</t>
  </si>
  <si>
    <t>松本　光将</t>
  </si>
  <si>
    <t>R001264562</t>
  </si>
  <si>
    <t>松原　亜衣</t>
  </si>
  <si>
    <t>R009408737</t>
  </si>
  <si>
    <t>松田　稜</t>
  </si>
  <si>
    <t>R007335303</t>
  </si>
  <si>
    <t>松下　昌史</t>
  </si>
  <si>
    <t>R004055479</t>
  </si>
  <si>
    <t>松下　明史</t>
  </si>
  <si>
    <t>R004793816</t>
  </si>
  <si>
    <t>柾木　洋平</t>
  </si>
  <si>
    <t>R007002733</t>
  </si>
  <si>
    <t>牧　和志</t>
  </si>
  <si>
    <t>R001264544</t>
  </si>
  <si>
    <t>R001260557</t>
  </si>
  <si>
    <t>前田　篤史</t>
  </si>
  <si>
    <t>R007003422</t>
  </si>
  <si>
    <t>堀内　信敏</t>
  </si>
  <si>
    <t>R006112343</t>
  </si>
  <si>
    <t>保月　寿智</t>
  </si>
  <si>
    <t>R003351288</t>
  </si>
  <si>
    <t>星野　敦</t>
  </si>
  <si>
    <t>R005987050</t>
  </si>
  <si>
    <t>古畑　翼</t>
  </si>
  <si>
    <t>R001264492</t>
  </si>
  <si>
    <t>古畑　葵</t>
  </si>
  <si>
    <t>R001264508</t>
  </si>
  <si>
    <t>古戸　雅崇</t>
  </si>
  <si>
    <t>R001600205</t>
  </si>
  <si>
    <t>古川　高</t>
  </si>
  <si>
    <t>R004060189</t>
  </si>
  <si>
    <t>渕　辰雄</t>
  </si>
  <si>
    <t>R001264483</t>
  </si>
  <si>
    <t>藤原　龍司</t>
  </si>
  <si>
    <t>R003421772</t>
  </si>
  <si>
    <t>藤本　洋</t>
  </si>
  <si>
    <t>R007753819</t>
  </si>
  <si>
    <t>藤本　勝爾</t>
  </si>
  <si>
    <t>R008798217</t>
  </si>
  <si>
    <t>福元　研治</t>
  </si>
  <si>
    <t>R001264447</t>
  </si>
  <si>
    <t>R009197691</t>
  </si>
  <si>
    <t>廣戸　誠一</t>
  </si>
  <si>
    <t>R001260070</t>
  </si>
  <si>
    <t>R001264410</t>
  </si>
  <si>
    <t>廣瀬　賢明</t>
  </si>
  <si>
    <t>R004386120</t>
  </si>
  <si>
    <t>廣瀬　文明</t>
  </si>
  <si>
    <t>廣瀬　惣一朗</t>
  </si>
  <si>
    <t>R007003501</t>
  </si>
  <si>
    <t>平岡　正広</t>
  </si>
  <si>
    <t>R001259870</t>
  </si>
  <si>
    <t>R005528307</t>
  </si>
  <si>
    <t>東　和弘</t>
  </si>
  <si>
    <t>R001264359</t>
  </si>
  <si>
    <t>原田　龍太郎</t>
  </si>
  <si>
    <t>R007211182</t>
  </si>
  <si>
    <t>原田　雅也</t>
  </si>
  <si>
    <t>R007003413</t>
  </si>
  <si>
    <t>原　俊輔</t>
  </si>
  <si>
    <t>R005603802</t>
  </si>
  <si>
    <t>原　宏一</t>
  </si>
  <si>
    <t>R001259667</t>
  </si>
  <si>
    <t>浜町　拓也</t>
  </si>
  <si>
    <t>R006221094</t>
  </si>
  <si>
    <t>浜崎　陽介</t>
  </si>
  <si>
    <t>R001259588</t>
  </si>
  <si>
    <t>橋本　伸太郎</t>
  </si>
  <si>
    <t>R001252017</t>
  </si>
  <si>
    <t>野田　洋平</t>
  </si>
  <si>
    <t>R001264289</t>
  </si>
  <si>
    <t>二ノ谷　徹</t>
  </si>
  <si>
    <t>R001264252</t>
  </si>
  <si>
    <t>新田　祐一郎</t>
  </si>
  <si>
    <t>R001259287</t>
  </si>
  <si>
    <t>永松　真樹</t>
  </si>
  <si>
    <t>R006889108</t>
  </si>
  <si>
    <t>長尾　寿郎</t>
  </si>
  <si>
    <t>R001264128</t>
  </si>
  <si>
    <t>長尾　信宏</t>
  </si>
  <si>
    <t>R001258871</t>
  </si>
  <si>
    <t>永井　勇司</t>
  </si>
  <si>
    <t>R004111580</t>
  </si>
  <si>
    <t>中原　圭介</t>
  </si>
  <si>
    <t>R001264182</t>
  </si>
  <si>
    <t>中野　雄斗</t>
  </si>
  <si>
    <t>R003421310</t>
  </si>
  <si>
    <t>中野　佐和三</t>
  </si>
  <si>
    <t>R005429893</t>
  </si>
  <si>
    <t>仲野　昭博</t>
  </si>
  <si>
    <t>中田　邦明</t>
  </si>
  <si>
    <t>R001258969</t>
  </si>
  <si>
    <t>中園　真栄</t>
  </si>
  <si>
    <t>R002996686</t>
  </si>
  <si>
    <t>中島　亮太</t>
  </si>
  <si>
    <t>R010007829</t>
  </si>
  <si>
    <t>中島　康平</t>
  </si>
  <si>
    <t>R008634681</t>
  </si>
  <si>
    <t>中上　聡志</t>
  </si>
  <si>
    <t>R002530046</t>
  </si>
  <si>
    <t>中尾　倫彰</t>
  </si>
  <si>
    <t>R002917722</t>
  </si>
  <si>
    <t>友成　義朗</t>
  </si>
  <si>
    <t>R002935472</t>
  </si>
  <si>
    <t>戸髙　博秋</t>
  </si>
  <si>
    <t>R001258738</t>
  </si>
  <si>
    <t>都甲　昌亨</t>
  </si>
  <si>
    <t>R001258701</t>
  </si>
  <si>
    <t>R002848671</t>
  </si>
  <si>
    <t>徳永　尚也</t>
  </si>
  <si>
    <t>R004385653</t>
  </si>
  <si>
    <t>唐下　直之</t>
  </si>
  <si>
    <t>R004111340</t>
  </si>
  <si>
    <t>寺本　義高</t>
  </si>
  <si>
    <t>R004226749</t>
  </si>
  <si>
    <t>寺次　良生</t>
  </si>
  <si>
    <t>寺岡　義彦</t>
  </si>
  <si>
    <t>R001264049</t>
  </si>
  <si>
    <t>津守　正博</t>
  </si>
  <si>
    <t>R001264012</t>
  </si>
  <si>
    <t>坪根　晃</t>
  </si>
  <si>
    <t>R002996677</t>
  </si>
  <si>
    <t>堤　祐慈</t>
  </si>
  <si>
    <t>R001263998</t>
  </si>
  <si>
    <t>R001265419</t>
  </si>
  <si>
    <t>團塚　晋之祐</t>
  </si>
  <si>
    <t>R004793579</t>
  </si>
  <si>
    <t>田村　孝弘</t>
  </si>
  <si>
    <t>R005164677</t>
  </si>
  <si>
    <t>田邉　義晶</t>
  </si>
  <si>
    <t>R001258394</t>
  </si>
  <si>
    <t>R004683874</t>
  </si>
  <si>
    <t>R008627043</t>
  </si>
  <si>
    <t>立花　陽一郎</t>
  </si>
  <si>
    <t>R004060170</t>
  </si>
  <si>
    <t>田坂　将和</t>
  </si>
  <si>
    <t>R007335075</t>
  </si>
  <si>
    <t>竹村　研一郎</t>
  </si>
  <si>
    <t>R006030599</t>
  </si>
  <si>
    <t>竹中　勇人</t>
  </si>
  <si>
    <t>R007754243</t>
  </si>
  <si>
    <t>武智　正敏</t>
  </si>
  <si>
    <t>R006220484</t>
  </si>
  <si>
    <t>竹内　進</t>
  </si>
  <si>
    <t>R001263882</t>
  </si>
  <si>
    <t>瀧山　理恵</t>
  </si>
  <si>
    <t>R001262272</t>
  </si>
  <si>
    <t>田上　和広</t>
  </si>
  <si>
    <t>R003258477</t>
  </si>
  <si>
    <t>高畑　智秀</t>
  </si>
  <si>
    <t>R001263837</t>
  </si>
  <si>
    <t>高畑　徳治郎</t>
  </si>
  <si>
    <t>R001263846</t>
  </si>
  <si>
    <t>高橋　涼太</t>
  </si>
  <si>
    <t>R005987120</t>
  </si>
  <si>
    <t>高橋　芳洋</t>
  </si>
  <si>
    <t>R001263785</t>
  </si>
  <si>
    <t>高橋　雅浩</t>
  </si>
  <si>
    <t>R001263819</t>
  </si>
  <si>
    <t>曽我　大一郎</t>
  </si>
  <si>
    <t>R001263697</t>
  </si>
  <si>
    <t>曽我　拓実</t>
  </si>
  <si>
    <t>R006221465</t>
  </si>
  <si>
    <t>瀬口　篤</t>
  </si>
  <si>
    <t>R001263688</t>
  </si>
  <si>
    <t>R000896665</t>
  </si>
  <si>
    <t>鈴木　史朗</t>
  </si>
  <si>
    <t>R002530860</t>
  </si>
  <si>
    <t>杉崎　恭介</t>
  </si>
  <si>
    <t>R007003024</t>
  </si>
  <si>
    <t>菅川　智</t>
  </si>
  <si>
    <t>R008515571</t>
  </si>
  <si>
    <t>末松　敬雅</t>
  </si>
  <si>
    <t>R004793834</t>
  </si>
  <si>
    <t>秦　雅暢</t>
  </si>
  <si>
    <t>R001263633</t>
  </si>
  <si>
    <t>秦　達郎</t>
  </si>
  <si>
    <t>R001257641</t>
  </si>
  <si>
    <t>城全　孝成</t>
  </si>
  <si>
    <t>R001263606</t>
  </si>
  <si>
    <t>城全　晃孝</t>
  </si>
  <si>
    <t>R006849128</t>
  </si>
  <si>
    <t>首藤　貴弘</t>
  </si>
  <si>
    <t>R001934616</t>
  </si>
  <si>
    <t>首藤　圭介</t>
  </si>
  <si>
    <t>R001263590</t>
  </si>
  <si>
    <t>志谷　進</t>
  </si>
  <si>
    <t>R006849182</t>
  </si>
  <si>
    <t>下原　優一</t>
  </si>
  <si>
    <t>R006910259</t>
  </si>
  <si>
    <t>渋谷　崇</t>
  </si>
  <si>
    <t>R001263536</t>
  </si>
  <si>
    <t>柴田　徹</t>
  </si>
  <si>
    <t>R002938017</t>
  </si>
  <si>
    <t>R008634715</t>
  </si>
  <si>
    <t>篠田　公成</t>
  </si>
  <si>
    <t>R001257340</t>
  </si>
  <si>
    <t>師藤　一也</t>
  </si>
  <si>
    <t>R001257322</t>
  </si>
  <si>
    <t>塩田　誠</t>
  </si>
  <si>
    <t>R007959936</t>
  </si>
  <si>
    <t>三宮　仁</t>
  </si>
  <si>
    <t>R001257252</t>
  </si>
  <si>
    <t>佐藤　隆太</t>
  </si>
  <si>
    <t>R001263475</t>
  </si>
  <si>
    <t>佐藤　優介</t>
  </si>
  <si>
    <t>R007003291</t>
  </si>
  <si>
    <t>佐藤　誠</t>
  </si>
  <si>
    <t>R007728512</t>
  </si>
  <si>
    <t>佐藤　嵩隼</t>
  </si>
  <si>
    <t>R005164394</t>
  </si>
  <si>
    <t>佐藤　慎二</t>
  </si>
  <si>
    <t>R009460551</t>
  </si>
  <si>
    <t>佐藤　一好</t>
  </si>
  <si>
    <t>R001263484</t>
  </si>
  <si>
    <t>佐藤　昭生</t>
  </si>
  <si>
    <t>R001263411</t>
  </si>
  <si>
    <t>佐々木　秀樹</t>
  </si>
  <si>
    <t>R007335136</t>
  </si>
  <si>
    <t>迫　裕作</t>
  </si>
  <si>
    <t>R002917500</t>
  </si>
  <si>
    <t>酒盛　政晴</t>
  </si>
  <si>
    <t>R006574400</t>
  </si>
  <si>
    <t>坂本　大典</t>
  </si>
  <si>
    <t>R006849191</t>
  </si>
  <si>
    <t>坂本　淳吾</t>
  </si>
  <si>
    <t>R001263402</t>
  </si>
  <si>
    <t>坂本　圭</t>
  </si>
  <si>
    <t>R003350863</t>
  </si>
  <si>
    <t>坂本　克也</t>
  </si>
  <si>
    <t>R004714688</t>
  </si>
  <si>
    <t>酒井　祐三</t>
  </si>
  <si>
    <t>R001263350</t>
  </si>
  <si>
    <t>酒井　清行</t>
  </si>
  <si>
    <t>R001263369</t>
  </si>
  <si>
    <t>斎藤　克己</t>
  </si>
  <si>
    <t>R001263332</t>
  </si>
  <si>
    <t>後藤　稔</t>
  </si>
  <si>
    <t>R001263271</t>
  </si>
  <si>
    <t>R001256624</t>
  </si>
  <si>
    <t>後藤　憲治</t>
  </si>
  <si>
    <t>R009408852</t>
  </si>
  <si>
    <t>近藤　裕之</t>
  </si>
  <si>
    <t>R006591364</t>
  </si>
  <si>
    <t>近藤　健二</t>
  </si>
  <si>
    <t>R001263314</t>
  </si>
  <si>
    <t>小林　亮介</t>
  </si>
  <si>
    <t>R007728673</t>
  </si>
  <si>
    <t>小手川　朋輝</t>
  </si>
  <si>
    <t>R005405255</t>
  </si>
  <si>
    <t>児玉　祥吾</t>
  </si>
  <si>
    <t>R009198502</t>
  </si>
  <si>
    <t>河野　晋也</t>
  </si>
  <si>
    <t>R007003228</t>
  </si>
  <si>
    <t>小石川　悟</t>
  </si>
  <si>
    <t>R001256402</t>
  </si>
  <si>
    <t>桑原　将吾</t>
  </si>
  <si>
    <t>R008634487</t>
  </si>
  <si>
    <t>R001263183</t>
  </si>
  <si>
    <t>熊谷　浩之</t>
  </si>
  <si>
    <t>R001263165</t>
  </si>
  <si>
    <t>久保山　守</t>
  </si>
  <si>
    <t>R001256314</t>
  </si>
  <si>
    <t>久保田　英樹</t>
  </si>
  <si>
    <t>R001256305</t>
  </si>
  <si>
    <t>久保　雅敬</t>
  </si>
  <si>
    <t>R003677131</t>
  </si>
  <si>
    <t>工藤　龍成</t>
  </si>
  <si>
    <t>R008798262</t>
  </si>
  <si>
    <t>工藤　康博</t>
  </si>
  <si>
    <t>R001263110</t>
  </si>
  <si>
    <t>工藤　政野</t>
  </si>
  <si>
    <t>R007002982</t>
  </si>
  <si>
    <t>工藤　暢裕</t>
  </si>
  <si>
    <t>R003351251</t>
  </si>
  <si>
    <t>工藤　隆貴</t>
  </si>
  <si>
    <t>R003258413</t>
  </si>
  <si>
    <t>工藤　慎一</t>
  </si>
  <si>
    <t>R001263129</t>
  </si>
  <si>
    <t>草野　学</t>
  </si>
  <si>
    <t>R001263077</t>
  </si>
  <si>
    <t>切封　智和</t>
  </si>
  <si>
    <t>R001263068</t>
  </si>
  <si>
    <t>吉良　光峰</t>
  </si>
  <si>
    <t>R001263040</t>
  </si>
  <si>
    <t>R001263031</t>
  </si>
  <si>
    <t>清原　雄太</t>
  </si>
  <si>
    <t>R001251504</t>
  </si>
  <si>
    <t>木本　将斗</t>
  </si>
  <si>
    <t>R001256138</t>
  </si>
  <si>
    <t>木本　信之</t>
  </si>
  <si>
    <t>R001256129</t>
  </si>
  <si>
    <t>菊地　謙一</t>
  </si>
  <si>
    <t>R003256053</t>
  </si>
  <si>
    <t>川村　正樹</t>
  </si>
  <si>
    <t>R001255935</t>
  </si>
  <si>
    <t>川村　啓一郎</t>
  </si>
  <si>
    <t>R003351145</t>
  </si>
  <si>
    <t>河野　裕明</t>
  </si>
  <si>
    <t>R001262935</t>
  </si>
  <si>
    <t>河野　英樹</t>
  </si>
  <si>
    <t>R001255713</t>
  </si>
  <si>
    <t>川野　剛</t>
  </si>
  <si>
    <t>R001255740</t>
  </si>
  <si>
    <t>河野　貴裕</t>
  </si>
  <si>
    <t>R005103418</t>
  </si>
  <si>
    <t>河津　裕徳</t>
  </si>
  <si>
    <t>R002917430</t>
  </si>
  <si>
    <t>川﨑　浩司</t>
  </si>
  <si>
    <t>R006220952</t>
  </si>
  <si>
    <t>川井　勇介</t>
  </si>
  <si>
    <t>R001255616</t>
  </si>
  <si>
    <t>上西　亮次</t>
  </si>
  <si>
    <t>R002996668</t>
  </si>
  <si>
    <t>神川　基</t>
  </si>
  <si>
    <t>R001262883</t>
  </si>
  <si>
    <t>加藤　敦士</t>
  </si>
  <si>
    <t>R004714642</t>
  </si>
  <si>
    <t>梶原　誠司</t>
  </si>
  <si>
    <t>R001262838</t>
  </si>
  <si>
    <t>梶川　和志</t>
  </si>
  <si>
    <t>R004793542</t>
  </si>
  <si>
    <t>笠置　忠照</t>
  </si>
  <si>
    <t>R001262829</t>
  </si>
  <si>
    <t>笠置　貴路</t>
  </si>
  <si>
    <t>R004794055</t>
  </si>
  <si>
    <t>甲斐　真号</t>
  </si>
  <si>
    <t>R003258501</t>
  </si>
  <si>
    <t>小畑　広大</t>
  </si>
  <si>
    <t>R002530125</t>
  </si>
  <si>
    <t>小畑　克則</t>
  </si>
  <si>
    <t>R000466941</t>
  </si>
  <si>
    <t>小畑　郁夫</t>
  </si>
  <si>
    <t>R002996659</t>
  </si>
  <si>
    <t>小野　幸登</t>
  </si>
  <si>
    <t>R001262786</t>
  </si>
  <si>
    <t>小野　慎一</t>
  </si>
  <si>
    <t>R001255139</t>
  </si>
  <si>
    <t>小野　修太郎</t>
  </si>
  <si>
    <t>R001255193</t>
  </si>
  <si>
    <t>小野　智史</t>
  </si>
  <si>
    <t>R005603608</t>
  </si>
  <si>
    <t>小野　聡</t>
  </si>
  <si>
    <t>R001255184</t>
  </si>
  <si>
    <t>R002917661</t>
  </si>
  <si>
    <t>オトメ　仁孝</t>
  </si>
  <si>
    <t>R007959954</t>
  </si>
  <si>
    <t>乙部　哲也</t>
  </si>
  <si>
    <t>R002996695</t>
  </si>
  <si>
    <t>小田　将大</t>
  </si>
  <si>
    <t>R007960109</t>
  </si>
  <si>
    <t>長田　敏明</t>
  </si>
  <si>
    <t>R001262731</t>
  </si>
  <si>
    <t>小倉　正広</t>
  </si>
  <si>
    <t>R003972355</t>
  </si>
  <si>
    <t>小川　翔太</t>
  </si>
  <si>
    <t>R007075261</t>
  </si>
  <si>
    <t>緒方　崇</t>
  </si>
  <si>
    <t>R001262698</t>
  </si>
  <si>
    <t>岡本　遼</t>
  </si>
  <si>
    <t>R007959088</t>
  </si>
  <si>
    <t>岡部　司</t>
  </si>
  <si>
    <t>岡部　明男</t>
  </si>
  <si>
    <t>R006901613</t>
  </si>
  <si>
    <t>大野　盛通</t>
  </si>
  <si>
    <t>R003421222</t>
  </si>
  <si>
    <t>R001262670</t>
  </si>
  <si>
    <t>大津留　健太</t>
  </si>
  <si>
    <t>R003351109</t>
  </si>
  <si>
    <t>大塚　良輝</t>
  </si>
  <si>
    <t>R008174019</t>
  </si>
  <si>
    <t>大塚　勇司</t>
  </si>
  <si>
    <t>R005528121</t>
  </si>
  <si>
    <t>大谷　伸二</t>
  </si>
  <si>
    <t>R006093738</t>
  </si>
  <si>
    <t>大久保　邦彦</t>
  </si>
  <si>
    <t>R001262625</t>
  </si>
  <si>
    <t>R002384580</t>
  </si>
  <si>
    <t>恵美　圭介</t>
  </si>
  <si>
    <t>R009197619</t>
  </si>
  <si>
    <t>江藤　雅章</t>
  </si>
  <si>
    <t>R001254477</t>
  </si>
  <si>
    <t>衛藤　俊明</t>
  </si>
  <si>
    <t>R001262607</t>
  </si>
  <si>
    <t>衛藤　兼一</t>
  </si>
  <si>
    <t>R001254510</t>
  </si>
  <si>
    <t>衛藤　圭典</t>
  </si>
  <si>
    <t>R005603866</t>
  </si>
  <si>
    <t>江藤　修</t>
  </si>
  <si>
    <t>R001254538</t>
  </si>
  <si>
    <t>江崎　康平</t>
  </si>
  <si>
    <t>R002530064</t>
  </si>
  <si>
    <t>永路　尚道</t>
  </si>
  <si>
    <t>R003421161</t>
  </si>
  <si>
    <t>宇都宮　貴之</t>
  </si>
  <si>
    <t>R005527609</t>
  </si>
  <si>
    <t>宇都宮　潤也</t>
  </si>
  <si>
    <t>R001262874</t>
  </si>
  <si>
    <t>内丸　貴裕</t>
  </si>
  <si>
    <t>R003421231</t>
  </si>
  <si>
    <t>上田　輝彦</t>
  </si>
  <si>
    <t>R001262582</t>
  </si>
  <si>
    <t>上田　大吾</t>
  </si>
  <si>
    <t>R001254282</t>
  </si>
  <si>
    <t>植木　邦彦</t>
  </si>
  <si>
    <t>R004055390</t>
  </si>
  <si>
    <t>上尾　泰裕</t>
  </si>
  <si>
    <t>R001262573</t>
  </si>
  <si>
    <t>岩丸　海斗</t>
  </si>
  <si>
    <t>R007335297</t>
  </si>
  <si>
    <t>岩崎　彰範</t>
  </si>
  <si>
    <t>R004778507</t>
  </si>
  <si>
    <t>岩坂　康範</t>
  </si>
  <si>
    <t>R001254176</t>
  </si>
  <si>
    <t>今宮　俊一</t>
  </si>
  <si>
    <t>R003677104</t>
  </si>
  <si>
    <t>今井　克人</t>
  </si>
  <si>
    <t>R001262500</t>
  </si>
  <si>
    <t>井堀　貴康</t>
  </si>
  <si>
    <t>R001262494</t>
  </si>
  <si>
    <t>猪下　侑恭</t>
  </si>
  <si>
    <t>R006574172</t>
  </si>
  <si>
    <t>井上　秀文</t>
  </si>
  <si>
    <t>R001869093</t>
  </si>
  <si>
    <t>井上　直樹</t>
  </si>
  <si>
    <t>R001254051</t>
  </si>
  <si>
    <t>R006173919</t>
  </si>
  <si>
    <t>伊東　雅弘</t>
  </si>
  <si>
    <t>R001262458</t>
  </si>
  <si>
    <t>伊藤　宏充</t>
  </si>
  <si>
    <t>R002531522</t>
  </si>
  <si>
    <t>市田　翔太</t>
  </si>
  <si>
    <t>R007686234</t>
  </si>
  <si>
    <t>磯村　信一</t>
  </si>
  <si>
    <t>R005467918</t>
  </si>
  <si>
    <t>R003421338</t>
  </si>
  <si>
    <t>石山　慎史</t>
  </si>
  <si>
    <t>R001262403</t>
  </si>
  <si>
    <t>石丸　泰幸</t>
  </si>
  <si>
    <t>R001262397</t>
  </si>
  <si>
    <t>石松　卓哉</t>
  </si>
  <si>
    <t>R004060329</t>
  </si>
  <si>
    <t>石川　慎也</t>
  </si>
  <si>
    <t>R001262379</t>
  </si>
  <si>
    <t>石井　洋平</t>
  </si>
  <si>
    <t>R009408904</t>
  </si>
  <si>
    <t>池辺　俊明</t>
  </si>
  <si>
    <t>R001262324</t>
  </si>
  <si>
    <t>池田　浩</t>
  </si>
  <si>
    <t>R002384216</t>
  </si>
  <si>
    <t>池添　将大</t>
  </si>
  <si>
    <t>R006221377</t>
  </si>
  <si>
    <t>池江　浩一郎</t>
  </si>
  <si>
    <t>R001262290</t>
  </si>
  <si>
    <t>R007960084</t>
  </si>
  <si>
    <t>安東　幹雄</t>
  </si>
  <si>
    <t>R001262254</t>
  </si>
  <si>
    <t>安藤　洋樹</t>
  </si>
  <si>
    <t>R001253548</t>
  </si>
  <si>
    <t>安藤　英明</t>
  </si>
  <si>
    <t>R010064829</t>
  </si>
  <si>
    <t>安東　信二</t>
  </si>
  <si>
    <t>R001253496</t>
  </si>
  <si>
    <t>安藤　和洋</t>
  </si>
  <si>
    <t>R007003033</t>
  </si>
  <si>
    <t>R005336098</t>
  </si>
  <si>
    <t>阿部　浩之</t>
  </si>
  <si>
    <t>R001262209</t>
  </si>
  <si>
    <t>安倍　和広</t>
  </si>
  <si>
    <t>R006573784</t>
  </si>
  <si>
    <t>安部　一徳</t>
  </si>
  <si>
    <t>R001262184</t>
  </si>
  <si>
    <t>安達　信也</t>
  </si>
  <si>
    <t>R001253557</t>
  </si>
  <si>
    <t>朝吹　崇宏</t>
  </si>
  <si>
    <t>R003317336</t>
  </si>
  <si>
    <t>朝比奈　義行</t>
  </si>
  <si>
    <t>R003972391</t>
  </si>
  <si>
    <t>浅田　雄太</t>
  </si>
  <si>
    <t>R007728424</t>
  </si>
  <si>
    <t>浅井　佑太</t>
  </si>
  <si>
    <t>R007960093</t>
  </si>
  <si>
    <t>R001253025</t>
  </si>
  <si>
    <t>秋元　貴生</t>
  </si>
  <si>
    <t>R001253007</t>
  </si>
  <si>
    <t>和田　敬生</t>
  </si>
  <si>
    <t>R001262023</t>
  </si>
  <si>
    <t>湊　弘智</t>
  </si>
  <si>
    <t>R001264632</t>
  </si>
  <si>
    <t>水江　真太郎</t>
  </si>
  <si>
    <t>R004793649</t>
  </si>
  <si>
    <t>丸小野　聡暢</t>
  </si>
  <si>
    <t>R002331010</t>
  </si>
  <si>
    <t>R001265552</t>
  </si>
  <si>
    <t>増永　伸也</t>
  </si>
  <si>
    <t>R001260593</t>
  </si>
  <si>
    <t>前山　精治</t>
  </si>
  <si>
    <t>R001265534</t>
  </si>
  <si>
    <t>福田　人志</t>
  </si>
  <si>
    <t>R001260140</t>
  </si>
  <si>
    <t>R001265473</t>
  </si>
  <si>
    <t>羽田野　亘</t>
  </si>
  <si>
    <t>R001264304</t>
  </si>
  <si>
    <t>西田　亜矢</t>
  </si>
  <si>
    <t>R001265358</t>
  </si>
  <si>
    <t>仲摩　則孝</t>
  </si>
  <si>
    <t>R001265464</t>
  </si>
  <si>
    <t>中園　健太郎</t>
  </si>
  <si>
    <t>R003317390</t>
  </si>
  <si>
    <t>R006151032</t>
  </si>
  <si>
    <t>R001265437</t>
  </si>
  <si>
    <t>坪井　和幸</t>
  </si>
  <si>
    <t>R001265428</t>
  </si>
  <si>
    <t>田中　博</t>
  </si>
  <si>
    <t>R000892429</t>
  </si>
  <si>
    <t>高木　哲也</t>
  </si>
  <si>
    <t>R001257924</t>
  </si>
  <si>
    <t>須藤　健二</t>
  </si>
  <si>
    <t>R001265385</t>
  </si>
  <si>
    <t>塩月　勇輝</t>
  </si>
  <si>
    <t>R003255841</t>
  </si>
  <si>
    <t>笹原　年浩</t>
  </si>
  <si>
    <t>R001256943</t>
  </si>
  <si>
    <t>佐々木　慎哉</t>
  </si>
  <si>
    <t>R001251601</t>
  </si>
  <si>
    <t>R001265367</t>
  </si>
  <si>
    <t>後藤　晋平</t>
  </si>
  <si>
    <t>R000876616</t>
  </si>
  <si>
    <t>後藤　樹明</t>
  </si>
  <si>
    <t>R001265376</t>
  </si>
  <si>
    <t>R001265349</t>
  </si>
  <si>
    <t>黒田　大貴</t>
  </si>
  <si>
    <t>R005528255</t>
  </si>
  <si>
    <t>R001262999</t>
  </si>
  <si>
    <t>木下　富喜</t>
  </si>
  <si>
    <t>R001262971</t>
  </si>
  <si>
    <t>警告2</t>
    <rPh sb="0" eb="2">
      <t>ケイコク</t>
    </rPh>
    <phoneticPr fontId="5"/>
  </si>
  <si>
    <t>暴言</t>
    <rPh sb="0" eb="2">
      <t>ボウゲン</t>
    </rPh>
    <phoneticPr fontId="5"/>
  </si>
  <si>
    <t>阻止(他)</t>
    <rPh sb="0" eb="2">
      <t>ソシ</t>
    </rPh>
    <rPh sb="3" eb="4">
      <t>ホカ</t>
    </rPh>
    <phoneticPr fontId="5"/>
  </si>
  <si>
    <t>阻止(手)</t>
    <rPh sb="0" eb="2">
      <t>ソシ</t>
    </rPh>
    <rPh sb="3" eb="4">
      <t>テ</t>
    </rPh>
    <phoneticPr fontId="5"/>
  </si>
  <si>
    <t>つば</t>
    <phoneticPr fontId="5"/>
  </si>
  <si>
    <t>大野　髙洋</t>
  </si>
  <si>
    <t>R001265233</t>
  </si>
  <si>
    <t>乱暴</t>
    <rPh sb="0" eb="2">
      <t>ランボウ</t>
    </rPh>
    <phoneticPr fontId="5"/>
  </si>
  <si>
    <t>大塚　浩司</t>
  </si>
  <si>
    <t>R001265224</t>
  </si>
  <si>
    <t>不正</t>
    <rPh sb="0" eb="2">
      <t>フセイ</t>
    </rPh>
    <phoneticPr fontId="5"/>
  </si>
  <si>
    <t>R001265190</t>
  </si>
  <si>
    <t>＜退場選択肢＞</t>
    <rPh sb="1" eb="3">
      <t>タイジョウ</t>
    </rPh>
    <rPh sb="3" eb="6">
      <t>センタクシ</t>
    </rPh>
    <phoneticPr fontId="5"/>
  </si>
  <si>
    <t>岩崎　浩也</t>
  </si>
  <si>
    <t>R001262546</t>
  </si>
  <si>
    <t>無断去</t>
    <rPh sb="0" eb="2">
      <t>ムダン</t>
    </rPh>
    <rPh sb="2" eb="3">
      <t>サ</t>
    </rPh>
    <phoneticPr fontId="5"/>
  </si>
  <si>
    <t>R001265172</t>
  </si>
  <si>
    <t>無断入</t>
    <rPh sb="0" eb="2">
      <t>ムダン</t>
    </rPh>
    <rPh sb="2" eb="3">
      <t>ハイ</t>
    </rPh>
    <phoneticPr fontId="5"/>
  </si>
  <si>
    <t>距離</t>
    <rPh sb="0" eb="2">
      <t>キョリ</t>
    </rPh>
    <phoneticPr fontId="5"/>
  </si>
  <si>
    <t>R001262333</t>
  </si>
  <si>
    <t>遅延</t>
    <rPh sb="0" eb="2">
      <t>チエン</t>
    </rPh>
    <phoneticPr fontId="5"/>
  </si>
  <si>
    <t>安藤　博幸</t>
  </si>
  <si>
    <t>R001253502</t>
  </si>
  <si>
    <t>繰り返し</t>
    <rPh sb="0" eb="1">
      <t>ク</t>
    </rPh>
    <rPh sb="2" eb="3">
      <t>カエ</t>
    </rPh>
    <phoneticPr fontId="5"/>
  </si>
  <si>
    <t>足達　実生</t>
  </si>
  <si>
    <t>R000879756</t>
  </si>
  <si>
    <t>異議</t>
    <rPh sb="0" eb="2">
      <t>イギ</t>
    </rPh>
    <phoneticPr fontId="5"/>
  </si>
  <si>
    <t>ラフ</t>
    <phoneticPr fontId="5"/>
  </si>
  <si>
    <t>退場</t>
    <rPh sb="0" eb="2">
      <t>タイジョウ</t>
    </rPh>
    <phoneticPr fontId="5"/>
  </si>
  <si>
    <t>R001265145</t>
  </si>
  <si>
    <t>反スポ</t>
    <rPh sb="0" eb="1">
      <t>ハン</t>
    </rPh>
    <phoneticPr fontId="5"/>
  </si>
  <si>
    <t>警告</t>
    <rPh sb="0" eb="2">
      <t>ケイコク</t>
    </rPh>
    <phoneticPr fontId="5"/>
  </si>
  <si>
    <t>＜警告選択肢＞</t>
    <rPh sb="1" eb="3">
      <t>ケイコク</t>
    </rPh>
    <rPh sb="3" eb="6">
      <t>センタクシ</t>
    </rPh>
    <phoneticPr fontId="5"/>
  </si>
  <si>
    <t>選択肢より</t>
    <rPh sb="0" eb="3">
      <t>センタクシ</t>
    </rPh>
    <phoneticPr fontId="5"/>
  </si>
  <si>
    <t>資格</t>
  </si>
  <si>
    <t>氏名</t>
  </si>
  <si>
    <t>審判登録番号</t>
  </si>
  <si>
    <t>番号</t>
    <phoneticPr fontId="5"/>
  </si>
  <si>
    <t>R001264058</t>
  </si>
  <si>
    <t>R001254875</t>
  </si>
  <si>
    <t>R001265260</t>
  </si>
  <si>
    <t>R001263448</t>
  </si>
  <si>
    <t>R001264164</t>
  </si>
  <si>
    <t>R001264401</t>
  </si>
  <si>
    <t>R001265118</t>
  </si>
  <si>
    <t>R010013254</t>
  </si>
  <si>
    <t>安藤　暢</t>
  </si>
  <si>
    <t>R010076621</t>
  </si>
  <si>
    <t>江上　和希</t>
  </si>
  <si>
    <t>R005164613</t>
  </si>
  <si>
    <t>＜Referee＞</t>
    <phoneticPr fontId="5"/>
  </si>
  <si>
    <t>大分地区は、振込順にて抽選</t>
    <rPh sb="0" eb="2">
      <t>オオイタ</t>
    </rPh>
    <rPh sb="2" eb="4">
      <t>チク</t>
    </rPh>
    <rPh sb="6" eb="8">
      <t>フリコミ</t>
    </rPh>
    <rPh sb="8" eb="9">
      <t>ジュン</t>
    </rPh>
    <rPh sb="11" eb="13">
      <t>チュウセン</t>
    </rPh>
    <phoneticPr fontId="5"/>
  </si>
  <si>
    <t>10分</t>
    <phoneticPr fontId="5"/>
  </si>
  <si>
    <t>℃</t>
    <phoneticPr fontId="5"/>
  </si>
  <si>
    <t>％</t>
    <phoneticPr fontId="5"/>
  </si>
  <si>
    <t>○</t>
    <phoneticPr fontId="5"/>
  </si>
  <si>
    <t>１級</t>
  </si>
  <si>
    <t>赤山　千晶</t>
  </si>
  <si>
    <t>R010189323</t>
  </si>
  <si>
    <t>安部　孝之</t>
  </si>
  <si>
    <t>R009547124</t>
  </si>
  <si>
    <t>安藤　洋一</t>
  </si>
  <si>
    <t>R010090347</t>
  </si>
  <si>
    <t>R010096810</t>
  </si>
  <si>
    <t>岩尾　瑞貴</t>
  </si>
  <si>
    <t>R010169040</t>
  </si>
  <si>
    <t>上本　慎一郎</t>
  </si>
  <si>
    <t>R010093443</t>
  </si>
  <si>
    <t>内山田　光史</t>
  </si>
  <si>
    <t>R009212325</t>
  </si>
  <si>
    <t>戒田　直樹</t>
  </si>
  <si>
    <t>R010099455</t>
  </si>
  <si>
    <t>糟谷　浩志</t>
  </si>
  <si>
    <t>R010120124</t>
  </si>
  <si>
    <t>田尻　貴志</t>
  </si>
  <si>
    <t>R010167725</t>
  </si>
  <si>
    <t>東藤　正幸</t>
  </si>
  <si>
    <t>R010190757</t>
  </si>
  <si>
    <t>中島　佑介</t>
  </si>
  <si>
    <t>R010099448</t>
  </si>
  <si>
    <t>中原　丈聖</t>
  </si>
  <si>
    <t>R002908335</t>
  </si>
  <si>
    <t>南里　秀樹</t>
  </si>
  <si>
    <t>R010167733</t>
  </si>
  <si>
    <t>原　大貴</t>
  </si>
  <si>
    <t>R010127606</t>
  </si>
  <si>
    <t>本戸　峰</t>
  </si>
  <si>
    <t>R010099454</t>
  </si>
  <si>
    <t>宮田　繁輝</t>
  </si>
  <si>
    <t>R010189296</t>
  </si>
  <si>
    <t>山本　和真</t>
  </si>
  <si>
    <t>R010093470</t>
  </si>
  <si>
    <t>合澤　慎太郎</t>
  </si>
  <si>
    <t>R010083876</t>
  </si>
  <si>
    <t>相部　直輝</t>
  </si>
  <si>
    <t>R010189294</t>
  </si>
  <si>
    <t>赤木　修二</t>
  </si>
  <si>
    <t>R010093427</t>
  </si>
  <si>
    <t>赤峯　慎太郎</t>
  </si>
  <si>
    <t>R010169055</t>
  </si>
  <si>
    <t>R010189040</t>
  </si>
  <si>
    <t>阿地　孝</t>
  </si>
  <si>
    <t>R010093439</t>
  </si>
  <si>
    <t>阿部　和明</t>
  </si>
  <si>
    <t>R010167738</t>
  </si>
  <si>
    <t>安倍　俊之</t>
  </si>
  <si>
    <t>R010123024</t>
  </si>
  <si>
    <t>有田　利広</t>
  </si>
  <si>
    <t>R010189314</t>
  </si>
  <si>
    <t>有村　惇志</t>
  </si>
  <si>
    <t>R010189282</t>
  </si>
  <si>
    <t>安達　羽海</t>
  </si>
  <si>
    <t>R010214574</t>
  </si>
  <si>
    <t>安達　巧馬</t>
  </si>
  <si>
    <t>安藤　卓也</t>
  </si>
  <si>
    <t>R010161902</t>
  </si>
  <si>
    <t>安藤　幸歩</t>
  </si>
  <si>
    <t>R010189286</t>
  </si>
  <si>
    <t>伊賀　隆博</t>
  </si>
  <si>
    <t>R010093456</t>
  </si>
  <si>
    <t>池邉　賢一</t>
  </si>
  <si>
    <t>R010189318</t>
  </si>
  <si>
    <t>池邉　晋</t>
  </si>
  <si>
    <t>R010189276</t>
  </si>
  <si>
    <t>石本　侑己</t>
  </si>
  <si>
    <t>R010189278</t>
  </si>
  <si>
    <t>一丸　顕範</t>
  </si>
  <si>
    <t>R010214557</t>
  </si>
  <si>
    <t>伊東　健太郎</t>
  </si>
  <si>
    <t>R010141834</t>
  </si>
  <si>
    <t>今村　蓮</t>
  </si>
  <si>
    <t>R010100663</t>
  </si>
  <si>
    <t>岩崎　晋也</t>
  </si>
  <si>
    <t>R010189261</t>
  </si>
  <si>
    <t>上栗　一将</t>
  </si>
  <si>
    <t>R010189280</t>
  </si>
  <si>
    <t>魚住　健人</t>
  </si>
  <si>
    <t>R010214530</t>
  </si>
  <si>
    <t>梅木　悠也</t>
  </si>
  <si>
    <t>R010193702</t>
  </si>
  <si>
    <t>梅田　高志</t>
  </si>
  <si>
    <t>R010189311</t>
  </si>
  <si>
    <t>梅徳　里一</t>
  </si>
  <si>
    <t>R010100691</t>
  </si>
  <si>
    <t>浦本　雅志</t>
  </si>
  <si>
    <t>R010120137</t>
  </si>
  <si>
    <t>江上　智啓</t>
  </si>
  <si>
    <t>R010189313</t>
  </si>
  <si>
    <t>大石　周弥</t>
  </si>
  <si>
    <t>R010189324</t>
  </si>
  <si>
    <t>大嶋　伊織</t>
  </si>
  <si>
    <t>R010159132</t>
  </si>
  <si>
    <t>大谷　幸希</t>
  </si>
  <si>
    <t>R010167737</t>
  </si>
  <si>
    <t>大塚　誠也</t>
  </si>
  <si>
    <t>R010093494</t>
  </si>
  <si>
    <t>大本　敏行</t>
  </si>
  <si>
    <t>R010214576</t>
  </si>
  <si>
    <t>大屋　楓真</t>
  </si>
  <si>
    <t>R010214611</t>
  </si>
  <si>
    <t>岡　正一郎</t>
  </si>
  <si>
    <t>R010083849</t>
  </si>
  <si>
    <t>岡田　幸太郎</t>
  </si>
  <si>
    <t>R010100676</t>
  </si>
  <si>
    <t>奥村　浩勝</t>
  </si>
  <si>
    <t>R010189264</t>
  </si>
  <si>
    <t>小栗　貴成</t>
  </si>
  <si>
    <t>R010099447</t>
  </si>
  <si>
    <t>小澤　剛史</t>
  </si>
  <si>
    <t>R010099453</t>
  </si>
  <si>
    <t>小野　颯真</t>
  </si>
  <si>
    <t>R010093504</t>
  </si>
  <si>
    <t>小野　裕希</t>
  </si>
  <si>
    <t>R010100673</t>
  </si>
  <si>
    <t>小野　裕司</t>
  </si>
  <si>
    <t>小野　友美子</t>
  </si>
  <si>
    <t>R010214529</t>
  </si>
  <si>
    <t>加賀　寿一</t>
  </si>
  <si>
    <t>R010189343</t>
  </si>
  <si>
    <t>香川　真弓</t>
  </si>
  <si>
    <t>R010214467</t>
  </si>
  <si>
    <t>笠村　凜</t>
  </si>
  <si>
    <t>R010120174</t>
  </si>
  <si>
    <t>梶原　規史</t>
  </si>
  <si>
    <t>R010156504</t>
  </si>
  <si>
    <t>勝木　翔也</t>
  </si>
  <si>
    <t>R010189342</t>
  </si>
  <si>
    <t>加藤　拓己</t>
  </si>
  <si>
    <t>R010159751</t>
  </si>
  <si>
    <t>川浪　実歩</t>
  </si>
  <si>
    <t>R010214628</t>
  </si>
  <si>
    <t>川野　裕貴</t>
  </si>
  <si>
    <t>R010214623</t>
  </si>
  <si>
    <t>川畑　拓人</t>
  </si>
  <si>
    <t>R010214583</t>
  </si>
  <si>
    <t>木津　浩太</t>
  </si>
  <si>
    <t>R010214584</t>
  </si>
  <si>
    <t>木津　春歌</t>
  </si>
  <si>
    <t>R010083877</t>
  </si>
  <si>
    <t>工藤　大和</t>
  </si>
  <si>
    <t>R010189321</t>
  </si>
  <si>
    <t>神志那　公市</t>
  </si>
  <si>
    <t>R010162996</t>
  </si>
  <si>
    <t>小越　憲太郎</t>
  </si>
  <si>
    <t>R010169042</t>
  </si>
  <si>
    <t>児玉　悠介</t>
  </si>
  <si>
    <t>R010080887</t>
  </si>
  <si>
    <t>古西　譲司</t>
  </si>
  <si>
    <t>R010193704</t>
  </si>
  <si>
    <t>後藤　健文</t>
  </si>
  <si>
    <t>R010120116</t>
  </si>
  <si>
    <t>後藤　芳健</t>
  </si>
  <si>
    <t>R010189326</t>
  </si>
  <si>
    <t>坂田　大樹</t>
  </si>
  <si>
    <t>R010214626</t>
  </si>
  <si>
    <t>指原　徹志</t>
  </si>
  <si>
    <t>R010189039</t>
  </si>
  <si>
    <t>目　匡弘</t>
  </si>
  <si>
    <t>R010189325</t>
  </si>
  <si>
    <t>佐藤　遥哉</t>
  </si>
  <si>
    <t>R010189269</t>
  </si>
  <si>
    <t>佐藤　寛季</t>
  </si>
  <si>
    <t>R010214533</t>
  </si>
  <si>
    <t>R010100659</t>
  </si>
  <si>
    <t>財前　友担</t>
  </si>
  <si>
    <t>R010214543</t>
  </si>
  <si>
    <t>柴田　峻佑</t>
  </si>
  <si>
    <t>R010189345</t>
  </si>
  <si>
    <t>R010214548</t>
  </si>
  <si>
    <t>鈴木　公大</t>
  </si>
  <si>
    <t>R010214540</t>
  </si>
  <si>
    <t>隅田　渚斗</t>
  </si>
  <si>
    <t>R010162998</t>
  </si>
  <si>
    <t>圖師　好至朗</t>
  </si>
  <si>
    <t>R010189267</t>
  </si>
  <si>
    <t>関　雅人</t>
  </si>
  <si>
    <t>R010120162</t>
  </si>
  <si>
    <t>曽根　文武</t>
  </si>
  <si>
    <t>R010167790</t>
  </si>
  <si>
    <t>田野　翔大</t>
  </si>
  <si>
    <t>R010093455</t>
  </si>
  <si>
    <t>津田　敬太</t>
  </si>
  <si>
    <t>R010214478</t>
  </si>
  <si>
    <t>堤　晴菜</t>
  </si>
  <si>
    <t>R010120117</t>
  </si>
  <si>
    <t>R010093499</t>
  </si>
  <si>
    <t>徳丸　淳治</t>
  </si>
  <si>
    <t>R010189300</t>
  </si>
  <si>
    <t>徳光　将太</t>
  </si>
  <si>
    <t>R010159150</t>
  </si>
  <si>
    <t>戸田　汐音</t>
  </si>
  <si>
    <t>R010100678</t>
  </si>
  <si>
    <t>友松　誠二</t>
  </si>
  <si>
    <t>内藤　翔悟</t>
  </si>
  <si>
    <t>R010168000</t>
  </si>
  <si>
    <t>仲　恭平</t>
  </si>
  <si>
    <t>R010167786</t>
  </si>
  <si>
    <t>中島　湧友</t>
  </si>
  <si>
    <t>R010093448</t>
  </si>
  <si>
    <t>中野　智博</t>
  </si>
  <si>
    <t>R010078598</t>
  </si>
  <si>
    <t>中野　浩志</t>
  </si>
  <si>
    <t>R010189259</t>
  </si>
  <si>
    <t>中山　修一</t>
  </si>
  <si>
    <t>R010193705</t>
  </si>
  <si>
    <t>長山　祐介</t>
  </si>
  <si>
    <t>R010095349</t>
  </si>
  <si>
    <t>二宮　慎太郎</t>
  </si>
  <si>
    <t>R010096809</t>
  </si>
  <si>
    <t>二宮　大作</t>
  </si>
  <si>
    <t>R010214592</t>
  </si>
  <si>
    <t>R010080607</t>
  </si>
  <si>
    <t>野田　晶生</t>
  </si>
  <si>
    <t>R010214556</t>
  </si>
  <si>
    <t>野中　裕介</t>
  </si>
  <si>
    <t>R010214541</t>
  </si>
  <si>
    <t>R010093435</t>
  </si>
  <si>
    <t>濱田　尚希</t>
  </si>
  <si>
    <t>R010189330</t>
  </si>
  <si>
    <t>原田　裕規</t>
  </si>
  <si>
    <t>R010189332</t>
  </si>
  <si>
    <t>姫野　賢吾</t>
  </si>
  <si>
    <t>R010189272</t>
  </si>
  <si>
    <t>姫野　佑太郎</t>
  </si>
  <si>
    <t>R010214604</t>
  </si>
  <si>
    <t>平林　昭二</t>
  </si>
  <si>
    <t>R010093449</t>
  </si>
  <si>
    <t>深見　精二</t>
  </si>
  <si>
    <t>福島　莉聖</t>
  </si>
  <si>
    <t>R010099458</t>
  </si>
  <si>
    <t>福原　元希</t>
  </si>
  <si>
    <t>R010214568</t>
  </si>
  <si>
    <t>藤井　俊輔</t>
  </si>
  <si>
    <t>R010214617</t>
  </si>
  <si>
    <t>藤本　宏平</t>
  </si>
  <si>
    <t>R010093496</t>
  </si>
  <si>
    <t>牧　大佑</t>
  </si>
  <si>
    <t>R010214601</t>
  </si>
  <si>
    <t>増野　凌雅</t>
  </si>
  <si>
    <t>R010214585</t>
  </si>
  <si>
    <t>松胴　敦</t>
  </si>
  <si>
    <t>R010093445</t>
  </si>
  <si>
    <t>松本　侑樹</t>
  </si>
  <si>
    <t>R010120131</t>
  </si>
  <si>
    <t>三浦　哲郎</t>
  </si>
  <si>
    <t>R010214582</t>
  </si>
  <si>
    <t>村上　叶恋</t>
  </si>
  <si>
    <t>R010162976</t>
  </si>
  <si>
    <t>村本　輝</t>
  </si>
  <si>
    <t>R010214562</t>
  </si>
  <si>
    <t>村山　武志</t>
  </si>
  <si>
    <t>R010214605</t>
  </si>
  <si>
    <t>森　恭子</t>
  </si>
  <si>
    <t>R010189258</t>
  </si>
  <si>
    <t>R010214606</t>
  </si>
  <si>
    <t>森　凛人</t>
  </si>
  <si>
    <t>森崎　瑠菜</t>
  </si>
  <si>
    <t>R010190754</t>
  </si>
  <si>
    <t>八坂　柊</t>
  </si>
  <si>
    <t>R010093501</t>
  </si>
  <si>
    <t>安波　俊英</t>
  </si>
  <si>
    <t>R010189260</t>
  </si>
  <si>
    <t>山下　泰明</t>
  </si>
  <si>
    <t>R010214542</t>
  </si>
  <si>
    <t>山田　宏和</t>
  </si>
  <si>
    <t>R010189317</t>
  </si>
  <si>
    <t>山本　純平</t>
  </si>
  <si>
    <t>山本　崇史</t>
  </si>
  <si>
    <t>R010214619</t>
  </si>
  <si>
    <t>山矢　修冬</t>
  </si>
  <si>
    <t>R010214620</t>
  </si>
  <si>
    <t>雪野　知花</t>
  </si>
  <si>
    <t>R010214553</t>
  </si>
  <si>
    <t>横尾　茂</t>
  </si>
  <si>
    <t>吉川　美里</t>
  </si>
  <si>
    <t>R010189303</t>
  </si>
  <si>
    <t>吉村　一</t>
  </si>
  <si>
    <t>R010162992</t>
  </si>
  <si>
    <t>若林　歩夢</t>
  </si>
  <si>
    <t>R010113537</t>
  </si>
  <si>
    <t>渡邉　鷹也</t>
  </si>
  <si>
    <t>R010189289</t>
  </si>
  <si>
    <t>渡邉　優憲</t>
  </si>
  <si>
    <t>○</t>
  </si>
  <si>
    <t>カワノ　ユウキ</t>
  </si>
  <si>
    <t>サトウ　コウスケ</t>
  </si>
  <si>
    <t>サトウ　リョウ</t>
  </si>
  <si>
    <t>後藤　颯太</t>
  </si>
  <si>
    <t>ゴトウ　ソウタ</t>
  </si>
  <si>
    <t>マッチコーディネーションミーティング</t>
    <phoneticPr fontId="5"/>
  </si>
  <si>
    <t>マッチナンバー：</t>
    <phoneticPr fontId="5"/>
  </si>
  <si>
    <t>市）</t>
    <rPh sb="0" eb="1">
      <t>シ</t>
    </rPh>
    <phoneticPr fontId="5"/>
  </si>
  <si>
    <t>ｖｓ</t>
    <phoneticPr fontId="5"/>
  </si>
  <si>
    <t xml:space="preserve"> 挨拶および出席者の確認</t>
    <phoneticPr fontId="5"/>
  </si>
  <si>
    <t>主管協会（　一般社団法人　大分県サッカー協会　）</t>
    <rPh sb="6" eb="8">
      <t>イッパン</t>
    </rPh>
    <phoneticPr fontId="5"/>
  </si>
  <si>
    <t>a)</t>
    <phoneticPr fontId="5"/>
  </si>
  <si>
    <t>マッチコミッショナー・・・・・・・・・・・</t>
    <phoneticPr fontId="5"/>
  </si>
  <si>
    <t>氏</t>
    <rPh sb="0" eb="1">
      <t>シ</t>
    </rPh>
    <phoneticPr fontId="5"/>
  </si>
  <si>
    <t>b)</t>
    <phoneticPr fontId="5"/>
  </si>
  <si>
    <t>・・・・・・・・・・・・・・・・・</t>
    <phoneticPr fontId="5"/>
  </si>
  <si>
    <t>c)</t>
    <phoneticPr fontId="5"/>
  </si>
  <si>
    <t>d)</t>
    <phoneticPr fontId="5"/>
  </si>
  <si>
    <t>審判団</t>
    <phoneticPr fontId="5"/>
  </si>
  <si>
    <t>主審・・・・・・・・・・・・・・</t>
    <rPh sb="0" eb="2">
      <t>シュシン</t>
    </rPh>
    <phoneticPr fontId="5"/>
  </si>
  <si>
    <t>副審１・・・・・・・・・・・・・・</t>
    <rPh sb="0" eb="2">
      <t>フクシン</t>
    </rPh>
    <phoneticPr fontId="5"/>
  </si>
  <si>
    <t>副審２・・・・・・・・・・・・・・・</t>
    <rPh sb="0" eb="2">
      <t>フクシン</t>
    </rPh>
    <phoneticPr fontId="5"/>
  </si>
  <si>
    <t>第4の審判員・・・・・・・・・・・・</t>
    <phoneticPr fontId="5"/>
  </si>
  <si>
    <t>e)</t>
    <phoneticPr fontId="5"/>
  </si>
  <si>
    <t>主管サッカー協会(司会進行）・・・・・・・・・・・・・・</t>
    <rPh sb="9" eb="11">
      <t>シカイ</t>
    </rPh>
    <rPh sb="11" eb="13">
      <t>シンコウ</t>
    </rPh>
    <phoneticPr fontId="5"/>
  </si>
  <si>
    <t>f)</t>
    <phoneticPr fontId="5"/>
  </si>
  <si>
    <t>ウェルフェアオフィサー</t>
    <phoneticPr fontId="5"/>
  </si>
  <si>
    <t>競技関連事項</t>
    <phoneticPr fontId="5"/>
  </si>
  <si>
    <t>（1）</t>
    <phoneticPr fontId="5"/>
  </si>
  <si>
    <t>累積警告選手の確認</t>
    <phoneticPr fontId="5"/>
  </si>
  <si>
    <t>（2）</t>
    <phoneticPr fontId="5"/>
  </si>
  <si>
    <t>ユニフォームの色の決定</t>
    <phoneticPr fontId="5"/>
  </si>
  <si>
    <t>（3）</t>
    <phoneticPr fontId="5"/>
  </si>
  <si>
    <t>試合登録メンバー（選手および役員）の確認</t>
    <phoneticPr fontId="5"/>
  </si>
  <si>
    <t>（４）</t>
    <phoneticPr fontId="5"/>
  </si>
  <si>
    <t>試合時間</t>
    <phoneticPr fontId="5"/>
  </si>
  <si>
    <t>飲水タイムをとる場合は、「その他の理由」により空費された時間として追加する。</t>
    <rPh sb="0" eb="1">
      <t>イン</t>
    </rPh>
    <rPh sb="1" eb="2">
      <t>スイ</t>
    </rPh>
    <rPh sb="8" eb="10">
      <t>バアイ</t>
    </rPh>
    <phoneticPr fontId="5"/>
  </si>
  <si>
    <t>アディッショナルタイムの標記:</t>
    <phoneticPr fontId="5"/>
  </si>
  <si>
    <t>行う（表示用ボード）</t>
    <rPh sb="0" eb="1">
      <t>オコナ</t>
    </rPh>
    <rPh sb="3" eb="5">
      <t>ヒョウジ</t>
    </rPh>
    <phoneticPr fontId="5"/>
  </si>
  <si>
    <t>（5）</t>
    <phoneticPr fontId="5"/>
  </si>
  <si>
    <t>競技者の数</t>
    <phoneticPr fontId="5"/>
  </si>
  <si>
    <t>○ 試合開始時の人数は、8対8を原則とする。
○ 競技中、怪我人が出た場合は、交代要員から補充すること。
○ 退場者が出た場合は、交代要員から補充し、退場者のベンチ戻入は認めない。
○ 競技者の数がアンバランスになるのは、該当チームに交代要員がいなくなった時に限る。</t>
    <phoneticPr fontId="5"/>
  </si>
  <si>
    <t>（6）</t>
    <phoneticPr fontId="5"/>
  </si>
  <si>
    <t>選手の交代</t>
    <phoneticPr fontId="5"/>
  </si>
  <si>
    <t>○ 競技開始前に登録した最大8名の交代要員の中から、自由な交代が認められ、交代して退いた競技者は
　交代要員となり、再び出場することができる。（交代の回数は制限されない。）
○ 交代は、ボールがインプレー中、アウトオブプレー中にかかわらず行うことができ、チームの指導者、
　もしくは選手は「第4審」に交代選手の番号を口頭で報告し、用具チェックを受けた後、交代ゾーンか
　ら行う。ただし、交代で退く競技者が負傷している場合は、主審の承認を得た上でどこからフィールド
　を離れてもよい。   また、ＧＫが交代する場合はアウトプレー時に主審を通じ行う。</t>
    <rPh sb="265" eb="267">
      <t>シュシン</t>
    </rPh>
    <rPh sb="268" eb="269">
      <t>ツウ</t>
    </rPh>
    <phoneticPr fontId="5"/>
  </si>
  <si>
    <t>（7）</t>
    <phoneticPr fontId="5"/>
  </si>
  <si>
    <t>チームベンチへの人数</t>
    <phoneticPr fontId="5"/>
  </si>
  <si>
    <t>ベンチに入る指導者・選手は、あらかじめ明記した監督1名及びその他役職者２名の計３名（うち
1名はJFA公認指導者ライセンスを有すること。）・交代要員となる選手８名を最大とする。
※大会登録書（メンバー表）に記載された選手及び監督・役員以外のベンチ入りは認めない。</t>
    <phoneticPr fontId="47"/>
  </si>
  <si>
    <t>（8）</t>
    <phoneticPr fontId="5"/>
  </si>
  <si>
    <t>ウォーミングアップ</t>
    <phoneticPr fontId="5"/>
  </si>
  <si>
    <t>***試合前***</t>
    <rPh sb="3" eb="5">
      <t>シアイ</t>
    </rPh>
    <rPh sb="5" eb="6">
      <t>マエ</t>
    </rPh>
    <phoneticPr fontId="5"/>
  </si>
  <si>
    <t>場所：</t>
    <rPh sb="0" eb="2">
      <t>バショ</t>
    </rPh>
    <phoneticPr fontId="5"/>
  </si>
  <si>
    <t>時間：</t>
    <rPh sb="0" eb="2">
      <t>ジカン</t>
    </rPh>
    <phoneticPr fontId="5"/>
  </si>
  <si>
    <t>ボール使用の可否：</t>
    <phoneticPr fontId="5"/>
  </si>
  <si>
    <t>可</t>
    <rPh sb="0" eb="1">
      <t>カ</t>
    </rPh>
    <phoneticPr fontId="5"/>
  </si>
  <si>
    <t>***試合中***</t>
    <rPh sb="3" eb="6">
      <t>シアイチュウ</t>
    </rPh>
    <phoneticPr fontId="5"/>
  </si>
  <si>
    <t>○</t>
    <phoneticPr fontId="5"/>
  </si>
  <si>
    <t>ベンチ横</t>
    <phoneticPr fontId="5"/>
  </si>
  <si>
    <t>ボール使用の可否：</t>
    <phoneticPr fontId="5"/>
  </si>
  <si>
    <t>否</t>
    <rPh sb="0" eb="1">
      <t>ヒ</t>
    </rPh>
    <phoneticPr fontId="5"/>
  </si>
  <si>
    <t>○</t>
    <phoneticPr fontId="5"/>
  </si>
  <si>
    <t>着衣：</t>
    <phoneticPr fontId="5"/>
  </si>
  <si>
    <t>交代要員の選手は、両チームのユニフォームおよび審判のユニフォームと明確に異なる色の着衣（ビブス等）を身につけること。</t>
    <phoneticPr fontId="5"/>
  </si>
  <si>
    <t>（9）</t>
    <phoneticPr fontId="5"/>
  </si>
  <si>
    <t>テクニカルエリア</t>
    <phoneticPr fontId="5"/>
  </si>
  <si>
    <t>（10）</t>
    <phoneticPr fontId="5"/>
  </si>
  <si>
    <t>選手のけがの治療</t>
    <phoneticPr fontId="5"/>
  </si>
  <si>
    <t>レフェリ－が認める特別な場合でないかぎり、フィ－ルド内での医療処置は一切認められない。</t>
    <phoneticPr fontId="5"/>
  </si>
  <si>
    <t>ケガをした選手が運び出されたり、主審の許可によりフィ－ルドを出ることが認められる場合、医療担当者は医療処置をフィ－ルドの外で行う。</t>
    <phoneticPr fontId="5"/>
  </si>
  <si>
    <t>主審の指示を受けた場合にのみ、2名以内のチ－ム役員と担架がフィ－ルドに入ることができる。</t>
    <phoneticPr fontId="5"/>
  </si>
  <si>
    <t>ゴ－ルキ－パ－がケガをした場合は試合を中断し、フィ－ルド内で手当てを受けることが許される。手当てが終わってから試合は再開される。</t>
    <phoneticPr fontId="5"/>
  </si>
  <si>
    <t>負傷により出血した選手は、出血が止まったことを審判が確認し、主審の合図を受けてからフィールドに復帰することができる。</t>
    <phoneticPr fontId="5"/>
  </si>
  <si>
    <t>負傷した選手が交代ゾーン以外からピッチを離れ、交替する場合は交替ゾーンから交替する選手は入場する。負傷した選手が治療をおえ、再度交替し入場する場合も交替ゾーンから行う。</t>
    <rPh sb="0" eb="2">
      <t>フショウ</t>
    </rPh>
    <rPh sb="4" eb="6">
      <t>センシュ</t>
    </rPh>
    <rPh sb="7" eb="9">
      <t>コウタイ</t>
    </rPh>
    <rPh sb="12" eb="14">
      <t>イガイ</t>
    </rPh>
    <rPh sb="20" eb="21">
      <t>ハナ</t>
    </rPh>
    <rPh sb="23" eb="25">
      <t>コウタイ</t>
    </rPh>
    <rPh sb="27" eb="29">
      <t>バアイ</t>
    </rPh>
    <rPh sb="30" eb="32">
      <t>コウタイ</t>
    </rPh>
    <rPh sb="37" eb="39">
      <t>コウタイ</t>
    </rPh>
    <rPh sb="41" eb="43">
      <t>センシュ</t>
    </rPh>
    <rPh sb="44" eb="46">
      <t>ニュウジョウ</t>
    </rPh>
    <rPh sb="49" eb="51">
      <t>フショウ</t>
    </rPh>
    <rPh sb="53" eb="55">
      <t>センシュ</t>
    </rPh>
    <rPh sb="56" eb="58">
      <t>チリョウ</t>
    </rPh>
    <rPh sb="62" eb="64">
      <t>サイド</t>
    </rPh>
    <rPh sb="64" eb="66">
      <t>コウタイ</t>
    </rPh>
    <rPh sb="67" eb="69">
      <t>ニュウジョウ</t>
    </rPh>
    <rPh sb="71" eb="73">
      <t>バアイ</t>
    </rPh>
    <rPh sb="74" eb="76">
      <t>コウタイ</t>
    </rPh>
    <rPh sb="81" eb="82">
      <t>オコナ</t>
    </rPh>
    <phoneticPr fontId="5"/>
  </si>
  <si>
    <t>（11）</t>
    <phoneticPr fontId="5"/>
  </si>
  <si>
    <t>選手の品行</t>
    <rPh sb="0" eb="2">
      <t>センシュ</t>
    </rPh>
    <rPh sb="3" eb="5">
      <t>ヒンコウ</t>
    </rPh>
    <phoneticPr fontId="5"/>
  </si>
  <si>
    <t>（12）</t>
    <phoneticPr fontId="5"/>
  </si>
  <si>
    <t>試合球</t>
    <rPh sb="0" eb="2">
      <t>シアイ</t>
    </rPh>
    <rPh sb="2" eb="3">
      <t>キュウ</t>
    </rPh>
    <phoneticPr fontId="5"/>
  </si>
  <si>
    <t>「</t>
  </si>
  <si>
    <t>」</t>
  </si>
  <si>
    <t>（13）</t>
    <phoneticPr fontId="5"/>
  </si>
  <si>
    <t>選手の用具</t>
    <rPh sb="0" eb="2">
      <t>センシュ</t>
    </rPh>
    <rPh sb="3" eb="5">
      <t>ヨウグ</t>
    </rPh>
    <phoneticPr fontId="5"/>
  </si>
  <si>
    <t>用具及びメンバーチェック　　キックオフ10分前　</t>
    <rPh sb="0" eb="2">
      <t>ヨウグ</t>
    </rPh>
    <rPh sb="2" eb="3">
      <t>オヨ</t>
    </rPh>
    <rPh sb="21" eb="22">
      <t>フン</t>
    </rPh>
    <rPh sb="22" eb="23">
      <t>マエ</t>
    </rPh>
    <phoneticPr fontId="5"/>
  </si>
  <si>
    <t>（14）</t>
    <phoneticPr fontId="5"/>
  </si>
  <si>
    <t>キックオフ前のセレモニー</t>
    <phoneticPr fontId="5"/>
  </si>
  <si>
    <t>《</t>
    <phoneticPr fontId="5"/>
  </si>
  <si>
    <t>》</t>
    <phoneticPr fontId="5"/>
  </si>
  <si>
    <t>＜審判団＞</t>
    <rPh sb="1" eb="3">
      <t>シンパン</t>
    </rPh>
    <rPh sb="3" eb="4">
      <t>ダン</t>
    </rPh>
    <phoneticPr fontId="5"/>
  </si>
  <si>
    <t>本部</t>
    <rPh sb="0" eb="2">
      <t>ホンブ</t>
    </rPh>
    <phoneticPr fontId="5"/>
  </si>
  <si>
    <t>その他</t>
    <rPh sb="2" eb="3">
      <t>タ</t>
    </rPh>
    <phoneticPr fontId="5"/>
  </si>
  <si>
    <t>組み合わせ左側チーム</t>
  </si>
  <si>
    <t>組み合わせ左側チーム</t>
    <rPh sb="0" eb="1">
      <t>ク</t>
    </rPh>
    <rPh sb="2" eb="3">
      <t>ア</t>
    </rPh>
    <rPh sb="5" eb="7">
      <t>ヒダリガワ</t>
    </rPh>
    <phoneticPr fontId="5"/>
  </si>
  <si>
    <t>組み合わせ右側チーム</t>
  </si>
  <si>
    <t>組み合わせ右側チーム</t>
    <rPh sb="0" eb="1">
      <t>ク</t>
    </rPh>
    <rPh sb="2" eb="3">
      <t>ア</t>
    </rPh>
    <rPh sb="5" eb="7">
      <t>ミギガワ</t>
    </rPh>
    <phoneticPr fontId="5"/>
  </si>
  <si>
    <t>（本大会要項　（10）試合方法 ⑪）</t>
    <phoneticPr fontId="47"/>
  </si>
  <si>
    <t>決勝T</t>
    <rPh sb="0" eb="2">
      <t>ケッショウ</t>
    </rPh>
    <phoneticPr fontId="5"/>
  </si>
  <si>
    <t>予選L</t>
    <rPh sb="0" eb="2">
      <t>ヨセン</t>
    </rPh>
    <phoneticPr fontId="5"/>
  </si>
  <si>
    <t>ピッチ内：ゴール使用　前の試合のハーフタイムのみ</t>
    <rPh sb="3" eb="4">
      <t>ナイ</t>
    </rPh>
    <phoneticPr fontId="5"/>
  </si>
  <si>
    <t>ピッチ外：指定された区域にて</t>
    <rPh sb="3" eb="4">
      <t>ガイ</t>
    </rPh>
    <phoneticPr fontId="5"/>
  </si>
  <si>
    <t>決勝T：本部にて準備</t>
    <rPh sb="0" eb="2">
      <t>ケッショウ</t>
    </rPh>
    <rPh sb="4" eb="6">
      <t>ホンブ</t>
    </rPh>
    <rPh sb="8" eb="10">
      <t>ジュンビ</t>
    </rPh>
    <phoneticPr fontId="5"/>
  </si>
  <si>
    <t>予選L：各チームにて準備</t>
    <rPh sb="0" eb="2">
      <t>ヨセン</t>
    </rPh>
    <rPh sb="4" eb="5">
      <t>カク</t>
    </rPh>
    <rPh sb="10" eb="12">
      <t>ジュンビ</t>
    </rPh>
    <phoneticPr fontId="5"/>
  </si>
  <si>
    <t>R</t>
    <phoneticPr fontId="5"/>
  </si>
  <si>
    <t>R</t>
    <phoneticPr fontId="5"/>
  </si>
  <si>
    <t>AR1:</t>
    <phoneticPr fontId="5"/>
  </si>
  <si>
    <t>AR2:</t>
    <phoneticPr fontId="5"/>
  </si>
  <si>
    <t>4th:</t>
    <phoneticPr fontId="5"/>
  </si>
  <si>
    <t>＜Referee＞</t>
    <phoneticPr fontId="5"/>
  </si>
  <si>
    <t>番号</t>
    <phoneticPr fontId="5"/>
  </si>
  <si>
    <t>AR1:</t>
    <phoneticPr fontId="5"/>
  </si>
  <si>
    <t>AR2:</t>
    <phoneticPr fontId="5"/>
  </si>
  <si>
    <t>4th:</t>
    <phoneticPr fontId="5"/>
  </si>
  <si>
    <t>＜Referee＞</t>
    <phoneticPr fontId="5"/>
  </si>
  <si>
    <t>番号</t>
    <phoneticPr fontId="5"/>
  </si>
  <si>
    <t>８：００　開場</t>
    <rPh sb="5" eb="7">
      <t>カイジョウ</t>
    </rPh>
    <phoneticPr fontId="5"/>
  </si>
  <si>
    <t>一般社団法人大分県サッカー協会</t>
    <rPh sb="0" eb="2">
      <t>イッパン</t>
    </rPh>
    <rPh sb="2" eb="4">
      <t>シャダン</t>
    </rPh>
    <rPh sb="4" eb="6">
      <t>ホウジン</t>
    </rPh>
    <rPh sb="6" eb="8">
      <t>オオイタ</t>
    </rPh>
    <phoneticPr fontId="64"/>
  </si>
  <si>
    <t>公益社団法人全日本不動産協会大分県本部</t>
    <phoneticPr fontId="64"/>
  </si>
  <si>
    <t>①</t>
    <phoneticPr fontId="64"/>
  </si>
  <si>
    <t>②</t>
    <phoneticPr fontId="64"/>
  </si>
  <si>
    <t>③</t>
    <phoneticPr fontId="64"/>
  </si>
  <si>
    <t>④</t>
    <phoneticPr fontId="64"/>
  </si>
  <si>
    <t>⑤</t>
    <phoneticPr fontId="64"/>
  </si>
  <si>
    <t>スポーツ傷害保険に必ず加入していること。</t>
    <phoneticPr fontId="64"/>
  </si>
  <si>
    <t>⑥</t>
    <phoneticPr fontId="64"/>
  </si>
  <si>
    <t>各チームの指導者は，できるだけ多くの選手の出場機会を確保するよう努めるものとする。</t>
    <phoneticPr fontId="64"/>
  </si>
  <si>
    <t>各地区予選を勝ち上がった24チームを8パートに分け、予選リーグを行う。予選リーグ各パート1位の8チーム
により決勝トーナメントを行い、優勝・準優勝・3位チームを決定する。　</t>
    <rPh sb="0" eb="1">
      <t>カク</t>
    </rPh>
    <rPh sb="1" eb="3">
      <t>チク</t>
    </rPh>
    <rPh sb="3" eb="5">
      <t>ヨセン</t>
    </rPh>
    <rPh sb="23" eb="24">
      <t>ワ</t>
    </rPh>
    <rPh sb="26" eb="28">
      <t>ヨセン</t>
    </rPh>
    <rPh sb="32" eb="33">
      <t>オコナ</t>
    </rPh>
    <rPh sb="35" eb="37">
      <t>ヨセン</t>
    </rPh>
    <rPh sb="40" eb="41">
      <t>カク</t>
    </rPh>
    <rPh sb="45" eb="46">
      <t>イ</t>
    </rPh>
    <rPh sb="55" eb="57">
      <t>ケッショウ</t>
    </rPh>
    <rPh sb="64" eb="65">
      <t>オコナ</t>
    </rPh>
    <rPh sb="67" eb="69">
      <t>ユウショウ</t>
    </rPh>
    <rPh sb="70" eb="73">
      <t>ジュンユウショウ</t>
    </rPh>
    <rPh sb="75" eb="76">
      <t>イ</t>
    </rPh>
    <rPh sb="80" eb="82">
      <t>ケッテイ</t>
    </rPh>
    <phoneticPr fontId="64"/>
  </si>
  <si>
    <t xml:space="preserve">審判は、主審1名、副審2名　第4審の4人制とし、予選リーグにおいては、相互審判割り当て制とする。
決勝トーナメントにおいては、本部対応とする。各試合にマッチコミッショナーを置き，
決勝トーナメントは、ウェルフェアオフィサーも置く。
</t>
    <rPh sb="14" eb="15">
      <t>ダイ</t>
    </rPh>
    <rPh sb="16" eb="17">
      <t>シン</t>
    </rPh>
    <rPh sb="19" eb="20">
      <t>ニン</t>
    </rPh>
    <rPh sb="20" eb="21">
      <t>セイ</t>
    </rPh>
    <rPh sb="24" eb="26">
      <t>ヨセン</t>
    </rPh>
    <rPh sb="35" eb="37">
      <t>ソウゴ</t>
    </rPh>
    <rPh sb="37" eb="39">
      <t>シンパン</t>
    </rPh>
    <rPh sb="39" eb="40">
      <t>ワ</t>
    </rPh>
    <rPh sb="41" eb="42">
      <t>ア</t>
    </rPh>
    <rPh sb="43" eb="44">
      <t>セイ</t>
    </rPh>
    <rPh sb="49" eb="51">
      <t>ケッショウ</t>
    </rPh>
    <rPh sb="63" eb="65">
      <t>ホンブ</t>
    </rPh>
    <rPh sb="65" eb="67">
      <t>タイオウ</t>
    </rPh>
    <rPh sb="90" eb="92">
      <t>ケッショウ</t>
    </rPh>
    <phoneticPr fontId="64"/>
  </si>
  <si>
    <t>⑦</t>
    <phoneticPr fontId="64"/>
  </si>
  <si>
    <t>審判員は、試合開始前にベンチの選手を含めた登録全選手の用具の確認を行う。</t>
    <rPh sb="21" eb="23">
      <t>トウロク</t>
    </rPh>
    <rPh sb="30" eb="32">
      <t>カクニン</t>
    </rPh>
    <phoneticPr fontId="64"/>
  </si>
  <si>
    <t>⑧</t>
    <phoneticPr fontId="64"/>
  </si>
  <si>
    <t>⑨</t>
    <phoneticPr fontId="64"/>
  </si>
  <si>
    <t>⑩</t>
    <phoneticPr fontId="64"/>
  </si>
  <si>
    <t>⑪</t>
    <phoneticPr fontId="64"/>
  </si>
  <si>
    <t>⑫</t>
    <phoneticPr fontId="64"/>
  </si>
  <si>
    <t>⑬</t>
    <phoneticPr fontId="64"/>
  </si>
  <si>
    <t>参加料　</t>
    <phoneticPr fontId="64"/>
  </si>
  <si>
    <t>【振込先】　</t>
    <phoneticPr fontId="64"/>
  </si>
  <si>
    <t>抽選会</t>
    <rPh sb="2" eb="3">
      <t>カイ</t>
    </rPh>
    <phoneticPr fontId="64"/>
  </si>
  <si>
    <t>出場選手の保護者の承諾は、必ず取り付けておくこと。</t>
    <phoneticPr fontId="64"/>
  </si>
  <si>
    <t>応援のマナーや会場の清掃については、各チームにおいて責任を持つこと。</t>
    <rPh sb="0" eb="2">
      <t>オウエン</t>
    </rPh>
    <phoneticPr fontId="64"/>
  </si>
  <si>
    <t>○チームは本部席側に椅子を置いてベンチを設定し、グラウンドを挟んで後援会等の応援席とすること。</t>
    <phoneticPr fontId="64"/>
  </si>
  <si>
    <t>○駐車証には必ずチーム名を明記し、駐車時はダッシュボード上などはっきりと見える場所に掲示すること。</t>
    <rPh sb="3" eb="4">
      <t>ショウ</t>
    </rPh>
    <rPh sb="17" eb="19">
      <t>チュウシャ</t>
    </rPh>
    <rPh sb="42" eb="44">
      <t>ケイジ</t>
    </rPh>
    <phoneticPr fontId="64"/>
  </si>
  <si>
    <t>○駐車場内外における駐車のトラブルについて、大会本部はその責任を一切負わない。</t>
    <phoneticPr fontId="64"/>
  </si>
  <si>
    <t>本大会中、その他に記載されている事項を含め、大会規律違反と見なされる行為があった場合には、
当該チームに厳重注意を行うとともに、その程度によっては大会本部にて規律委員会を開き、大会の
出場取り消しを含め、ペナルティを科することもある。</t>
    <phoneticPr fontId="64"/>
  </si>
  <si>
    <r>
      <t>流行性疾病、感染症等の事情により大会に出場できなくなった場合は速やかに大会事務局に連絡す
る事。</t>
    </r>
    <r>
      <rPr>
        <u/>
        <sz val="10"/>
        <rFont val="ＭＳ Ｐゴシック"/>
        <family val="3"/>
        <charset val="128"/>
      </rPr>
      <t>なお、チームが不参加の場合でも審判割当の責任は果たす事とする。</t>
    </r>
    <phoneticPr fontId="64"/>
  </si>
  <si>
    <t>ＦＣアリアーレ</t>
  </si>
  <si>
    <t>組み合わせ</t>
    <phoneticPr fontId="5"/>
  </si>
  <si>
    <t>大分市大字松岡6841番地</t>
    <phoneticPr fontId="5"/>
  </si>
  <si>
    <t>抽選会</t>
    <phoneticPr fontId="5"/>
  </si>
  <si>
    <t>出欠</t>
    <rPh sb="0" eb="2">
      <t>シュッケツ</t>
    </rPh>
    <phoneticPr fontId="5"/>
  </si>
  <si>
    <t>分</t>
  </si>
  <si>
    <t>分</t>
    <rPh sb="0" eb="1">
      <t>ワ</t>
    </rPh>
    <phoneticPr fontId="5"/>
  </si>
  <si>
    <t>予選リーグ結果　報告用紙</t>
    <phoneticPr fontId="5"/>
  </si>
  <si>
    <t>決勝トーナメント結果　報告用紙</t>
    <phoneticPr fontId="5"/>
  </si>
  <si>
    <t>Match No：</t>
    <phoneticPr fontId="5"/>
  </si>
  <si>
    <t>kick off</t>
    <phoneticPr fontId="5"/>
  </si>
  <si>
    <t>番号</t>
    <phoneticPr fontId="5"/>
  </si>
  <si>
    <t>PK</t>
    <phoneticPr fontId="5"/>
  </si>
  <si>
    <t>○</t>
    <phoneticPr fontId="5"/>
  </si>
  <si>
    <t>×</t>
    <phoneticPr fontId="5"/>
  </si>
  <si>
    <t>交替要員</t>
    <phoneticPr fontId="5"/>
  </si>
  <si>
    <t>OUT</t>
    <phoneticPr fontId="5"/>
  </si>
  <si>
    <t>→</t>
    <phoneticPr fontId="5"/>
  </si>
  <si>
    <t>IN</t>
    <phoneticPr fontId="5"/>
  </si>
  <si>
    <t>番</t>
  </si>
  <si>
    <t>→</t>
  </si>
  <si>
    <t>Ｇ</t>
    <phoneticPr fontId="5"/>
  </si>
  <si>
    <t>Ｋ</t>
    <phoneticPr fontId="5"/>
  </si>
  <si>
    <t>Ｃ</t>
    <phoneticPr fontId="5"/>
  </si>
  <si>
    <t>ＦＫ</t>
    <phoneticPr fontId="5"/>
  </si>
  <si>
    <t>Ｐ</t>
    <phoneticPr fontId="5"/>
  </si>
  <si>
    <t xml:space="preserve"> </t>
    <phoneticPr fontId="5"/>
  </si>
  <si>
    <t>ドリブル</t>
    <phoneticPr fontId="5"/>
  </si>
  <si>
    <t>～</t>
    <phoneticPr fontId="5"/>
  </si>
  <si>
    <t>ゴロのパス</t>
    <phoneticPr fontId="5"/>
  </si>
  <si>
    <t>∩</t>
    <phoneticPr fontId="5"/>
  </si>
  <si>
    <t>×</t>
    <phoneticPr fontId="5"/>
  </si>
  <si>
    <t>ヘディング</t>
    <phoneticPr fontId="5"/>
  </si>
  <si>
    <t>H</t>
    <phoneticPr fontId="5"/>
  </si>
  <si>
    <t>シュート</t>
    <phoneticPr fontId="5"/>
  </si>
  <si>
    <t>S</t>
    <phoneticPr fontId="5"/>
  </si>
  <si>
    <t>勤務先または所属</t>
    <phoneticPr fontId="5"/>
  </si>
  <si>
    <t>　）</t>
    <phoneticPr fontId="5"/>
  </si>
  <si>
    <t>ウェルフェアオフィサー</t>
  </si>
  <si>
    <t>各会場の指定された区域にて</t>
    <rPh sb="0" eb="1">
      <t>カク</t>
    </rPh>
    <rPh sb="1" eb="3">
      <t>カイジョウ</t>
    </rPh>
    <rPh sb="4" eb="6">
      <t>シテイ</t>
    </rPh>
    <rPh sb="9" eb="11">
      <t>クイキ</t>
    </rPh>
    <phoneticPr fontId="47"/>
  </si>
  <si>
    <t>本大会要項（12）その他を、役員・保護者等に周知徹底願います。</t>
    <rPh sb="0" eb="1">
      <t>ホン</t>
    </rPh>
    <rPh sb="1" eb="3">
      <t>タイカイ</t>
    </rPh>
    <rPh sb="3" eb="5">
      <t>ヨウコウ</t>
    </rPh>
    <rPh sb="14" eb="16">
      <t>ヤクイン</t>
    </rPh>
    <rPh sb="17" eb="20">
      <t>ホゴシャ</t>
    </rPh>
    <rPh sb="20" eb="21">
      <t>トウ</t>
    </rPh>
    <rPh sb="22" eb="24">
      <t>シュウチ</t>
    </rPh>
    <rPh sb="24" eb="26">
      <t>テッテイ</t>
    </rPh>
    <rPh sb="26" eb="27">
      <t>ネガ</t>
    </rPh>
    <phoneticPr fontId="5"/>
  </si>
  <si>
    <t xml:space="preserve">申込先 </t>
    <phoneticPr fontId="64"/>
  </si>
  <si>
    <t>地区予選</t>
    <rPh sb="0" eb="2">
      <t>チク</t>
    </rPh>
    <rPh sb="2" eb="4">
      <t>ヨセン</t>
    </rPh>
    <phoneticPr fontId="5"/>
  </si>
  <si>
    <t>予選リーグ　（１試合目）</t>
    <rPh sb="0" eb="2">
      <t>ヨセン</t>
    </rPh>
    <rPh sb="8" eb="10">
      <t>シアイ</t>
    </rPh>
    <rPh sb="10" eb="11">
      <t>メ</t>
    </rPh>
    <phoneticPr fontId="5"/>
  </si>
  <si>
    <t>予選リーグ　（2試合目）</t>
    <rPh sb="0" eb="2">
      <t>ヨセン</t>
    </rPh>
    <rPh sb="8" eb="10">
      <t>シアイ</t>
    </rPh>
    <rPh sb="10" eb="11">
      <t>メ</t>
    </rPh>
    <phoneticPr fontId="5"/>
  </si>
  <si>
    <t>敗戦</t>
    <rPh sb="0" eb="2">
      <t>ハイセン</t>
    </rPh>
    <phoneticPr fontId="5"/>
  </si>
  <si>
    <t>地区</t>
    <rPh sb="0" eb="2">
      <t>チク</t>
    </rPh>
    <phoneticPr fontId="5"/>
  </si>
  <si>
    <t>背番号</t>
    <rPh sb="0" eb="3">
      <t>セバンゴウ</t>
    </rPh>
    <phoneticPr fontId="5"/>
  </si>
  <si>
    <t>内容</t>
    <rPh sb="0" eb="2">
      <t>ナイヨウ</t>
    </rPh>
    <phoneticPr fontId="5"/>
  </si>
  <si>
    <t>警告(累積2枚目次節出場停止）</t>
    <rPh sb="3" eb="5">
      <t>ルイセキ</t>
    </rPh>
    <rPh sb="6" eb="7">
      <t>マイ</t>
    </rPh>
    <rPh sb="7" eb="8">
      <t>メ</t>
    </rPh>
    <rPh sb="8" eb="10">
      <t>ジセツ</t>
    </rPh>
    <rPh sb="10" eb="12">
      <t>シュツジョウ</t>
    </rPh>
    <rPh sb="12" eb="14">
      <t>テイシ</t>
    </rPh>
    <phoneticPr fontId="5"/>
  </si>
  <si>
    <r>
      <t>　　　</t>
    </r>
    <r>
      <rPr>
        <b/>
        <u/>
        <sz val="11"/>
        <rFont val="Meiryo UI"/>
        <family val="3"/>
        <charset val="128"/>
      </rPr>
      <t>※出場チームにて責任を持って準備する事。</t>
    </r>
    <rPh sb="4" eb="6">
      <t>シュツジョウ</t>
    </rPh>
    <rPh sb="11" eb="13">
      <t>セキニン</t>
    </rPh>
    <rPh sb="14" eb="15">
      <t>モ</t>
    </rPh>
    <rPh sb="17" eb="19">
      <t>ジュンビ</t>
    </rPh>
    <rPh sb="21" eb="22">
      <t>コト</t>
    </rPh>
    <phoneticPr fontId="5"/>
  </si>
  <si>
    <r>
      <t>　　①選手証/指導者資格証/審判資格証を、</t>
    </r>
    <r>
      <rPr>
        <u/>
        <sz val="11"/>
        <rFont val="Meiryo UI"/>
        <family val="3"/>
        <charset val="128"/>
      </rPr>
      <t>持参のこと</t>
    </r>
    <r>
      <rPr>
        <sz val="11"/>
        <rFont val="Meiryo UI"/>
        <family val="3"/>
        <charset val="128"/>
      </rPr>
      <t>。</t>
    </r>
    <rPh sb="7" eb="10">
      <t>シドウシャ</t>
    </rPh>
    <rPh sb="10" eb="12">
      <t>シカク</t>
    </rPh>
    <rPh sb="12" eb="13">
      <t>ショウ</t>
    </rPh>
    <rPh sb="14" eb="16">
      <t>シンパン</t>
    </rPh>
    <rPh sb="16" eb="18">
      <t>シカク</t>
    </rPh>
    <rPh sb="18" eb="19">
      <t>ショウ</t>
    </rPh>
    <phoneticPr fontId="5"/>
  </si>
  <si>
    <r>
      <t>　　③大会期間中は、</t>
    </r>
    <r>
      <rPr>
        <u/>
        <sz val="11"/>
        <rFont val="Meiryo UI"/>
        <family val="3"/>
        <charset val="128"/>
      </rPr>
      <t>「駐車証」を」車内に表示するこ</t>
    </r>
    <r>
      <rPr>
        <sz val="11"/>
        <rFont val="Meiryo UI"/>
        <family val="3"/>
        <charset val="128"/>
      </rPr>
      <t>と。</t>
    </r>
    <rPh sb="3" eb="5">
      <t>タイカイ</t>
    </rPh>
    <rPh sb="5" eb="7">
      <t>キカン</t>
    </rPh>
    <rPh sb="7" eb="8">
      <t>チュウ</t>
    </rPh>
    <rPh sb="11" eb="13">
      <t>チュウシャ</t>
    </rPh>
    <rPh sb="13" eb="14">
      <t>アカシ</t>
    </rPh>
    <rPh sb="17" eb="19">
      <t>シャナイ</t>
    </rPh>
    <rPh sb="20" eb="22">
      <t>ヒョウジ</t>
    </rPh>
    <phoneticPr fontId="5"/>
  </si>
  <si>
    <t>「Bパート」</t>
    <phoneticPr fontId="5"/>
  </si>
  <si>
    <t>「Eパート」</t>
    <phoneticPr fontId="5"/>
  </si>
  <si>
    <t>「Fパート」</t>
    <phoneticPr fontId="5"/>
  </si>
  <si>
    <t>「Dパート」</t>
    <phoneticPr fontId="5"/>
  </si>
  <si>
    <t>「Gパート」</t>
    <phoneticPr fontId="5"/>
  </si>
  <si>
    <t>副審</t>
    <phoneticPr fontId="5"/>
  </si>
  <si>
    <t>①</t>
    <phoneticPr fontId="5"/>
  </si>
  <si>
    <t>-</t>
    <phoneticPr fontId="5"/>
  </si>
  <si>
    <t>②</t>
    <phoneticPr fontId="5"/>
  </si>
  <si>
    <t>③</t>
    <phoneticPr fontId="5"/>
  </si>
  <si>
    <t>④</t>
    <phoneticPr fontId="5"/>
  </si>
  <si>
    <t>⑤</t>
    <phoneticPr fontId="5"/>
  </si>
  <si>
    <t>⑥</t>
    <phoneticPr fontId="5"/>
  </si>
  <si>
    <t>Aパート</t>
    <phoneticPr fontId="5"/>
  </si>
  <si>
    <t>得
点</t>
    <phoneticPr fontId="5"/>
  </si>
  <si>
    <t>失
点</t>
    <phoneticPr fontId="5"/>
  </si>
  <si>
    <t>勝
点</t>
    <phoneticPr fontId="5"/>
  </si>
  <si>
    <t>勝点
順位</t>
    <phoneticPr fontId="5"/>
  </si>
  <si>
    <t>得失
点差</t>
    <phoneticPr fontId="5"/>
  </si>
  <si>
    <t>得失
順位</t>
    <phoneticPr fontId="5"/>
  </si>
  <si>
    <t>ﾄｰﾀﾙ
順位</t>
    <phoneticPr fontId="5"/>
  </si>
  <si>
    <t>Eパート</t>
    <phoneticPr fontId="5"/>
  </si>
  <si>
    <t>-</t>
    <phoneticPr fontId="5"/>
  </si>
  <si>
    <t>Bパート</t>
    <phoneticPr fontId="5"/>
  </si>
  <si>
    <t>Fパート</t>
    <phoneticPr fontId="5"/>
  </si>
  <si>
    <t>Cパート</t>
    <phoneticPr fontId="5"/>
  </si>
  <si>
    <t>Gパート</t>
    <phoneticPr fontId="5"/>
  </si>
  <si>
    <t>Dパート</t>
    <phoneticPr fontId="5"/>
  </si>
  <si>
    <t>Hパート</t>
    <phoneticPr fontId="5"/>
  </si>
  <si>
    <t>別保ＳＦＣ</t>
  </si>
  <si>
    <t>②</t>
    <phoneticPr fontId="5"/>
  </si>
  <si>
    <t>H-１位</t>
    <phoneticPr fontId="5"/>
  </si>
  <si>
    <t>③</t>
    <phoneticPr fontId="5"/>
  </si>
  <si>
    <t>Match No：25 勝</t>
    <phoneticPr fontId="5"/>
  </si>
  <si>
    <t>④</t>
    <phoneticPr fontId="5"/>
  </si>
  <si>
    <t>⑤</t>
    <phoneticPr fontId="5"/>
  </si>
  <si>
    <t>☆優勝</t>
    <phoneticPr fontId="5"/>
  </si>
  <si>
    <t>累積警告・退場</t>
    <phoneticPr fontId="5"/>
  </si>
  <si>
    <t>１．</t>
    <phoneticPr fontId="5"/>
  </si>
  <si>
    <t>２．</t>
    <phoneticPr fontId="5"/>
  </si>
  <si>
    <t>参加チーム</t>
    <phoneticPr fontId="5"/>
  </si>
  <si>
    <t>３．</t>
    <phoneticPr fontId="5"/>
  </si>
  <si>
    <t>スマイス・セレソン</t>
  </si>
  <si>
    <t>選手登録番号</t>
  </si>
  <si>
    <t>廣瀬　帆斗</t>
  </si>
  <si>
    <t>ヒロセ　ハント</t>
  </si>
  <si>
    <t>サトウ　ヨシハル</t>
  </si>
  <si>
    <t>大森　宗樹</t>
  </si>
  <si>
    <t>オオモリ　ソウジュ</t>
  </si>
  <si>
    <t>高木　悠成</t>
  </si>
  <si>
    <t>タカキ　ユウセイ</t>
  </si>
  <si>
    <t>大久保　律輝</t>
  </si>
  <si>
    <t>オオクボ　リツキ</t>
  </si>
  <si>
    <t>鈴江　真士</t>
  </si>
  <si>
    <t>スズエ　マナト</t>
  </si>
  <si>
    <t>鈴江　涼生</t>
  </si>
  <si>
    <t>スズエ　リョウセイ</t>
  </si>
  <si>
    <t>山村　千代花</t>
  </si>
  <si>
    <t>ヤマムラ　チヨカ</t>
  </si>
  <si>
    <t>奈須野　友登</t>
  </si>
  <si>
    <t>ナスノ　ユウト</t>
  </si>
  <si>
    <t>コダマ　アツシ</t>
  </si>
  <si>
    <t>オノ　ユウマ</t>
  </si>
  <si>
    <t>イワサキ　レン</t>
  </si>
  <si>
    <t>フリガナ</t>
  </si>
  <si>
    <t>ササキ　シンヤ</t>
  </si>
  <si>
    <t>アキモト　ショウイチ</t>
  </si>
  <si>
    <t>アダチ　ジツオ</t>
  </si>
  <si>
    <t>アンドウ　ヒロユキ</t>
  </si>
  <si>
    <t>イケゾエ　マサヒロ</t>
  </si>
  <si>
    <t>イサモト　ヒデキ</t>
  </si>
  <si>
    <t>イワオ　マサヒロ</t>
  </si>
  <si>
    <t>イワサキ　ヒロヤ</t>
  </si>
  <si>
    <t>ウノ　コウジ</t>
  </si>
  <si>
    <t>オオツカ　コウジ</t>
  </si>
  <si>
    <t>オオノ　タカヒロ</t>
  </si>
  <si>
    <t>カイダ　ナオキ</t>
  </si>
  <si>
    <t>キノシタ　トミヨシ</t>
  </si>
  <si>
    <t>キハラ　カズシ</t>
  </si>
  <si>
    <t>クロダ　ダイキ</t>
  </si>
  <si>
    <t>コイデ　ヤスヒロ</t>
  </si>
  <si>
    <t>ゴトウ　シゲアキ</t>
  </si>
  <si>
    <t>ゴトウ　シンペイ</t>
  </si>
  <si>
    <t>ゴトウ　ヒロユキ</t>
  </si>
  <si>
    <t>ササハラ　トシヒロ</t>
  </si>
  <si>
    <t>シオツキ　ユウキ</t>
  </si>
  <si>
    <t>ストウ　ケンジ</t>
  </si>
  <si>
    <t>ソガ　タクミ</t>
  </si>
  <si>
    <t>タカキ　カケル</t>
  </si>
  <si>
    <t>タカキ　テツヤ</t>
  </si>
  <si>
    <t>タナカ　ヒロシ</t>
  </si>
  <si>
    <t>ツボイ　カズユキ</t>
  </si>
  <si>
    <t>テラバヤシ　ユタカ</t>
  </si>
  <si>
    <t>ナカオ　ユウシ</t>
  </si>
  <si>
    <t>ナカゾノ　ケンタロウ</t>
  </si>
  <si>
    <t>ナカマ　ノリタカ</t>
  </si>
  <si>
    <t>ニシダ　アヤ</t>
  </si>
  <si>
    <t>ヒキチ　ヒロユキ</t>
  </si>
  <si>
    <t>フクダ　ヒトシ</t>
  </si>
  <si>
    <t>マエヤマ　セイジ</t>
  </si>
  <si>
    <t>マスナガ　ノブヤ</t>
  </si>
  <si>
    <t>マツバラ　マヤ</t>
  </si>
  <si>
    <t>マルオノ　トシノブ</t>
  </si>
  <si>
    <t>ミズエ　シンタロウ</t>
  </si>
  <si>
    <t>ミナト　ヒロトモ</t>
  </si>
  <si>
    <t>ユキ　ソウイチロウ</t>
  </si>
  <si>
    <t>ワダ　タカオ</t>
  </si>
  <si>
    <t>アカヤマ　チアキ</t>
  </si>
  <si>
    <t>アキモト　タカオ</t>
  </si>
  <si>
    <t>アキヨシ　アキラ</t>
  </si>
  <si>
    <t>アサイ　ユウタ</t>
  </si>
  <si>
    <t>アサダ　ユウタ</t>
  </si>
  <si>
    <t>アサヒナ　ヨシユキ</t>
  </si>
  <si>
    <t>アサブキ　タカヒロ</t>
  </si>
  <si>
    <t>アダチ　シンヤ</t>
  </si>
  <si>
    <t>アダチ　タクヤ</t>
  </si>
  <si>
    <t>アチ　タカシ</t>
  </si>
  <si>
    <t>アベ　カズノリ</t>
  </si>
  <si>
    <t>アベ　カズヒロ</t>
  </si>
  <si>
    <t>アベ　タカユキ</t>
  </si>
  <si>
    <t>アベ　タツヤ</t>
  </si>
  <si>
    <t>アベ　ヒロユキ</t>
  </si>
  <si>
    <t>R010281814</t>
  </si>
  <si>
    <t>安部　正信</t>
  </si>
  <si>
    <t>アベ　マサノブ</t>
  </si>
  <si>
    <t>アラキ　ムネアキ</t>
  </si>
  <si>
    <t>アンドウ　アキノリ</t>
  </si>
  <si>
    <t>アンドウ　カズヒロ</t>
  </si>
  <si>
    <t>アンドウ　シンジ</t>
  </si>
  <si>
    <t>アンドウ　トオル</t>
  </si>
  <si>
    <t>アンドウ　ヒデアキ</t>
  </si>
  <si>
    <t>アンドウ　ヒロキ</t>
  </si>
  <si>
    <t>アンドウ　ミキオ</t>
  </si>
  <si>
    <t>アンドウ　ヨウイチ</t>
  </si>
  <si>
    <t>アンベ　タケシ</t>
  </si>
  <si>
    <t>イケエ　コウイチロウ</t>
  </si>
  <si>
    <t>イケダ　ヒロシ</t>
  </si>
  <si>
    <t>イケベ　トシアキ</t>
  </si>
  <si>
    <t>イシイ　ヨウヘイ</t>
  </si>
  <si>
    <t>イシカワ　シンヤ</t>
  </si>
  <si>
    <t>イシマツ　タクヤ</t>
  </si>
  <si>
    <t>イシマル　ヤスユキ</t>
  </si>
  <si>
    <t>イシモト　ナオヤ</t>
  </si>
  <si>
    <t>イシヤマ　シンジ</t>
  </si>
  <si>
    <t>イソガワ　フミアキ</t>
  </si>
  <si>
    <t>イソムラ　シンイチ</t>
  </si>
  <si>
    <t>イタイ　シンイチ</t>
  </si>
  <si>
    <t>イタイ　タツノリ</t>
  </si>
  <si>
    <t>イチダ　ショウタ</t>
  </si>
  <si>
    <t>イトウ　ヒロミツ</t>
  </si>
  <si>
    <t>イトウ　マサヒロ</t>
  </si>
  <si>
    <t>イノウエ　ケンジロウ</t>
  </si>
  <si>
    <t>R010281875</t>
  </si>
  <si>
    <t>井上　颯太</t>
  </si>
  <si>
    <t>イノウエ　ソウタ</t>
  </si>
  <si>
    <t>イノウエ　ナオキ</t>
  </si>
  <si>
    <t>イノウエ　ヒデフミ</t>
  </si>
  <si>
    <t>イノシタ　ユウスケ</t>
  </si>
  <si>
    <t>イボリ　タカヤス</t>
  </si>
  <si>
    <t>イマイ　カツヒト</t>
  </si>
  <si>
    <t>イマミヤ　シュンイチ</t>
  </si>
  <si>
    <t>イワオ　コウスケ</t>
  </si>
  <si>
    <t>イワオ　ジュンイチロウ</t>
  </si>
  <si>
    <t>イワオ　ミズキ</t>
  </si>
  <si>
    <t>イワサカ　ヤスノリ</t>
  </si>
  <si>
    <t>イワサキ　アキノリ</t>
  </si>
  <si>
    <t>イワマル　カイト</t>
  </si>
  <si>
    <t>ウエオ　ヤスヒロ</t>
  </si>
  <si>
    <t>ウエキ　クニヒコ</t>
  </si>
  <si>
    <t>ウエダ　ダイゴ</t>
  </si>
  <si>
    <t>ウエダ　テルヒコ</t>
  </si>
  <si>
    <t>ウエモト　シンイチロウ</t>
  </si>
  <si>
    <t>ウオズミ　タケト</t>
  </si>
  <si>
    <t>ウタカ　アツシ</t>
  </si>
  <si>
    <t>ウチマル　タカヒロ</t>
  </si>
  <si>
    <t>ウチヤマダ　コウシ</t>
  </si>
  <si>
    <t>ウツノミヤ　ジュンヤ</t>
  </si>
  <si>
    <t>ウツノミヤ　タカユキ</t>
  </si>
  <si>
    <t>ウメトク　リイチ</t>
  </si>
  <si>
    <t>エイロ　ナオミチ</t>
  </si>
  <si>
    <t>エガミ　カズキ</t>
  </si>
  <si>
    <t>エサキ　コウヘイ</t>
  </si>
  <si>
    <t>エトウ　オサム</t>
  </si>
  <si>
    <t>エトウ　ケイスケ</t>
  </si>
  <si>
    <t>エトウ　ケンイチ</t>
  </si>
  <si>
    <t>エトウ　トシアキ</t>
  </si>
  <si>
    <t>エトウ　マサアキ</t>
  </si>
  <si>
    <t>エミ　ケイスケ</t>
  </si>
  <si>
    <t>エラ　シンジ</t>
  </si>
  <si>
    <t>オオクボ　クニヒコ</t>
  </si>
  <si>
    <t>オオタニ　シンジ</t>
  </si>
  <si>
    <t>オオツカ　ユウジ</t>
  </si>
  <si>
    <t>オオツカ　ヨシキ</t>
  </si>
  <si>
    <t>オオツル　ケンタ</t>
  </si>
  <si>
    <t>オオト　トシハル</t>
  </si>
  <si>
    <t>オオノ　モリミチ</t>
  </si>
  <si>
    <t>オオモト　トシユキ</t>
  </si>
  <si>
    <t>オカベ　アキオ</t>
  </si>
  <si>
    <t>オカベ　ツカサ</t>
  </si>
  <si>
    <t>オカモト　リョウ</t>
  </si>
  <si>
    <t>オガタ　タカシ</t>
  </si>
  <si>
    <t>オガワ　ショウタ</t>
  </si>
  <si>
    <t>オクダ　カズヒコ</t>
  </si>
  <si>
    <t>オグラ　マサヒロ</t>
  </si>
  <si>
    <t>オサダ　トシアキ</t>
  </si>
  <si>
    <t>オダ　マサヒロ</t>
  </si>
  <si>
    <t>R010311884</t>
  </si>
  <si>
    <t>オチ　リュウヘイ</t>
  </si>
  <si>
    <t>オトベ　テツヤ</t>
  </si>
  <si>
    <t>オトメ　ノリユキ</t>
  </si>
  <si>
    <t>オノ　アキオ</t>
  </si>
  <si>
    <t>オノ　サトシ</t>
  </si>
  <si>
    <t>オノ　シュウタロウ</t>
  </si>
  <si>
    <t>オノ　シンイチ</t>
  </si>
  <si>
    <t>オノ　ユウジ</t>
  </si>
  <si>
    <t>オノ　ユキト</t>
  </si>
  <si>
    <t>オバタ　イクオ</t>
  </si>
  <si>
    <t>オバタ　カツノリ</t>
  </si>
  <si>
    <t>オバタ　コウダイ</t>
  </si>
  <si>
    <t>カイ　ゴウキ</t>
  </si>
  <si>
    <t>カイ　ショウゾウ</t>
  </si>
  <si>
    <t>カイ　シンゴ</t>
  </si>
  <si>
    <t>カサキ　タカミチ</t>
  </si>
  <si>
    <t>カサギ　タダアキ</t>
  </si>
  <si>
    <t>カジカワ　カズシ</t>
  </si>
  <si>
    <t>R004055585</t>
  </si>
  <si>
    <t>梶原　賢士</t>
  </si>
  <si>
    <t>カジワラ　ケンジ</t>
  </si>
  <si>
    <t>カジワラ　セイジ</t>
  </si>
  <si>
    <t>カスタニ　ヒロシ</t>
  </si>
  <si>
    <t>カトウ　アツシ</t>
  </si>
  <si>
    <t>カトウ　キョウスケ</t>
  </si>
  <si>
    <t>カトウ　ヤスヒロ</t>
  </si>
  <si>
    <t>R010261482</t>
  </si>
  <si>
    <t>金子　翔</t>
  </si>
  <si>
    <t>カネコ　ショウ</t>
  </si>
  <si>
    <t>カミカワ　モトイ</t>
  </si>
  <si>
    <t>カミニシ　リョウジ</t>
  </si>
  <si>
    <t>カワイ　ユウスケ</t>
  </si>
  <si>
    <t>カワサキ　コウジ</t>
  </si>
  <si>
    <t>カワヅ　ヒロノリ</t>
  </si>
  <si>
    <t>カワノ　タカヒロ</t>
  </si>
  <si>
    <t>カワノ　タケシ</t>
  </si>
  <si>
    <t>カワノ　ヒデキ</t>
  </si>
  <si>
    <t>カワノ　ヒロアキ</t>
  </si>
  <si>
    <t>R010281800</t>
  </si>
  <si>
    <t>河野　光喜</t>
  </si>
  <si>
    <t>カワノ　ミツキ</t>
  </si>
  <si>
    <t>カワバタ　タクト</t>
  </si>
  <si>
    <t>カワムラ　ケイイチロウ</t>
  </si>
  <si>
    <t>カワムラ　マサキ</t>
  </si>
  <si>
    <t>キクチ　ケンイチ</t>
  </si>
  <si>
    <t>R007890271</t>
  </si>
  <si>
    <t>菊地　玄</t>
  </si>
  <si>
    <t>キクチ　ゲン</t>
  </si>
  <si>
    <t>キヅ　ヒロタカ</t>
  </si>
  <si>
    <t>キモト　ノブユキ</t>
  </si>
  <si>
    <t>キモト　マサト</t>
  </si>
  <si>
    <t>キヨハラ　ユウタ</t>
  </si>
  <si>
    <t>キヨマツ　タカヒロ</t>
  </si>
  <si>
    <t>キラ　ノブテル</t>
  </si>
  <si>
    <t>キラ　ミツタカ</t>
  </si>
  <si>
    <t>キリフ　トモカズ</t>
  </si>
  <si>
    <t>クサノ　マナブ</t>
  </si>
  <si>
    <t>クドウ　シンイチ</t>
  </si>
  <si>
    <t>クドウ　タカキ</t>
  </si>
  <si>
    <t>クドウ　ノブヒロ</t>
  </si>
  <si>
    <t>クドウ　マサノ</t>
  </si>
  <si>
    <t>クドウ　ヤスヒロ</t>
  </si>
  <si>
    <t>クドウ　リュウセイ</t>
  </si>
  <si>
    <t>クボ　マサノリ</t>
  </si>
  <si>
    <t>クボタ　ヒデキ</t>
  </si>
  <si>
    <t>R010259420</t>
  </si>
  <si>
    <t>窪田　雅一</t>
  </si>
  <si>
    <t>クボタ　マサカズ</t>
  </si>
  <si>
    <t>クボヤマ　マモル</t>
  </si>
  <si>
    <t>クマガエ　ヒロユキ</t>
  </si>
  <si>
    <t>クマガエ　ユウヤ</t>
  </si>
  <si>
    <t>クリイ　マサル</t>
  </si>
  <si>
    <t>クワバラ　エイジロウ</t>
  </si>
  <si>
    <t>クワバラ　ショウゴ</t>
  </si>
  <si>
    <t>コイシカワ　サトル</t>
  </si>
  <si>
    <t>コウノ　シンヤ</t>
  </si>
  <si>
    <t>コダマ　ショウゴ</t>
  </si>
  <si>
    <t>コテガワ　トモキ</t>
  </si>
  <si>
    <t>コバヤシ　リョウスケ</t>
  </si>
  <si>
    <t>コンドウ　ケンジ</t>
  </si>
  <si>
    <t>コンドウ　ヒロユキ</t>
  </si>
  <si>
    <t>ゴトウ　ケンジ</t>
  </si>
  <si>
    <t>ゴトウ　フミオ</t>
  </si>
  <si>
    <t>ゴトウ　ミノル</t>
  </si>
  <si>
    <t>サイトウ　カツミ</t>
  </si>
  <si>
    <t>サカイ　キヨユキ</t>
  </si>
  <si>
    <t>サカイ　ユウゾウ</t>
  </si>
  <si>
    <t>サカモト　カツヤ</t>
  </si>
  <si>
    <t>サカモト　ケイ</t>
  </si>
  <si>
    <t>サカモト　ジュンゴ</t>
  </si>
  <si>
    <t>サカモト　ダイスケ</t>
  </si>
  <si>
    <t>サカモリ　マサハル</t>
  </si>
  <si>
    <t>サガラ　アキナリ</t>
  </si>
  <si>
    <t>サコ　ユウサク</t>
  </si>
  <si>
    <t>ササキ　ヒデキ</t>
  </si>
  <si>
    <t>ササキ　マサシ</t>
  </si>
  <si>
    <t>サトウ　アキオ</t>
  </si>
  <si>
    <t>サトウ　カズヨシ</t>
  </si>
  <si>
    <t>サトウ　シンジ</t>
  </si>
  <si>
    <t>サトウ　タカトシ</t>
  </si>
  <si>
    <t>サトウ　ナオキ</t>
  </si>
  <si>
    <t>サトウ　マコト</t>
  </si>
  <si>
    <t>サトウ　ユウスケ</t>
  </si>
  <si>
    <t>サトウ　リュウタ</t>
  </si>
  <si>
    <t>サンノミヤ　ヒトシ</t>
  </si>
  <si>
    <t>シオタ　マコト</t>
  </si>
  <si>
    <t>シトウ　カズヤ</t>
  </si>
  <si>
    <t>シノダ　キミナリ</t>
  </si>
  <si>
    <t>シノダ　ユウヤ</t>
  </si>
  <si>
    <t>シバタ　ケンイチ</t>
  </si>
  <si>
    <t>シバタ　シュンスケ</t>
  </si>
  <si>
    <t>シバタ　トオル</t>
  </si>
  <si>
    <t>シブヤ　タカシ</t>
  </si>
  <si>
    <t>シミズ　ケイジ</t>
  </si>
  <si>
    <t>シモハラ　ユウイチ</t>
  </si>
  <si>
    <t>シヤ　ススム</t>
  </si>
  <si>
    <t>シュトウ　ケイスケ</t>
  </si>
  <si>
    <t>シュトウ　タカヒロ</t>
  </si>
  <si>
    <t>シラエ　ナオキ</t>
  </si>
  <si>
    <t>シロゼン　アキタカ</t>
  </si>
  <si>
    <t>シロゼン　タカナリ</t>
  </si>
  <si>
    <t>シン　タツロウ</t>
  </si>
  <si>
    <t>シン　マサノブ</t>
  </si>
  <si>
    <t>スエマツ　タカマサ</t>
  </si>
  <si>
    <t>スガワ　サトシ</t>
  </si>
  <si>
    <t>スギサキ　キョウスケ</t>
  </si>
  <si>
    <t>スズキ　シロウ</t>
  </si>
  <si>
    <t>スズキ　ユウキ</t>
  </si>
  <si>
    <t>スミタ　テッペイ</t>
  </si>
  <si>
    <t>セイケ　ダイスケ</t>
  </si>
  <si>
    <t>セキ　フミオ</t>
  </si>
  <si>
    <t>セキヤ　トシユキ</t>
  </si>
  <si>
    <t>セグチ　アツシ</t>
  </si>
  <si>
    <t>ソウマ　ダイスケ</t>
  </si>
  <si>
    <t>ソガ　ダイイチロウ</t>
  </si>
  <si>
    <t>タカハシ　マサヒロ</t>
  </si>
  <si>
    <t>タカハシ　ヨシヒロ</t>
  </si>
  <si>
    <t>タカハシ　リョウタ</t>
  </si>
  <si>
    <t>タカハタ　トクジロウ</t>
  </si>
  <si>
    <t>タカハタ　トモヒデ</t>
  </si>
  <si>
    <t>タガミ　カズヒロ</t>
  </si>
  <si>
    <t>タキヤマ　リエ</t>
  </si>
  <si>
    <t>タケウチ　ススム</t>
  </si>
  <si>
    <t>タケシマ　ヒトシ</t>
  </si>
  <si>
    <t>タケチ　マサトシ</t>
  </si>
  <si>
    <t>タケナカ　ハヤト</t>
  </si>
  <si>
    <t>タケムラ　ケンイチロウ</t>
  </si>
  <si>
    <t>タサカ　マサカヅ</t>
  </si>
  <si>
    <t>タジリ　タカシ</t>
  </si>
  <si>
    <t>タチバナ　ヨウイチロウ</t>
  </si>
  <si>
    <t>タツカワ　タイキ</t>
  </si>
  <si>
    <t>タツカワ　チサ</t>
  </si>
  <si>
    <t>タツカワ　ミツル</t>
  </si>
  <si>
    <t>タナカ　タカヒロ</t>
  </si>
  <si>
    <t>タナベ　ヨシアキラ</t>
  </si>
  <si>
    <t>タムラ　タカヒロ</t>
  </si>
  <si>
    <t>ダンヅカ　シンノスケ</t>
  </si>
  <si>
    <t>R010281819</t>
  </si>
  <si>
    <t>辻井　拓夢</t>
  </si>
  <si>
    <t>ツジイ　タクム</t>
  </si>
  <si>
    <t>ツダ　ノリオ</t>
  </si>
  <si>
    <t>ツツミ　ユウジ</t>
  </si>
  <si>
    <t>ツボネ　アキラ</t>
  </si>
  <si>
    <t>R001264003</t>
  </si>
  <si>
    <t>ツモリ　カズオ</t>
  </si>
  <si>
    <t>ツモリ　マサヒロ</t>
  </si>
  <si>
    <t>テシマ　カン</t>
  </si>
  <si>
    <t>テラオカ　トミオ</t>
  </si>
  <si>
    <t>テラオカ　ヨシヒコ</t>
  </si>
  <si>
    <t>テラジ　ヨシタカ</t>
  </si>
  <si>
    <t>テラモト　ヨシタカ</t>
  </si>
  <si>
    <t>トウゲ　ナオユキ</t>
  </si>
  <si>
    <t>トウドウ　マサユキ</t>
  </si>
  <si>
    <t>トクナガ　ナオヤ</t>
  </si>
  <si>
    <t>トクナガ　ヒロユキ</t>
  </si>
  <si>
    <t>トクミツ　ショウタ</t>
  </si>
  <si>
    <t>トコウ　マサユキ</t>
  </si>
  <si>
    <t>トダカ　ヒロアキ</t>
  </si>
  <si>
    <t>トモナリ　ヨシロウ</t>
  </si>
  <si>
    <t>ナイトウ　ショウゴ</t>
  </si>
  <si>
    <t>R010250271</t>
  </si>
  <si>
    <t>中尾　亜夢</t>
  </si>
  <si>
    <t>ナカオ　アユ</t>
  </si>
  <si>
    <t>ナカオ　ミチアキ</t>
  </si>
  <si>
    <t>ナカガミ　サトシ</t>
  </si>
  <si>
    <t>ナカシマ　コウヘイ</t>
  </si>
  <si>
    <t>ナカシマ　ユウスケ</t>
  </si>
  <si>
    <t>ナカシマ　リョウタ</t>
  </si>
  <si>
    <t>ナカゾノ　マサハル</t>
  </si>
  <si>
    <t>ナカタ　クニアキ</t>
  </si>
  <si>
    <t>ナカノ　アキヒロ</t>
  </si>
  <si>
    <t>ナカノ　サワミ</t>
  </si>
  <si>
    <t>ナカノ　ユウト</t>
  </si>
  <si>
    <t>ナカハラ　ケイスケ</t>
  </si>
  <si>
    <t>ナカハラ　ヒロマサ</t>
  </si>
  <si>
    <t>ナカムラ　タカネ</t>
  </si>
  <si>
    <t>ナカムラ　ヨウイチロウ</t>
  </si>
  <si>
    <t>ナカヤマ　シュウイチ</t>
  </si>
  <si>
    <t>ナガイ　ユージ</t>
  </si>
  <si>
    <t>ナガオ　ノブヒロ</t>
  </si>
  <si>
    <t>ナガオ　ヒサオ</t>
  </si>
  <si>
    <t>ナガタ　ヨシヒロ</t>
  </si>
  <si>
    <t>ナガマツ　マオ</t>
  </si>
  <si>
    <t>ナガマツ　マキ</t>
  </si>
  <si>
    <t>ナンリ　ヒデキ</t>
  </si>
  <si>
    <t>ニシムラ　リュウジ</t>
  </si>
  <si>
    <t>ニッタ　ユウイチロウ</t>
  </si>
  <si>
    <t>ニノタニ　トオル</t>
  </si>
  <si>
    <t>ノダ　ヨウヘイ</t>
  </si>
  <si>
    <t>ハキアイ　ナオキ</t>
  </si>
  <si>
    <t>ハザマ　テルヒサ</t>
  </si>
  <si>
    <t>ハシモト　シンタロウ</t>
  </si>
  <si>
    <t>ハシモト　ハノン</t>
  </si>
  <si>
    <t>ハタノ　ジュンイチ</t>
  </si>
  <si>
    <t>ハダノ　ワタル</t>
  </si>
  <si>
    <t>ハマサキ　ヨウスケ</t>
  </si>
  <si>
    <t>ハママチ　タクヤ</t>
  </si>
  <si>
    <t>ハラ　コウイチ</t>
  </si>
  <si>
    <t>ハラ　シュンスケ</t>
  </si>
  <si>
    <t>ハラ　ダイキ</t>
  </si>
  <si>
    <t>ハラダ　マサヤ</t>
  </si>
  <si>
    <t>ハラダ　リュウタロウ</t>
  </si>
  <si>
    <t>ヒガシ　カズヒロ</t>
  </si>
  <si>
    <t>ヒメノ　ケイイチ</t>
  </si>
  <si>
    <t>ヒラオカ　マサヒロ</t>
  </si>
  <si>
    <t>ヒロセ　ソウイチロウ</t>
  </si>
  <si>
    <t>ヒロセ　フミアキ</t>
  </si>
  <si>
    <t>ヒロセ　マサアキ</t>
  </si>
  <si>
    <t>ヒロタ　ヤスタカ</t>
  </si>
  <si>
    <t>ヒロト　セイイチ</t>
  </si>
  <si>
    <t>フカホリ　ショウジ</t>
  </si>
  <si>
    <t>フクモト　ケンジ</t>
  </si>
  <si>
    <t>フジタ　カズヤ</t>
  </si>
  <si>
    <t>フジモト　カツジ</t>
  </si>
  <si>
    <t>フジモト　ヒロシ</t>
  </si>
  <si>
    <t>フジワラ　ユウシロウ</t>
  </si>
  <si>
    <t>フジワラ　リュウジ</t>
  </si>
  <si>
    <t>フチ　タツオ</t>
  </si>
  <si>
    <t>フルカワ　タカシ</t>
  </si>
  <si>
    <t>フルト　マサタカ</t>
  </si>
  <si>
    <t>フルハタ　アオイ</t>
  </si>
  <si>
    <t>フルハタ　ツバサ</t>
  </si>
  <si>
    <t>ホシノ　アツシ</t>
  </si>
  <si>
    <t>ホヅキ　トシアキ</t>
  </si>
  <si>
    <t>ホリウチ　ノブトシ</t>
  </si>
  <si>
    <t>ホンド　ミネオ</t>
  </si>
  <si>
    <t>マエダ　トクフミ</t>
  </si>
  <si>
    <t>マキ　カズシ</t>
  </si>
  <si>
    <t>マサキ　ヨウヘイ</t>
  </si>
  <si>
    <t>マツシタ　アキフミ</t>
  </si>
  <si>
    <t>マツシタ　マサフミ</t>
  </si>
  <si>
    <t>マツダ　リョウ</t>
  </si>
  <si>
    <t>マツバラ　アイ</t>
  </si>
  <si>
    <t>マツモト　ミツマサ</t>
  </si>
  <si>
    <t>マツモト　ユウスケ</t>
  </si>
  <si>
    <t>マツヤマ　カズヒロ</t>
  </si>
  <si>
    <t>マナベ　ユウイチ</t>
  </si>
  <si>
    <t>R010264267</t>
  </si>
  <si>
    <t>馬原　直人</t>
  </si>
  <si>
    <t>マバル　ナオト</t>
  </si>
  <si>
    <t>ミイサコ　ユウスケ</t>
  </si>
  <si>
    <t>ミズグチ　ユウタ</t>
  </si>
  <si>
    <t>ミゾベ　コウキ</t>
  </si>
  <si>
    <t>ミゾベ　ヒロユキ</t>
  </si>
  <si>
    <t>ミタライ　タケシ</t>
  </si>
  <si>
    <t>ミノ　マコト</t>
  </si>
  <si>
    <t>ミハラ　ハヤト</t>
  </si>
  <si>
    <t>ミヤコ　サトシ</t>
  </si>
  <si>
    <t>ミヤサコ　トシノリ</t>
  </si>
  <si>
    <t>ミヤザキ　タカシ</t>
  </si>
  <si>
    <t>ミヤタ　シゲキ</t>
  </si>
  <si>
    <t>ミヨシ　ヨシテル</t>
  </si>
  <si>
    <t>ムナオカ　ゲントク</t>
  </si>
  <si>
    <t>ムラカミ　カズユキ</t>
  </si>
  <si>
    <t>ムラカミ　タカシ</t>
  </si>
  <si>
    <t>R003350854</t>
  </si>
  <si>
    <t>モウトウ　ユウゾウ</t>
  </si>
  <si>
    <t>モウリ　アキヒロ</t>
  </si>
  <si>
    <t>モチマツ　シュウヘイ</t>
  </si>
  <si>
    <t>モトスギ　タクヤ</t>
  </si>
  <si>
    <t>モリ　ケンタ</t>
  </si>
  <si>
    <t>モリシタ　ヨウイチ</t>
  </si>
  <si>
    <t>モリヤマ　コウスケ</t>
  </si>
  <si>
    <t>モリヤマ　ノブヒロ</t>
  </si>
  <si>
    <t>ヤクシジ　ショウ</t>
  </si>
  <si>
    <t>ヤクシジ　リョウタ</t>
  </si>
  <si>
    <t>ヤサカ　シュウ</t>
  </si>
  <si>
    <t>ヤザキ　トシカツ</t>
  </si>
  <si>
    <t>ヤシキ　トモユキ</t>
  </si>
  <si>
    <t>ヤスダ　カオル</t>
  </si>
  <si>
    <t>ヤナイ　タカノリ</t>
  </si>
  <si>
    <t>ヤナガワ　トモナリ</t>
  </si>
  <si>
    <t>ヤナギモト　タケシ</t>
  </si>
  <si>
    <t>ヤナギモト　テツヤ</t>
  </si>
  <si>
    <t>ヤノ　ミチオ</t>
  </si>
  <si>
    <t>ヤハタ　タカシ</t>
  </si>
  <si>
    <t>ヤマ　ダイスケ</t>
  </si>
  <si>
    <t>ヤマサキ　カズヤ</t>
  </si>
  <si>
    <t>R010240533</t>
  </si>
  <si>
    <t>山﨑　典保</t>
  </si>
  <si>
    <t>ヤマサキ　ノリヤス</t>
  </si>
  <si>
    <t>ヤマシタ　ショウジ</t>
  </si>
  <si>
    <t>ヤマシタ　ナオカズ</t>
  </si>
  <si>
    <t>ヤマシタ　ヤスアキ</t>
  </si>
  <si>
    <t>ヤマナカ　ソウイチロウ</t>
  </si>
  <si>
    <t>ヤマノウチ　テツロウ</t>
  </si>
  <si>
    <t>ヤマミヤ　トシヒロ</t>
  </si>
  <si>
    <t>ヤマモト　アツシ</t>
  </si>
  <si>
    <t>ヤマモト　カズマ</t>
  </si>
  <si>
    <t>ヤマモト　タカシ</t>
  </si>
  <si>
    <t>ヤマモト　テツジ</t>
  </si>
  <si>
    <t>ヤマモト　ユージ</t>
  </si>
  <si>
    <t>ユキ　ヤスヒロ</t>
  </si>
  <si>
    <t>ユダ　コウジ</t>
  </si>
  <si>
    <t>ユルギ　テツヤ</t>
  </si>
  <si>
    <t>ヨコヤマ　トキフミ</t>
  </si>
  <si>
    <t>ヨシダ　エイジ</t>
  </si>
  <si>
    <t>ヨシダ　ダイスケ</t>
  </si>
  <si>
    <t>ヨシモト　ケンタロウ</t>
  </si>
  <si>
    <t>ワキ　カツヒロ</t>
  </si>
  <si>
    <t>ワキタ　タク</t>
  </si>
  <si>
    <t>ワサイ　コウジ</t>
  </si>
  <si>
    <t>ワタナベ　ケイスケ</t>
  </si>
  <si>
    <t>ワタナベ　タクト</t>
  </si>
  <si>
    <t>ワタナベ　ヨウイチロウ</t>
  </si>
  <si>
    <t>ワタリ　ケント</t>
  </si>
  <si>
    <t>ワダ　ケンイチロウ</t>
  </si>
  <si>
    <t>ワダ　ケンジ</t>
  </si>
  <si>
    <t>ワダ　ヒロシ</t>
  </si>
  <si>
    <t>アイザワ　シンタロウ</t>
  </si>
  <si>
    <t>アイベ　ナオキ</t>
  </si>
  <si>
    <t>R010262588</t>
  </si>
  <si>
    <t>青松　来樹</t>
  </si>
  <si>
    <t>アオマツ　ライキ</t>
  </si>
  <si>
    <t>アカギ　シュウジ</t>
  </si>
  <si>
    <t>アカホシ　マサル</t>
  </si>
  <si>
    <t>アカミネ　カズタカ</t>
  </si>
  <si>
    <t>アカミネ　シンタロウ</t>
  </si>
  <si>
    <t>アキヅキ　ショウゴ</t>
  </si>
  <si>
    <t>アサヤマ　ムツオ</t>
  </si>
  <si>
    <t>R010313745</t>
  </si>
  <si>
    <t>穴井　大地</t>
  </si>
  <si>
    <t>アナイ　ダイチ</t>
  </si>
  <si>
    <t>アベ　カズアキ</t>
  </si>
  <si>
    <t>アベ　サトシ</t>
  </si>
  <si>
    <t>アベ　タイキ</t>
  </si>
  <si>
    <t>アベ　トシユキ</t>
  </si>
  <si>
    <t>R010314829</t>
  </si>
  <si>
    <t>安部　湧紀</t>
  </si>
  <si>
    <t>アベ　ユウキ</t>
  </si>
  <si>
    <t>アラマキ　シゲユキ</t>
  </si>
  <si>
    <t>アラマキ　ヤスタカ</t>
  </si>
  <si>
    <t>アリカド　ヒサシ</t>
  </si>
  <si>
    <t>アリタ　トシヒロ</t>
  </si>
  <si>
    <t>アリムラ　アツシ</t>
  </si>
  <si>
    <t>アンダチ　ウミ</t>
  </si>
  <si>
    <t>アンダチ　タクマ</t>
  </si>
  <si>
    <t>アンドウ　コウキ</t>
  </si>
  <si>
    <t>アンドウ　コナン</t>
  </si>
  <si>
    <t>アンドウ　タクヤ</t>
  </si>
  <si>
    <t>アンドウ　ユキホ</t>
  </si>
  <si>
    <t>アンノ　シロウ</t>
  </si>
  <si>
    <t>イイクラ　ヨウスケ</t>
  </si>
  <si>
    <t>飯干　遼飛</t>
  </si>
  <si>
    <t>イイホシ　リョウト</t>
  </si>
  <si>
    <t>イガ　タカヒロ</t>
  </si>
  <si>
    <t>R010306442</t>
  </si>
  <si>
    <t>池田　達哉</t>
  </si>
  <si>
    <t>イケダ　タツヤ</t>
  </si>
  <si>
    <t>イケダ　マサトシ</t>
  </si>
  <si>
    <t>イケダ　ワタル</t>
  </si>
  <si>
    <t>イケベ　ケンイチ</t>
  </si>
  <si>
    <t>イケベ　シン</t>
  </si>
  <si>
    <t>R010281879</t>
  </si>
  <si>
    <t>池辺　雅也</t>
  </si>
  <si>
    <t>イケベ　マサヤ</t>
  </si>
  <si>
    <t>イシカワ　セイジ</t>
  </si>
  <si>
    <t>イシカワ　ヒロアキ</t>
  </si>
  <si>
    <t>R010248588</t>
  </si>
  <si>
    <t>石川　嶺瑠</t>
  </si>
  <si>
    <t>イシカワ　レアル</t>
  </si>
  <si>
    <t>イシマツ　ダイスケ</t>
  </si>
  <si>
    <t>イシモト　ユウキ</t>
  </si>
  <si>
    <t>イズミ　ノブユキ</t>
  </si>
  <si>
    <t>R010281826</t>
  </si>
  <si>
    <t>板井　崇晃</t>
  </si>
  <si>
    <t>イタイ　タカアキ</t>
  </si>
  <si>
    <t>イタイ　ヒロキ</t>
  </si>
  <si>
    <t>イチマル　アキノリ</t>
  </si>
  <si>
    <t>イッポウシ　ナオキ</t>
  </si>
  <si>
    <t>イデタ　タケシ</t>
  </si>
  <si>
    <t>R010259419</t>
  </si>
  <si>
    <t>伊東　健一</t>
  </si>
  <si>
    <t>イトウ　ケンイチ</t>
  </si>
  <si>
    <t>イトウ　ケンタロウ</t>
  </si>
  <si>
    <t>R010281832</t>
  </si>
  <si>
    <t>伊藤　浩介</t>
  </si>
  <si>
    <t>イトウ　コウスケ</t>
  </si>
  <si>
    <t>イトウ　ショウタロウ</t>
  </si>
  <si>
    <t>R010281816</t>
  </si>
  <si>
    <t>糸永　泰樹</t>
  </si>
  <si>
    <t>イトナガ　タイキ</t>
  </si>
  <si>
    <t>イノウエ　カイ</t>
  </si>
  <si>
    <t>イノウエ　サヤカ</t>
  </si>
  <si>
    <t>R010243651</t>
  </si>
  <si>
    <t>井上　拓哉</t>
  </si>
  <si>
    <t>イノウエ　タクヤ</t>
  </si>
  <si>
    <t>イマムラ　レン</t>
  </si>
  <si>
    <t>イワサキ　シンヤ</t>
  </si>
  <si>
    <t>イワサキ　トシカツ</t>
  </si>
  <si>
    <t>イワタ　ススム</t>
  </si>
  <si>
    <t>イワナガ　カズマ</t>
  </si>
  <si>
    <t>イワマル　ヒロキ</t>
  </si>
  <si>
    <t>ウエガキ　ヒデト</t>
  </si>
  <si>
    <t>ウエクリ　カズマサ</t>
  </si>
  <si>
    <t>ウエダ　アキラ</t>
  </si>
  <si>
    <t>ウエノ　タカシ</t>
  </si>
  <si>
    <t>R010313761</t>
  </si>
  <si>
    <t>上野　亮司</t>
  </si>
  <si>
    <t>ウエノ　リョウジ</t>
  </si>
  <si>
    <t>ウエヤ　マモル</t>
  </si>
  <si>
    <t>ウメキ　ユウヤ</t>
  </si>
  <si>
    <t>ウメダ　タカシ</t>
  </si>
  <si>
    <t>ウラモト　マサシ</t>
  </si>
  <si>
    <t>ウルマ　ダイシ</t>
  </si>
  <si>
    <t>エガミ　トモヒロ</t>
  </si>
  <si>
    <t>エグマ　ケント</t>
  </si>
  <si>
    <t>エトウ　カズノリ</t>
  </si>
  <si>
    <t>エトウ　キョウヘイ</t>
  </si>
  <si>
    <t>エトウ　トモナリ</t>
  </si>
  <si>
    <t>エトウ　ヒデタカ</t>
  </si>
  <si>
    <t>エンドウ　トモハル</t>
  </si>
  <si>
    <t>オオアシ　ヨシヒロ</t>
  </si>
  <si>
    <t>オオイシ　シュウヤ</t>
  </si>
  <si>
    <t>R010313760</t>
  </si>
  <si>
    <t>大石　琢斗</t>
  </si>
  <si>
    <t>オオイシ　タクト</t>
  </si>
  <si>
    <t>オオイシ　タクヤ</t>
  </si>
  <si>
    <t>オオイシ　マサオ</t>
  </si>
  <si>
    <t>オオクボ　ヒロノリ</t>
  </si>
  <si>
    <t>オオクボ　マサアキ</t>
  </si>
  <si>
    <t>オオシマ　イオリ</t>
  </si>
  <si>
    <t>オオタニ　コウキ</t>
  </si>
  <si>
    <t>オオツカ　セイヤ</t>
  </si>
  <si>
    <t>オオツカ　タケシ</t>
  </si>
  <si>
    <t>R010281805</t>
  </si>
  <si>
    <t>大塚　雅基</t>
  </si>
  <si>
    <t>オオツカ　マサキ</t>
  </si>
  <si>
    <t>オオヤ　フウマ</t>
  </si>
  <si>
    <t>オカ　ショウイチロウ</t>
  </si>
  <si>
    <t>R010313747</t>
  </si>
  <si>
    <t>岡崎　俊介</t>
  </si>
  <si>
    <t>オカザキ　シュンスケ</t>
  </si>
  <si>
    <t>オカダ　コウタロウ</t>
  </si>
  <si>
    <t>オカダ　タカユキ</t>
  </si>
  <si>
    <t>オカダ　リョウヘイ</t>
  </si>
  <si>
    <t>オガワ　ケンジ</t>
  </si>
  <si>
    <t>R010314808</t>
  </si>
  <si>
    <t>於久　流絆晟</t>
  </si>
  <si>
    <t>オク　ルキア</t>
  </si>
  <si>
    <t>オクノ　シンイチロウ</t>
  </si>
  <si>
    <t>オクムラ　ヒロカツ</t>
  </si>
  <si>
    <t>オグリ　タカナリ</t>
  </si>
  <si>
    <t>オザワ　タケフミ</t>
  </si>
  <si>
    <t>オゼキ　ケイタロウ</t>
  </si>
  <si>
    <t>オダ　クニアキ</t>
  </si>
  <si>
    <t>オダワラ　レン</t>
  </si>
  <si>
    <t>オノ　コウイチ</t>
  </si>
  <si>
    <t>R010281854</t>
  </si>
  <si>
    <t>小野　翔希</t>
  </si>
  <si>
    <t>オノ　ショウキ</t>
  </si>
  <si>
    <t>R010281828</t>
  </si>
  <si>
    <t>小野　将司</t>
  </si>
  <si>
    <t>オノ　ショウジ</t>
  </si>
  <si>
    <t>オノ　ソウマ</t>
  </si>
  <si>
    <t>オノ　ユウキ</t>
  </si>
  <si>
    <t>オノ　ユミコ</t>
  </si>
  <si>
    <t>カイ　イッスイ</t>
  </si>
  <si>
    <t>カイ　エイジ</t>
  </si>
  <si>
    <t>R010281867</t>
  </si>
  <si>
    <t>カイ　ナオキ</t>
  </si>
  <si>
    <t>カイ　リュウジ</t>
  </si>
  <si>
    <t>カイ　リョウスケ</t>
  </si>
  <si>
    <t>カガ　トシカズ</t>
  </si>
  <si>
    <t>カガワ　マユミ</t>
  </si>
  <si>
    <t>カガワ　ユタカ</t>
  </si>
  <si>
    <t>カキウチ　タイヨウ</t>
  </si>
  <si>
    <t>カサムラ　ヒロシ</t>
  </si>
  <si>
    <t>カサムラ　リン</t>
  </si>
  <si>
    <t>カジカワ　マサカズ</t>
  </si>
  <si>
    <t>カジワラ　ノリフミ</t>
  </si>
  <si>
    <t>R010313766</t>
  </si>
  <si>
    <t>片山　達郎</t>
  </si>
  <si>
    <t>カタヤマ　タツロウ</t>
  </si>
  <si>
    <t>カタヤマ　ユウイチ</t>
  </si>
  <si>
    <t>カツキ　ショウヤ</t>
  </si>
  <si>
    <t>カトウ　タクミ</t>
  </si>
  <si>
    <t>カミタニ　マサヤ</t>
  </si>
  <si>
    <t>カメヤマ　タカオ</t>
  </si>
  <si>
    <t>R010256872</t>
  </si>
  <si>
    <t>鴨川　奨</t>
  </si>
  <si>
    <t>カモガワ　ショウ</t>
  </si>
  <si>
    <t>カワイ　カンジロウ</t>
  </si>
  <si>
    <t>R010248572</t>
  </si>
  <si>
    <t>川口　航平</t>
  </si>
  <si>
    <t>カワグチ　コウヘイ</t>
  </si>
  <si>
    <t>R010314824</t>
  </si>
  <si>
    <t>川口　俊輔</t>
  </si>
  <si>
    <t>カワグチ　シュンスケ</t>
  </si>
  <si>
    <t>R010281803</t>
  </si>
  <si>
    <t>カワナミ　マホ</t>
  </si>
  <si>
    <t>カワノ　シゲトシ</t>
  </si>
  <si>
    <t>カワノ　トウマ</t>
  </si>
  <si>
    <t>カワノ　ユウト</t>
  </si>
  <si>
    <t>カワベ　タイチロウ</t>
  </si>
  <si>
    <t>カワムラ　コウダイ</t>
  </si>
  <si>
    <t>カワムラ　ノブヨシ</t>
  </si>
  <si>
    <t>カンダ　タケシ</t>
  </si>
  <si>
    <t>キクタ　コウタロウ</t>
  </si>
  <si>
    <t>キクチ　マコト</t>
  </si>
  <si>
    <t>キシマ　タカユキ</t>
  </si>
  <si>
    <t>キタニ　ダイキ</t>
  </si>
  <si>
    <t>キヅ　コウタ</t>
  </si>
  <si>
    <t>キヅ　ハルカ</t>
  </si>
  <si>
    <t>キノシタ　カズオ</t>
  </si>
  <si>
    <t>キノシタ　ヒデキ</t>
  </si>
  <si>
    <t>キベ　ユウジ</t>
  </si>
  <si>
    <t>R010248580</t>
  </si>
  <si>
    <t>木村　一平</t>
  </si>
  <si>
    <t>キムラ　イッペイ</t>
  </si>
  <si>
    <t>R010281797</t>
  </si>
  <si>
    <t>清原　勇二</t>
  </si>
  <si>
    <t>キヨハラ　ユウジ</t>
  </si>
  <si>
    <t>R010248041</t>
  </si>
  <si>
    <t>釘宮　翼</t>
  </si>
  <si>
    <t>クギミヤ　ツバサ</t>
  </si>
  <si>
    <t>R010313754</t>
  </si>
  <si>
    <t>櫛野　理弘</t>
  </si>
  <si>
    <t>クシノ　ミチヒロ</t>
  </si>
  <si>
    <t>R010247785</t>
  </si>
  <si>
    <t>楠本　未沙都</t>
  </si>
  <si>
    <t>クスモト　ミサト</t>
  </si>
  <si>
    <t>R010261616</t>
  </si>
  <si>
    <t>工藤　大昌</t>
  </si>
  <si>
    <t>クドウ　タイショウ</t>
  </si>
  <si>
    <t>クドウ　タダヒロ</t>
  </si>
  <si>
    <t>クドウ　ヒロシ</t>
  </si>
  <si>
    <t>クドウ　ミツノリ</t>
  </si>
  <si>
    <t>クドウ　ヤマト</t>
  </si>
  <si>
    <t>クボ　シゲキ</t>
  </si>
  <si>
    <t>クボヤマ　タカシ</t>
  </si>
  <si>
    <t>R010281807</t>
  </si>
  <si>
    <t>黒木　一輝</t>
  </si>
  <si>
    <t>クロギ　カズキ</t>
  </si>
  <si>
    <t>クワバラ　ツヨシ</t>
  </si>
  <si>
    <t>R010255153</t>
  </si>
  <si>
    <t>小岩　晴久</t>
  </si>
  <si>
    <t>コイワ　ハルヒサ</t>
  </si>
  <si>
    <t>コウジナ　コウイチ</t>
  </si>
  <si>
    <t>コウノ　チエコ</t>
  </si>
  <si>
    <t>コガ　ヒロキ</t>
  </si>
  <si>
    <t>コガ　マサノリ</t>
  </si>
  <si>
    <t>コゴシ　ケンタロウ</t>
  </si>
  <si>
    <t>コダマ　ハヤト</t>
  </si>
  <si>
    <t>コダマ　ミナト</t>
  </si>
  <si>
    <t>コダマ　ユウスケ</t>
  </si>
  <si>
    <t>コテガワ　ヨウスケ</t>
  </si>
  <si>
    <t>コニシ　ジョウジ</t>
  </si>
  <si>
    <t>コバヤシ　サトル</t>
  </si>
  <si>
    <t>R010255174</t>
  </si>
  <si>
    <t>小林　亮太</t>
  </si>
  <si>
    <t>コバヤシ　リョウタ</t>
  </si>
  <si>
    <t>コヤ　ユウタ</t>
  </si>
  <si>
    <t>コンドウ　コウジ</t>
  </si>
  <si>
    <t>ゴショ　ムツオ</t>
  </si>
  <si>
    <t>ゴトウ　ギイチロウ</t>
  </si>
  <si>
    <t>ゴトウ　ケイタロウ</t>
  </si>
  <si>
    <t>ゴトウ　コウジ</t>
  </si>
  <si>
    <t>ゴトウ　シゲヨシ</t>
  </si>
  <si>
    <t>ゴトウ　シンイチ</t>
  </si>
  <si>
    <t>ゴトウ　タケフミ</t>
  </si>
  <si>
    <t>ゴトウ　タツヤ</t>
  </si>
  <si>
    <t>R010306452</t>
  </si>
  <si>
    <t>後藤　知仁</t>
  </si>
  <si>
    <t>ゴトウ　トモヒト</t>
  </si>
  <si>
    <t>ゴトウ　ヒサシ</t>
  </si>
  <si>
    <t>ゴトウ　ヨシカツ</t>
  </si>
  <si>
    <t>ゴトウ　リョウイチ</t>
  </si>
  <si>
    <t>サイトウ　リョウマ</t>
  </si>
  <si>
    <t>サカイ　タカヒロ</t>
  </si>
  <si>
    <t>サカイ　ヤスタカ</t>
  </si>
  <si>
    <t>サカタ　ダイキ</t>
  </si>
  <si>
    <t>サカモト　リオ</t>
  </si>
  <si>
    <t>R010283833</t>
  </si>
  <si>
    <t>坂本　莉音</t>
  </si>
  <si>
    <t>サカモト　リオン</t>
  </si>
  <si>
    <t>サガラ　ヨシオ</t>
  </si>
  <si>
    <t>サシハラ　テツシ</t>
  </si>
  <si>
    <t>サッカ　タダヒロ</t>
  </si>
  <si>
    <t>R010259437</t>
  </si>
  <si>
    <t>佐藤　愛莉</t>
  </si>
  <si>
    <t>サトウ　アイリ</t>
  </si>
  <si>
    <t>サトウ　アキラ</t>
  </si>
  <si>
    <t>サトウ　シンヤ</t>
  </si>
  <si>
    <t>R010262644</t>
  </si>
  <si>
    <t>サトウ　ソウ</t>
  </si>
  <si>
    <t>サトウ　タケヨシ</t>
  </si>
  <si>
    <t>佐藤　大樹</t>
  </si>
  <si>
    <t>サトウ　ダイキ</t>
  </si>
  <si>
    <t>サトウ　ハルヤ</t>
  </si>
  <si>
    <t>R010281827</t>
  </si>
  <si>
    <t>佐藤　秀昭</t>
  </si>
  <si>
    <t>サトウ　ヒデアキ</t>
  </si>
  <si>
    <t>サトウ　ヒデカツ</t>
  </si>
  <si>
    <t>サトウ　ヒロキ</t>
  </si>
  <si>
    <t>サトウ　ミツオ</t>
  </si>
  <si>
    <t>サトウ　ユウト</t>
  </si>
  <si>
    <t>サメジマ　ユウキ</t>
  </si>
  <si>
    <t>ザイゼン　トモヒロ</t>
  </si>
  <si>
    <t>シイハラ　タケオ</t>
  </si>
  <si>
    <t>R010281801</t>
  </si>
  <si>
    <t>志賀　泰二</t>
  </si>
  <si>
    <t>シガ　タイジ</t>
  </si>
  <si>
    <t>シゲフジ　ヒカル</t>
  </si>
  <si>
    <t>シマタニ　シンジ</t>
  </si>
  <si>
    <t>R010313749</t>
  </si>
  <si>
    <t>嶋田　尚祐</t>
  </si>
  <si>
    <t>シマダ　ナオヒロ</t>
  </si>
  <si>
    <t>シミズ　セイトク</t>
  </si>
  <si>
    <t>シュトウ　ツバサ</t>
  </si>
  <si>
    <t>シュトウ　ハルミ</t>
  </si>
  <si>
    <t>ショウジ　マコト</t>
  </si>
  <si>
    <t>ショウブ　マサト</t>
  </si>
  <si>
    <t>R010259417</t>
  </si>
  <si>
    <t>白岩　孝啓</t>
  </si>
  <si>
    <t>シライワ　タカヒロ</t>
  </si>
  <si>
    <t>R010306453</t>
  </si>
  <si>
    <t>秦　翔平</t>
  </si>
  <si>
    <t>シン　ショウヘイ</t>
  </si>
  <si>
    <t>ジクマル　コウヘイ</t>
  </si>
  <si>
    <t>ジョウノ　キヨシ</t>
  </si>
  <si>
    <t>スウラ　キヨタカ</t>
  </si>
  <si>
    <t>スエツナ　コウダイ</t>
  </si>
  <si>
    <t>スエツナ　タイシュウ</t>
  </si>
  <si>
    <t>スエナガ　ナルヒサ</t>
  </si>
  <si>
    <t>スギサキ　マコト</t>
  </si>
  <si>
    <t>スギノ　タケシ</t>
  </si>
  <si>
    <t>スギモト　テッタ</t>
  </si>
  <si>
    <t>R010281838</t>
  </si>
  <si>
    <t>R010281839</t>
  </si>
  <si>
    <t>スズキ　コウダイ</t>
  </si>
  <si>
    <t>R010247793</t>
  </si>
  <si>
    <t>須藤　美羽</t>
  </si>
  <si>
    <t>スドウ　ミウ</t>
  </si>
  <si>
    <t>スノ　テッペイ</t>
  </si>
  <si>
    <t>スミタ　ナギト</t>
  </si>
  <si>
    <t>ズシ　コウシロウ</t>
  </si>
  <si>
    <t>セキ　カズアキ</t>
  </si>
  <si>
    <t>セキ　ショウジ</t>
  </si>
  <si>
    <t>セキ　マサト</t>
  </si>
  <si>
    <t>セキヤ　トモヒト</t>
  </si>
  <si>
    <t>R010247795</t>
  </si>
  <si>
    <t>曽我　彩夏</t>
  </si>
  <si>
    <t>ソガ　アヤカ</t>
  </si>
  <si>
    <t>ソネ　フミタケ</t>
  </si>
  <si>
    <t>ソネザキ　テルキ</t>
  </si>
  <si>
    <t>ソネダ　ヤストシ</t>
  </si>
  <si>
    <t>R010306443</t>
  </si>
  <si>
    <t>園田　純直</t>
  </si>
  <si>
    <t>ソノダ　スミタダ</t>
  </si>
  <si>
    <t>タイラ　カズタカ</t>
  </si>
  <si>
    <t>タカガキ　コウヘイ</t>
  </si>
  <si>
    <t>タカクラ　カズキ</t>
  </si>
  <si>
    <t>タカノ　ダイスケ</t>
  </si>
  <si>
    <t>タカハシ　コウスケ</t>
  </si>
  <si>
    <t>タカハシ　ヒロアキ</t>
  </si>
  <si>
    <t>タカハシ　ユウスケ</t>
  </si>
  <si>
    <t>R010240538</t>
  </si>
  <si>
    <t>高原　悠太</t>
  </si>
  <si>
    <t>タカハラ　ユウタ</t>
  </si>
  <si>
    <t>R010255176</t>
  </si>
  <si>
    <t>高森　宗治</t>
  </si>
  <si>
    <t>タカモリ　ムネハル</t>
  </si>
  <si>
    <t>タガミ　タツマサ</t>
  </si>
  <si>
    <t>R010259424</t>
  </si>
  <si>
    <t>瀧水　蓮太郎</t>
  </si>
  <si>
    <t>タキミズ　レンタロウ</t>
  </si>
  <si>
    <t>タケナカ　ケイジ</t>
  </si>
  <si>
    <t>R010306446</t>
  </si>
  <si>
    <t>多嶋田　尚平</t>
  </si>
  <si>
    <t>タシマダ　ショウヘイ</t>
  </si>
  <si>
    <t>タシロ　シュウゾウ</t>
  </si>
  <si>
    <t>タナベ　マサハル</t>
  </si>
  <si>
    <t>タニガワ　ジュンヤ</t>
  </si>
  <si>
    <t>タノ　ショウタ</t>
  </si>
  <si>
    <t>R010281809</t>
  </si>
  <si>
    <t>田村　拓也</t>
  </si>
  <si>
    <t>タムラ　タクヤ</t>
  </si>
  <si>
    <t>ダテ　ヨウスケ</t>
  </si>
  <si>
    <t>ツダ　ケイタ</t>
  </si>
  <si>
    <t>筒井　愛</t>
  </si>
  <si>
    <t>ツツイ　アイ</t>
  </si>
  <si>
    <t>ツツミ　ハルナ</t>
  </si>
  <si>
    <t>ツヅク　ハジメ</t>
  </si>
  <si>
    <t>ツネマツ　カズヤ</t>
  </si>
  <si>
    <t>ツモリ　ショウタ</t>
  </si>
  <si>
    <t>鶴田　翔一</t>
  </si>
  <si>
    <t>ツルタ　ショウイチ</t>
  </si>
  <si>
    <t>デグチ　イサオ</t>
  </si>
  <si>
    <t>トクマル　ジュンジ</t>
  </si>
  <si>
    <t>R010255154</t>
  </si>
  <si>
    <t>得丸　拓実</t>
  </si>
  <si>
    <t>トクマル　タクミ</t>
  </si>
  <si>
    <t>トクマル　ヒデアキ</t>
  </si>
  <si>
    <t>トクマル　マサノリ</t>
  </si>
  <si>
    <t>トダ　シオン</t>
  </si>
  <si>
    <t>R010046512</t>
  </si>
  <si>
    <t>十時　優介</t>
  </si>
  <si>
    <t>トトキ　ユウスケ</t>
  </si>
  <si>
    <t>トモマツ　セイジ</t>
  </si>
  <si>
    <t>トヨダ　ヒロシ</t>
  </si>
  <si>
    <t>ナカ　キョウヘイ</t>
  </si>
  <si>
    <t>ナカガワ　カツヒロ</t>
  </si>
  <si>
    <t>ナカガワ　トシヤ</t>
  </si>
  <si>
    <t>ナカシマ　オオナリ</t>
  </si>
  <si>
    <t>ナカシマ　ユウト</t>
  </si>
  <si>
    <t>ナカジマ　ユウコウ</t>
  </si>
  <si>
    <t>ナカツル　ショウゾウ</t>
  </si>
  <si>
    <t>ナカニシ　トモヒコ</t>
  </si>
  <si>
    <t>ナカネ　ミキオ</t>
  </si>
  <si>
    <t>R010281799</t>
  </si>
  <si>
    <t>中野　明</t>
  </si>
  <si>
    <t>ナカノ　アキラ</t>
  </si>
  <si>
    <t>R010248583</t>
  </si>
  <si>
    <t>中野　翔梧</t>
  </si>
  <si>
    <t>ナカノ　ショウゴ</t>
  </si>
  <si>
    <t>ナカノ　トシヒロ</t>
  </si>
  <si>
    <t>ナカノ　トモヒロ</t>
  </si>
  <si>
    <t>ナカノ　ヒロシ</t>
  </si>
  <si>
    <t>R010281853</t>
  </si>
  <si>
    <t>中野　竜太</t>
  </si>
  <si>
    <t>ナカノ　リュウタ</t>
  </si>
  <si>
    <t>ナカハタ　ミツヒロ</t>
  </si>
  <si>
    <t>ナカマ　トシヒコ</t>
  </si>
  <si>
    <t>ナカムラ　アキト</t>
  </si>
  <si>
    <t>ナカムラ　サエリ</t>
  </si>
  <si>
    <t>ナカムラ　トモミ</t>
  </si>
  <si>
    <t>ナカムラ　マサヒコ</t>
  </si>
  <si>
    <t>ナカムラ　ユウ</t>
  </si>
  <si>
    <t>R010240580</t>
  </si>
  <si>
    <t>永井　智大</t>
  </si>
  <si>
    <t>ナガイ　トモヒロ</t>
  </si>
  <si>
    <t>R010281817</t>
  </si>
  <si>
    <t>永尾　透</t>
  </si>
  <si>
    <t>ナガオ　トオル</t>
  </si>
  <si>
    <t>ナガト　リョウタ</t>
  </si>
  <si>
    <t>R010259414</t>
  </si>
  <si>
    <t>永松　和寿</t>
  </si>
  <si>
    <t>ナガマツ　カズトシ</t>
  </si>
  <si>
    <t>ナガヤマ　マサキ</t>
  </si>
  <si>
    <t>ナガヤマ　ユウスケ</t>
  </si>
  <si>
    <t>R010306440</t>
  </si>
  <si>
    <t>永芳　卓磨</t>
  </si>
  <si>
    <t>ナガヨシ　タクマ</t>
  </si>
  <si>
    <t>ナガレカワ　アラタ</t>
  </si>
  <si>
    <t>ナスノ　アユリ</t>
  </si>
  <si>
    <t>ニシオ　ヒロユキ</t>
  </si>
  <si>
    <t>ニシオカ　ケイイチロウ</t>
  </si>
  <si>
    <t>ニッタ　リオ</t>
  </si>
  <si>
    <t>R010261589</t>
  </si>
  <si>
    <t>二宮　慶太</t>
  </si>
  <si>
    <t>ニノミヤ　ケイタ</t>
  </si>
  <si>
    <t>ニノミヤ　シンタロウ</t>
  </si>
  <si>
    <t>R010281837</t>
  </si>
  <si>
    <t>二宮　大己</t>
  </si>
  <si>
    <t>ニノミヤ　ダイキ</t>
  </si>
  <si>
    <t>ニノミヤ　ダイサク</t>
  </si>
  <si>
    <t>ニノミヤ　ヤスアキ</t>
  </si>
  <si>
    <t>R010306454</t>
  </si>
  <si>
    <t>入田　裕治</t>
  </si>
  <si>
    <t>ニュウタ　ユウジ</t>
  </si>
  <si>
    <t>R010281856</t>
  </si>
  <si>
    <t>如法寺　雅俊</t>
  </si>
  <si>
    <t>ニョホウジ　マサトシ</t>
  </si>
  <si>
    <t>ノグチ　コウジロウ</t>
  </si>
  <si>
    <t>ノグチ　トモタカ</t>
  </si>
  <si>
    <t>ノジリ　タカシ</t>
  </si>
  <si>
    <t>R010306450</t>
  </si>
  <si>
    <t>ノダ　ケイスケ</t>
  </si>
  <si>
    <t>ノダ　コウヘイ</t>
  </si>
  <si>
    <t>ノダ　マサオ</t>
  </si>
  <si>
    <t>ノナカ　ユウスケ</t>
  </si>
  <si>
    <t>ノムラ　タツヒサ</t>
  </si>
  <si>
    <t>ノムラ　テツヤ</t>
  </si>
  <si>
    <t>ノリツギ　ユウスケ</t>
  </si>
  <si>
    <t>ハシモト　トシクニ</t>
  </si>
  <si>
    <t>R010248571</t>
  </si>
  <si>
    <t>畑中　恒輝</t>
  </si>
  <si>
    <t>ハタナカ　コウキ</t>
  </si>
  <si>
    <t>ハタノ　マサミ</t>
  </si>
  <si>
    <t>ハツク　ユウヘイ</t>
  </si>
  <si>
    <t>ハマサキ　ケンイチ</t>
  </si>
  <si>
    <t>ハマダ　ナオキ</t>
  </si>
  <si>
    <t>ハママチ　リュウジ</t>
  </si>
  <si>
    <t>ハラ　カイト</t>
  </si>
  <si>
    <t>ハラ　タカヒロ</t>
  </si>
  <si>
    <t>ハラ　マサヨシ</t>
  </si>
  <si>
    <t>R010259430</t>
  </si>
  <si>
    <t>原田　光清</t>
  </si>
  <si>
    <t>ハラダ　コウセイ</t>
  </si>
  <si>
    <t>ハラダ　ユウキ</t>
  </si>
  <si>
    <t>ハンガイ　フウカ</t>
  </si>
  <si>
    <t>ババ　ムツキ</t>
  </si>
  <si>
    <t>ヒメノ　ケンゴ</t>
  </si>
  <si>
    <t>ヒメノ　コウヘイ</t>
  </si>
  <si>
    <t>R010243665</t>
  </si>
  <si>
    <t>姫野　青空</t>
  </si>
  <si>
    <t>ヒメノ　ソラ</t>
  </si>
  <si>
    <t>ヒメノ　タカヒロ</t>
  </si>
  <si>
    <t>ヒメノ　ダイスケ</t>
  </si>
  <si>
    <t>ヒメノ　ユウタロウ</t>
  </si>
  <si>
    <t>ヒラカワ　シンゴ</t>
  </si>
  <si>
    <t>ヒラノ　ミチヒロ</t>
  </si>
  <si>
    <t>ヒラバヤシ　ショウジ</t>
  </si>
  <si>
    <t>ヒラバラ　アキラ</t>
  </si>
  <si>
    <t>ヒラバラ　サトル</t>
  </si>
  <si>
    <t>ヒロセ　ナオキ</t>
  </si>
  <si>
    <t>ヒロセ　ナオト</t>
  </si>
  <si>
    <t>フカミ　セイジ</t>
  </si>
  <si>
    <t>フクシマ　リセ</t>
  </si>
  <si>
    <t>R010281831</t>
  </si>
  <si>
    <t>福田　紫月</t>
  </si>
  <si>
    <t>フクダ　シヅキ</t>
  </si>
  <si>
    <t>フクハラ　ゲンキ</t>
  </si>
  <si>
    <t>フジイ　シュンスケ</t>
  </si>
  <si>
    <t>フジイ　ヤスユキ</t>
  </si>
  <si>
    <t>フジナミ　タカヒロ</t>
  </si>
  <si>
    <t>フジノ　マコト</t>
  </si>
  <si>
    <t>フジマツ　タツヤ</t>
  </si>
  <si>
    <t>フジモト　コウヘイ</t>
  </si>
  <si>
    <t>R010303865</t>
  </si>
  <si>
    <t>藤本　諒哉</t>
  </si>
  <si>
    <t>フジモト　リョウヤ</t>
  </si>
  <si>
    <t>フジワラ　タエコ</t>
  </si>
  <si>
    <t>フルハタ　シンジ</t>
  </si>
  <si>
    <t>ホアキ　エイジ</t>
  </si>
  <si>
    <t>ホシノ　キョウ</t>
  </si>
  <si>
    <t>ホシノ　ラン</t>
  </si>
  <si>
    <t>ホンダ　ジュンジ</t>
  </si>
  <si>
    <t>マキ　ダイスケ</t>
  </si>
  <si>
    <t>マスノ　リョウガ</t>
  </si>
  <si>
    <t>マツオ　クニヒロ</t>
  </si>
  <si>
    <t>マツオ　ケンイチ</t>
  </si>
  <si>
    <t>マツシタ　タテオ</t>
  </si>
  <si>
    <t>マツシタ　リヨウガ</t>
  </si>
  <si>
    <t>マツドウ　アツシ</t>
  </si>
  <si>
    <t>マツバラ　ヒロユキ</t>
  </si>
  <si>
    <t>マツバラ　マサシ</t>
  </si>
  <si>
    <t>マツモト　ユウキ</t>
  </si>
  <si>
    <t>マツヨシ　ヒロマサ</t>
  </si>
  <si>
    <t>ミウラ　ケンタロウ</t>
  </si>
  <si>
    <t>R010281804</t>
  </si>
  <si>
    <t>三浦　建人</t>
  </si>
  <si>
    <t>ミウラ　ケント</t>
  </si>
  <si>
    <t>ミウラ　テツロウ</t>
  </si>
  <si>
    <t>ミウラ　ユウダイ</t>
  </si>
  <si>
    <t>ミエノ　ヒデト</t>
  </si>
  <si>
    <t>ミズシマ　ヨシノリ</t>
  </si>
  <si>
    <t>ミタライ　ユウタ</t>
  </si>
  <si>
    <t>ミトマ　シンヤ</t>
  </si>
  <si>
    <t>ミハラ　マサヤ</t>
  </si>
  <si>
    <t>R010306451</t>
  </si>
  <si>
    <t>宮川　大志</t>
  </si>
  <si>
    <t>ミヤカワ　タイシ</t>
  </si>
  <si>
    <t>ミヤザキ　トモマサ</t>
  </si>
  <si>
    <t>ムナオカ　リョウジ</t>
  </si>
  <si>
    <t>R010247786</t>
  </si>
  <si>
    <t>宗岡　胡桃</t>
  </si>
  <si>
    <t>ムラカミ　カレン</t>
  </si>
  <si>
    <t>R010314806</t>
  </si>
  <si>
    <t>村上　煌誠</t>
  </si>
  <si>
    <t>ムラカミ　コウセイ</t>
  </si>
  <si>
    <t>R010313763</t>
  </si>
  <si>
    <t>村上　瑳彩</t>
  </si>
  <si>
    <t>ムラカミ　サアヤ</t>
  </si>
  <si>
    <t>ムラカミ　ヨウヘイ</t>
  </si>
  <si>
    <t>ムラモト　ヒカル</t>
  </si>
  <si>
    <t>ムラヤ　ユウイチ</t>
  </si>
  <si>
    <t>ムラヤマ　タケシ</t>
  </si>
  <si>
    <t>R010314810</t>
  </si>
  <si>
    <t>用松　聖登</t>
  </si>
  <si>
    <t>モチマツ　マサト</t>
  </si>
  <si>
    <t>R010306448</t>
  </si>
  <si>
    <t>元木　勇太</t>
  </si>
  <si>
    <t>モトキ　ユウタ</t>
  </si>
  <si>
    <t>モトノ　ヒデタカ</t>
  </si>
  <si>
    <t>モリ　キョウコ</t>
  </si>
  <si>
    <t>モリ　リト</t>
  </si>
  <si>
    <t>モリ　リュウジ</t>
  </si>
  <si>
    <t>R010281811</t>
  </si>
  <si>
    <t>森崎　敬三</t>
  </si>
  <si>
    <t>モリサキ　ケイゾウ</t>
  </si>
  <si>
    <t>モリサキ　ルナ</t>
  </si>
  <si>
    <t>R010261595</t>
  </si>
  <si>
    <t>森迫　遥希</t>
  </si>
  <si>
    <t>モリシタ　セイゴ</t>
  </si>
  <si>
    <t>R010259432</t>
  </si>
  <si>
    <t>森永　和彦</t>
  </si>
  <si>
    <t>モリナガ　カズヒコ</t>
  </si>
  <si>
    <t>ヤサカ　ナオキ</t>
  </si>
  <si>
    <t>ヤサカ　ヒデハル</t>
  </si>
  <si>
    <t>ヤスナミ　トシヒデ</t>
  </si>
  <si>
    <t>R010314816</t>
  </si>
  <si>
    <t>矢田　彩都</t>
  </si>
  <si>
    <t>ヤダ　アヤト</t>
  </si>
  <si>
    <t>R010281882</t>
  </si>
  <si>
    <t>矢野　巽也</t>
  </si>
  <si>
    <t>ヤノ　タツヤ</t>
  </si>
  <si>
    <t>R010255171</t>
  </si>
  <si>
    <t>矢野　十央南</t>
  </si>
  <si>
    <t>ヤノ　トオナ</t>
  </si>
  <si>
    <t>R010281830</t>
  </si>
  <si>
    <t>矢野　譲</t>
  </si>
  <si>
    <t>ヤノ　ユズル</t>
  </si>
  <si>
    <t>ヤマサキ　ソウキ</t>
  </si>
  <si>
    <t>ヤマサキ　タケシ</t>
  </si>
  <si>
    <t>R010248576</t>
  </si>
  <si>
    <t>山下　瞬亮</t>
  </si>
  <si>
    <t>ヤマシタ　シュンスケ</t>
  </si>
  <si>
    <t>ヤマダ　ヒロカズ</t>
  </si>
  <si>
    <t>ヤマネ　ユウジ</t>
  </si>
  <si>
    <t>ヤマモト　カズオ</t>
  </si>
  <si>
    <t>ヤマモト　カズヒロ</t>
  </si>
  <si>
    <t>ヤマモト　コウヘイ</t>
  </si>
  <si>
    <t>ヤマモト　シンノスケ</t>
  </si>
  <si>
    <t>ヤマモト　ジュンペイ</t>
  </si>
  <si>
    <t>R010281871</t>
  </si>
  <si>
    <t>山本　青</t>
  </si>
  <si>
    <t>ヤマモト　ジョウ</t>
  </si>
  <si>
    <t>R010313746</t>
  </si>
  <si>
    <t>ヤマモト　タカフミ</t>
  </si>
  <si>
    <t>ヤマヤ　シュウト</t>
  </si>
  <si>
    <t>ヤワタ　ユウイチ</t>
  </si>
  <si>
    <t>ユキノ　チカ</t>
  </si>
  <si>
    <t>R010261479</t>
  </si>
  <si>
    <t>柚木　貴博</t>
  </si>
  <si>
    <t>ユノキ　タカヒロ</t>
  </si>
  <si>
    <t>ヨコオ　シゲル</t>
  </si>
  <si>
    <t>R010281855</t>
  </si>
  <si>
    <t>吉川　哲平</t>
  </si>
  <si>
    <t>ヨシカワ　テッペイ</t>
  </si>
  <si>
    <t>ヨシカワ　ミサト</t>
  </si>
  <si>
    <t>ヨシタケ　ツヨシ</t>
  </si>
  <si>
    <t>ヨシノ　コウジ</t>
  </si>
  <si>
    <t>ヨシハラ　タカキ</t>
  </si>
  <si>
    <t>ヨシマツ　タケシ</t>
  </si>
  <si>
    <t>ヨシムラ　ハジメ</t>
  </si>
  <si>
    <t>ヨシモト　ショウゾウ</t>
  </si>
  <si>
    <t>ヨネダ　ショウジ</t>
  </si>
  <si>
    <t>ワカバヤシ　アユム</t>
  </si>
  <si>
    <t>R010281870</t>
  </si>
  <si>
    <t>若林　大暉</t>
  </si>
  <si>
    <t>ワカバヤシ　ダイキ</t>
  </si>
  <si>
    <t>ワタナベ　タカヤ</t>
  </si>
  <si>
    <t>ワタナベ　マサノリ</t>
  </si>
  <si>
    <t>ワタナベ　ユウスケ</t>
  </si>
  <si>
    <t>R010306435</t>
  </si>
  <si>
    <t>和田　優作</t>
  </si>
  <si>
    <t>ワダ　ユウサク</t>
  </si>
  <si>
    <t>＜抽選方法＞</t>
    <rPh sb="3" eb="5">
      <t>ホウホウ</t>
    </rPh>
    <phoneticPr fontId="5"/>
  </si>
  <si>
    <t>(まず、大分地区以外が全パートに入る事が前提で、開会式がある場合は、A1を選手宣誓とする。)</t>
    <rPh sb="4" eb="6">
      <t>オオイタ</t>
    </rPh>
    <rPh sb="6" eb="8">
      <t>チク</t>
    </rPh>
    <rPh sb="8" eb="10">
      <t>イガイ</t>
    </rPh>
    <rPh sb="11" eb="12">
      <t>ゼン</t>
    </rPh>
    <rPh sb="16" eb="17">
      <t>ハイ</t>
    </rPh>
    <rPh sb="18" eb="19">
      <t>コト</t>
    </rPh>
    <rPh sb="20" eb="22">
      <t>ゼンテイ</t>
    </rPh>
    <rPh sb="24" eb="27">
      <t>カイカイシキ</t>
    </rPh>
    <rPh sb="30" eb="32">
      <t>バアイ</t>
    </rPh>
    <phoneticPr fontId="5"/>
  </si>
  <si>
    <t>２チーム出場の地区が、第1代表と決勝戦まで対戦しないように、左右のパートに分かれるように抽選。</t>
    <rPh sb="4" eb="6">
      <t>シュツジョウ</t>
    </rPh>
    <rPh sb="7" eb="9">
      <t>チク</t>
    </rPh>
    <rPh sb="11" eb="12">
      <t>ダイ</t>
    </rPh>
    <rPh sb="13" eb="15">
      <t>ダイヒョウ</t>
    </rPh>
    <rPh sb="16" eb="19">
      <t>ケッショウセン</t>
    </rPh>
    <rPh sb="21" eb="23">
      <t>タイセン</t>
    </rPh>
    <rPh sb="30" eb="32">
      <t>サユウ</t>
    </rPh>
    <rPh sb="37" eb="38">
      <t>ワ</t>
    </rPh>
    <rPh sb="44" eb="46">
      <t>チュウセン</t>
    </rPh>
    <phoneticPr fontId="5"/>
  </si>
  <si>
    <t>Bブロック 9地区の各第1代表が8パートに分かれるように抽選。</t>
    <rPh sb="7" eb="9">
      <t>チク</t>
    </rPh>
    <rPh sb="21" eb="22">
      <t>ワ</t>
    </rPh>
    <rPh sb="28" eb="30">
      <t>チュウセン</t>
    </rPh>
    <phoneticPr fontId="5"/>
  </si>
  <si>
    <t>MC</t>
    <phoneticPr fontId="5"/>
  </si>
  <si>
    <t>Welfare
Officer</t>
    <phoneticPr fontId="5"/>
  </si>
  <si>
    <t>記録</t>
    <rPh sb="0" eb="2">
      <t>キロク</t>
    </rPh>
    <phoneticPr fontId="5"/>
  </si>
  <si>
    <t>試合開始10分前までに選手証・指導者証と本人の確認を本部にて完了しておくこと。</t>
    <rPh sb="20" eb="22">
      <t>ホンニン</t>
    </rPh>
    <rPh sb="26" eb="28">
      <t>ホンブ</t>
    </rPh>
    <phoneticPr fontId="64"/>
  </si>
  <si>
    <t>○戦術的指示はテクニカルエリア内からその都度ただ1人の引率指導者が伝えることができる。</t>
    <phoneticPr fontId="64"/>
  </si>
  <si>
    <t xml:space="preserve">事務手続き簡素化のため，大会組合せ・日程等の連絡は，大分県サッカー協会HPで行う。
</t>
    <phoneticPr fontId="64"/>
  </si>
  <si>
    <t>一般社団法人　大分県サッカー協会　代表理事　大場俊二</t>
    <rPh sb="17" eb="19">
      <t>ダイヒョウ</t>
    </rPh>
    <rPh sb="19" eb="21">
      <t>リジ</t>
    </rPh>
    <rPh sb="22" eb="24">
      <t>オオバ</t>
    </rPh>
    <rPh sb="24" eb="26">
      <t>シュンジ</t>
    </rPh>
    <phoneticPr fontId="64"/>
  </si>
  <si>
    <t>9:20</t>
    <phoneticPr fontId="5"/>
  </si>
  <si>
    <t xml:space="preserve">MCM(各会場第1試合ﾊﾟｰﾄ)
</t>
    <rPh sb="7" eb="8">
      <t>ダイ</t>
    </rPh>
    <rPh sb="9" eb="11">
      <t>シアイ</t>
    </rPh>
    <phoneticPr fontId="5"/>
  </si>
  <si>
    <t>MCM(各会場第2試合ﾊﾟｰﾄ)</t>
  </si>
  <si>
    <t>①10:30　②11:30　③12:30　④13:30　⑤14:30　⑥15:30</t>
    <phoneticPr fontId="5"/>
  </si>
  <si>
    <t>明野西ＪＦＣ</t>
  </si>
  <si>
    <t>由布川サッカースポーツ少年団</t>
  </si>
  <si>
    <t>カティオーラフットボールクラブＵ－１２</t>
  </si>
  <si>
    <t>大分トリニータＵ－１２</t>
  </si>
  <si>
    <t>明野東サッカースポーツ少年団</t>
  </si>
  <si>
    <t>大道サッカースポーツ少年団</t>
  </si>
  <si>
    <t>ドリームキッズフットボールクラブ</t>
  </si>
  <si>
    <t>リノスフットボールクラブ　Ｕ－１２</t>
  </si>
  <si>
    <t>会場設営</t>
    <rPh sb="0" eb="2">
      <t>カイジョウ</t>
    </rPh>
    <rPh sb="2" eb="4">
      <t>セツエイ</t>
    </rPh>
    <phoneticPr fontId="5"/>
  </si>
  <si>
    <t>10:20</t>
    <phoneticPr fontId="5"/>
  </si>
  <si>
    <t>＜会場＞</t>
    <rPh sb="1" eb="3">
      <t>カイジョウ</t>
    </rPh>
    <phoneticPr fontId="5"/>
  </si>
  <si>
    <t>Match No:33</t>
  </si>
  <si>
    <t>Match No:29</t>
  </si>
  <si>
    <t>Match No:31</t>
  </si>
  <si>
    <t>Match No:25</t>
  </si>
  <si>
    <t>Match No:26</t>
  </si>
  <si>
    <t>Match No:27</t>
  </si>
  <si>
    <t>Match No:28</t>
  </si>
  <si>
    <t>Match No:32</t>
  </si>
  <si>
    <t>Match No:30</t>
  </si>
  <si>
    <t>M N:26 負</t>
  </si>
  <si>
    <t>M N:27 負</t>
  </si>
  <si>
    <t>M N:28 負</t>
  </si>
  <si>
    <t>選手名漢字</t>
  </si>
  <si>
    <t>選手名カナ</t>
  </si>
  <si>
    <t>ＦＣ　ＷＡＹＳ</t>
  </si>
  <si>
    <t>金子　周太</t>
  </si>
  <si>
    <t>カネコ　シュウタ</t>
  </si>
  <si>
    <t>吉井　琉輝斗</t>
  </si>
  <si>
    <t>ヨシイ　ルキト</t>
  </si>
  <si>
    <t>松崎　壮悟</t>
  </si>
  <si>
    <t>マツザキ　ショウゴ</t>
  </si>
  <si>
    <t>ナガオカ　ソラ</t>
  </si>
  <si>
    <t>伊藤　天雅</t>
  </si>
  <si>
    <t>イトウ　テンマ</t>
  </si>
  <si>
    <t>山本　璃彩</t>
  </si>
  <si>
    <t>ヤマモト　リア</t>
  </si>
  <si>
    <t>植村　清十郎</t>
  </si>
  <si>
    <t>ウエムラ　セイジュウロウ</t>
  </si>
  <si>
    <t>内藤　士穏</t>
  </si>
  <si>
    <t>ナイトウ　シオン</t>
  </si>
  <si>
    <t>立脇　蓮惟</t>
  </si>
  <si>
    <t>タテワキ　レイ</t>
  </si>
  <si>
    <t>千怒サッカースポーツ少年団</t>
  </si>
  <si>
    <t>仲　凌生</t>
  </si>
  <si>
    <t>ナカ　リョウセイ</t>
  </si>
  <si>
    <t>深津　空斗</t>
  </si>
  <si>
    <t>フカヅ　ソラト</t>
  </si>
  <si>
    <t>岩丸　陽斗</t>
  </si>
  <si>
    <t>イワマル　ハルト</t>
  </si>
  <si>
    <t>上村　叶多</t>
  </si>
  <si>
    <t>カミムラ　カナタ</t>
  </si>
  <si>
    <t>別府フットボールクラブ．ミネルバＵ－１２</t>
  </si>
  <si>
    <t>永路　拓実</t>
  </si>
  <si>
    <t>エイロ　タクミ</t>
  </si>
  <si>
    <t>後藤　睦希</t>
  </si>
  <si>
    <t>ゴトウ　ムツキ</t>
  </si>
  <si>
    <t>佐藤　悠人</t>
  </si>
  <si>
    <t>中倉　舞姫</t>
  </si>
  <si>
    <t>ナカクラ　マイ</t>
  </si>
  <si>
    <t>児玉　龍飛</t>
  </si>
  <si>
    <t>コダマ　リント</t>
  </si>
  <si>
    <t>渡辺　陽斗</t>
  </si>
  <si>
    <t>ワタナベ　ヒナト</t>
  </si>
  <si>
    <t>山村　悠己</t>
  </si>
  <si>
    <t>ヤマムラ　ユウキ</t>
  </si>
  <si>
    <t>渡辺　敢太</t>
  </si>
  <si>
    <t>ワタナベ　カンタ</t>
  </si>
  <si>
    <t>田島　李凰</t>
  </si>
  <si>
    <t>長野　新</t>
  </si>
  <si>
    <t>ナガノ　アラタ</t>
  </si>
  <si>
    <t>阿部　渚</t>
  </si>
  <si>
    <t>アベ　ナギサ</t>
  </si>
  <si>
    <t>長井　瑠之介</t>
  </si>
  <si>
    <t>ナガイ　リュウノスケ</t>
  </si>
  <si>
    <t>岩坂　遥斗</t>
  </si>
  <si>
    <t>イワサカ　ハルト</t>
  </si>
  <si>
    <t>大倉　舜佑</t>
  </si>
  <si>
    <t>オオクラ　シュンスケ</t>
  </si>
  <si>
    <t>竹尾　理志</t>
  </si>
  <si>
    <t>タケオ　サトシ</t>
  </si>
  <si>
    <t>足立　悠真</t>
  </si>
  <si>
    <t>アダチ　ユウマ</t>
  </si>
  <si>
    <t>ヒガシ　タクミ</t>
  </si>
  <si>
    <t>米丸　碧</t>
  </si>
  <si>
    <t>ヨネマル　アオ</t>
  </si>
  <si>
    <t>松本　凌茉</t>
  </si>
  <si>
    <t>マツモト　リョウマ</t>
  </si>
  <si>
    <t>ＦＣ安岐</t>
  </si>
  <si>
    <t>上野　海翔</t>
  </si>
  <si>
    <t>ウエノ　カイト</t>
  </si>
  <si>
    <t>木村　翔瑛</t>
  </si>
  <si>
    <t>キムラ　ヒエイ</t>
  </si>
  <si>
    <t>ハサコ　リク</t>
  </si>
  <si>
    <t>サトウ　ユウセイ</t>
  </si>
  <si>
    <t>今田　優太</t>
  </si>
  <si>
    <t>イマダ　ユウタ</t>
  </si>
  <si>
    <t>衛藤　庵</t>
  </si>
  <si>
    <t>エトウ　イオリ</t>
  </si>
  <si>
    <t>市浜レッドソックス</t>
  </si>
  <si>
    <t>カジワラ　コウタ</t>
  </si>
  <si>
    <t>県央おおのＪＦＣ</t>
  </si>
  <si>
    <t>ゴトウ　ソウマ</t>
  </si>
  <si>
    <t>得丸　宗志</t>
  </si>
  <si>
    <t>トクマル　ソウシ</t>
  </si>
  <si>
    <t>太陽スポーツクラブ大分西</t>
  </si>
  <si>
    <t>二宮　拓篤</t>
  </si>
  <si>
    <t>ニノミヤ　タクマ</t>
  </si>
  <si>
    <t>田辺　逞登</t>
  </si>
  <si>
    <t>タナベ　タクト</t>
  </si>
  <si>
    <t>南里　仁士</t>
  </si>
  <si>
    <t>ナンリ　ヒロト</t>
  </si>
  <si>
    <t>赤峰　功己</t>
  </si>
  <si>
    <t>アカミネ　イサミ</t>
  </si>
  <si>
    <t>吉田　光</t>
  </si>
  <si>
    <t>ヨシダ　ヒカル</t>
  </si>
  <si>
    <t>末成　隼</t>
  </si>
  <si>
    <t>スエナリ　シュン</t>
  </si>
  <si>
    <t>山口　優希翔</t>
  </si>
  <si>
    <t>ヤマグチ　ユキト</t>
  </si>
  <si>
    <t>菅　晃太朗</t>
  </si>
  <si>
    <t>カン　コウタロウ</t>
  </si>
  <si>
    <t>都築　正虎</t>
  </si>
  <si>
    <t>ツヅキ　マサトラ</t>
  </si>
  <si>
    <t>赤石　拓翔</t>
  </si>
  <si>
    <t>アカイシ　タクト</t>
  </si>
  <si>
    <t>木付　晴翔</t>
  </si>
  <si>
    <t>キツキ　ハルト</t>
  </si>
  <si>
    <t>ＦＣ中津ジュニア</t>
  </si>
  <si>
    <t>R010209402</t>
  </si>
  <si>
    <t>三浦　龍一</t>
  </si>
  <si>
    <t>ミウラ　リュウイチ</t>
  </si>
  <si>
    <t>R010390125</t>
  </si>
  <si>
    <t>R009624779</t>
  </si>
  <si>
    <t>株根　蒼太</t>
  </si>
  <si>
    <t>カブネ　ソウタ</t>
  </si>
  <si>
    <t>R010376296</t>
  </si>
  <si>
    <t>木島　悠</t>
  </si>
  <si>
    <t>キジマ　ユウ</t>
  </si>
  <si>
    <t>R010376355</t>
  </si>
  <si>
    <t>合嶋　雄大</t>
  </si>
  <si>
    <t>ゴウジマ　ユウダイ</t>
  </si>
  <si>
    <t>R010356115</t>
  </si>
  <si>
    <t>榊　謙治</t>
  </si>
  <si>
    <t>サカキ　ケンジ</t>
  </si>
  <si>
    <t>R010382660</t>
  </si>
  <si>
    <t>佐藤　祐輔</t>
  </si>
  <si>
    <t>R004326535</t>
  </si>
  <si>
    <t>信田　卓也</t>
  </si>
  <si>
    <t>シノダ　タクヤ</t>
  </si>
  <si>
    <t>R010376284</t>
  </si>
  <si>
    <t>瀬戸口　雄</t>
  </si>
  <si>
    <t>セトグチ　ユウ</t>
  </si>
  <si>
    <t>R010382275</t>
  </si>
  <si>
    <t>R010376274</t>
  </si>
  <si>
    <t>永井　翔也</t>
  </si>
  <si>
    <t>ナガイ　ショウヤ</t>
  </si>
  <si>
    <t>R006148515</t>
  </si>
  <si>
    <t>西山　文朗</t>
  </si>
  <si>
    <t>ニシヤマ　フミアキ</t>
  </si>
  <si>
    <t>R006147048</t>
  </si>
  <si>
    <t>姫野　一陽</t>
  </si>
  <si>
    <t>ヒメノ　イチヨウ</t>
  </si>
  <si>
    <t>R006011372</t>
  </si>
  <si>
    <t>松山　大二郎</t>
  </si>
  <si>
    <t>マツヤマ　ダイジロウ</t>
  </si>
  <si>
    <t>R010363046</t>
  </si>
  <si>
    <t>山崎　雅人</t>
  </si>
  <si>
    <t>ヤマザキ　マサト</t>
  </si>
  <si>
    <t>R010396556</t>
  </si>
  <si>
    <t>阿賀　匠</t>
  </si>
  <si>
    <t>アガ　タクミ</t>
  </si>
  <si>
    <t>R010386813</t>
  </si>
  <si>
    <t>秋月　来望</t>
  </si>
  <si>
    <t>アキヅキ　クルミ</t>
  </si>
  <si>
    <t>R010376364</t>
  </si>
  <si>
    <t>秋吉　慶汰</t>
  </si>
  <si>
    <t>アキヨシ　ケイタ</t>
  </si>
  <si>
    <t>R010376316</t>
  </si>
  <si>
    <t>安達　勉</t>
  </si>
  <si>
    <t>アダチ　ツトム</t>
  </si>
  <si>
    <t>R010396578</t>
  </si>
  <si>
    <t>足立　尚隆</t>
  </si>
  <si>
    <t>アダチ　ナオタカ</t>
  </si>
  <si>
    <t>R010376330</t>
  </si>
  <si>
    <t>阿南　広太朗</t>
  </si>
  <si>
    <t>アナン　コウタロウ</t>
  </si>
  <si>
    <t>R010352942</t>
  </si>
  <si>
    <t>姉川　光一朗</t>
  </si>
  <si>
    <t>アネカワ　コウイチロウ</t>
  </si>
  <si>
    <t>R010388048</t>
  </si>
  <si>
    <t>阿部　佑京</t>
  </si>
  <si>
    <t>アベ　ウキョウ</t>
  </si>
  <si>
    <t>R010350226</t>
  </si>
  <si>
    <t>荒川　幸大</t>
  </si>
  <si>
    <t>アラカワ　コウタ</t>
  </si>
  <si>
    <t>R010396506</t>
  </si>
  <si>
    <t>有田　伸司</t>
  </si>
  <si>
    <t>アリタ　シンジ</t>
  </si>
  <si>
    <t>R010376343</t>
  </si>
  <si>
    <t>有次　奏太朗</t>
  </si>
  <si>
    <t>アリツグ　ソウタロウ</t>
  </si>
  <si>
    <t>R010356117</t>
  </si>
  <si>
    <t>安達　帆海</t>
  </si>
  <si>
    <t>アンダチ　ホノミ</t>
  </si>
  <si>
    <t>R010357150</t>
  </si>
  <si>
    <t>安藤　幸志郎</t>
  </si>
  <si>
    <t>アンドウ　コウシロウ</t>
  </si>
  <si>
    <t>R010376281</t>
  </si>
  <si>
    <t>安藤　繁</t>
  </si>
  <si>
    <t>アンドウ　シゲル</t>
  </si>
  <si>
    <t>アンドウ　ヤスノリ</t>
  </si>
  <si>
    <t>R010416216</t>
  </si>
  <si>
    <t>安藤　梨愛</t>
  </si>
  <si>
    <t>アンドウ　リア</t>
  </si>
  <si>
    <t>R010391943</t>
  </si>
  <si>
    <t>池田　洋明</t>
  </si>
  <si>
    <t>イケダ　ヒロアキ</t>
  </si>
  <si>
    <t>R010390444</t>
  </si>
  <si>
    <t>池邉　楓</t>
  </si>
  <si>
    <t>イケベ　カエデ</t>
  </si>
  <si>
    <t>R010347367</t>
  </si>
  <si>
    <t>諫山　鮎斗</t>
  </si>
  <si>
    <t>イサヤマ　アユト</t>
  </si>
  <si>
    <t>R010352993</t>
  </si>
  <si>
    <t>石川　高光</t>
  </si>
  <si>
    <t>イシカワ　タカミツ</t>
  </si>
  <si>
    <t>R010376272</t>
  </si>
  <si>
    <t>伊藤　賢治</t>
  </si>
  <si>
    <t>イトウ　ケンジ</t>
  </si>
  <si>
    <t>R010386818</t>
  </si>
  <si>
    <t>伊藤　聖菜</t>
  </si>
  <si>
    <t>イトウ　セナ</t>
  </si>
  <si>
    <t>伊藤　大翔</t>
  </si>
  <si>
    <t>イノウエ　リョウタ</t>
  </si>
  <si>
    <t>R010376263</t>
  </si>
  <si>
    <t>井上　航</t>
  </si>
  <si>
    <t>イノウエ　ワタル</t>
  </si>
  <si>
    <t>R010396526</t>
  </si>
  <si>
    <t>猪原　虹輝</t>
  </si>
  <si>
    <t>イハラ　コウキ</t>
  </si>
  <si>
    <t>R010376292</t>
  </si>
  <si>
    <t>岩田　拓也</t>
  </si>
  <si>
    <t>イワタ　タクヤ</t>
  </si>
  <si>
    <t>R010391923</t>
  </si>
  <si>
    <t>R010415888</t>
  </si>
  <si>
    <t>上田　源典</t>
  </si>
  <si>
    <t>ウエダ　モトフミ</t>
  </si>
  <si>
    <t>上田　龍汰</t>
  </si>
  <si>
    <t>ウエダ　リュウタ</t>
  </si>
  <si>
    <t>R010396521</t>
  </si>
  <si>
    <t>内山　隆寛</t>
  </si>
  <si>
    <t>ウチヤマ　タカヒロ</t>
  </si>
  <si>
    <t>R010357998</t>
  </si>
  <si>
    <t>浦邊　剛史</t>
  </si>
  <si>
    <t>ウラベ　ツヨシ</t>
  </si>
  <si>
    <t>エトウ　コウタ</t>
  </si>
  <si>
    <t>R010396518</t>
  </si>
  <si>
    <t>江藤　真一</t>
  </si>
  <si>
    <t>エトウ　シンイチ</t>
  </si>
  <si>
    <t>R010352962</t>
  </si>
  <si>
    <t>遠藤　優翔</t>
  </si>
  <si>
    <t>エンドウ　ユウト</t>
  </si>
  <si>
    <t>R010351382</t>
  </si>
  <si>
    <t>大久保　優心</t>
  </si>
  <si>
    <t>オオクボ　ユウシン</t>
  </si>
  <si>
    <t>R010376317</t>
  </si>
  <si>
    <t>大津　匠司</t>
  </si>
  <si>
    <t>オオツ　ショウジ</t>
  </si>
  <si>
    <t>R010396538</t>
  </si>
  <si>
    <t>大塚　紀彰</t>
  </si>
  <si>
    <t>オオツカ　キショウ</t>
  </si>
  <si>
    <t>R010415890</t>
  </si>
  <si>
    <t>大塚　涼平</t>
  </si>
  <si>
    <t>オオツカ　リョウヘイ</t>
  </si>
  <si>
    <t>R010390431</t>
  </si>
  <si>
    <t>大友　響姫</t>
  </si>
  <si>
    <t>オオトモ　ヒビキ</t>
  </si>
  <si>
    <t>R010376290</t>
  </si>
  <si>
    <t>岡本　英明</t>
  </si>
  <si>
    <t>オカモト　ヒデアキ</t>
  </si>
  <si>
    <t>奥薗　将太</t>
  </si>
  <si>
    <t>オクゾノ　ショウタ</t>
  </si>
  <si>
    <t>R010351378</t>
  </si>
  <si>
    <t>奥田　翔太</t>
  </si>
  <si>
    <t>オクダ　ショウタ</t>
  </si>
  <si>
    <t>R010388059</t>
  </si>
  <si>
    <t>小野　翔希斗</t>
  </si>
  <si>
    <t>オノ　トキト</t>
  </si>
  <si>
    <t>R010376315</t>
  </si>
  <si>
    <t>小野　祥弘</t>
  </si>
  <si>
    <t>オノ　ヨシヒロ</t>
  </si>
  <si>
    <t>オン　ビョンフン</t>
  </si>
  <si>
    <t>R010388040</t>
  </si>
  <si>
    <t>甲斐　照</t>
  </si>
  <si>
    <t>カイ　アキラ</t>
  </si>
  <si>
    <t>R010390414</t>
  </si>
  <si>
    <t>R010396549</t>
  </si>
  <si>
    <t>加藤　晴久</t>
  </si>
  <si>
    <t>カトウ　ハルヒサ</t>
  </si>
  <si>
    <t>R010396582</t>
  </si>
  <si>
    <t>金田　智朗</t>
  </si>
  <si>
    <t>カネダ　トモアキ</t>
  </si>
  <si>
    <t>R010376294</t>
  </si>
  <si>
    <t>株根　聖太</t>
  </si>
  <si>
    <t>カブネ　キヨタ</t>
  </si>
  <si>
    <t>R010390422</t>
  </si>
  <si>
    <t>河野　桐也</t>
  </si>
  <si>
    <t>カワノ　トウヤ</t>
  </si>
  <si>
    <t>R010396562</t>
  </si>
  <si>
    <t>川野　迅翔</t>
  </si>
  <si>
    <t>カワノ　ハヤト</t>
  </si>
  <si>
    <t>R010376293</t>
  </si>
  <si>
    <t>河野　仁志</t>
  </si>
  <si>
    <t>カワノ　ヒトシ</t>
  </si>
  <si>
    <t>R010388050</t>
  </si>
  <si>
    <t>川端　大翔</t>
  </si>
  <si>
    <t>カワバタ　ヒロト</t>
  </si>
  <si>
    <t>R010352999</t>
  </si>
  <si>
    <t>川邉　裕也</t>
  </si>
  <si>
    <t>カワベ　ユウヤ</t>
  </si>
  <si>
    <t>R010396560</t>
  </si>
  <si>
    <t>河村　長雲</t>
  </si>
  <si>
    <t>カワムラ　チョウウン</t>
  </si>
  <si>
    <t>R010396525</t>
  </si>
  <si>
    <t>河村　陽平</t>
  </si>
  <si>
    <t>カワムラ　ヨウヘイ</t>
  </si>
  <si>
    <t>R010396529</t>
  </si>
  <si>
    <t>神田　武志</t>
  </si>
  <si>
    <t>R010396543</t>
  </si>
  <si>
    <t>木下　広貴</t>
  </si>
  <si>
    <t>キノシタ　コウキ</t>
  </si>
  <si>
    <t>R010356143</t>
  </si>
  <si>
    <t>木原　将和</t>
  </si>
  <si>
    <t>キハラ　マサカズ</t>
  </si>
  <si>
    <t>R010351368</t>
  </si>
  <si>
    <t>楠元　和馬</t>
  </si>
  <si>
    <t>クスモト　カズマ</t>
  </si>
  <si>
    <t>R010396522</t>
  </si>
  <si>
    <t>工藤　竜世</t>
  </si>
  <si>
    <t>R010376344</t>
  </si>
  <si>
    <t>久保　翔太郎</t>
  </si>
  <si>
    <t>クボ　ショウタロウ</t>
  </si>
  <si>
    <t>R010352939</t>
  </si>
  <si>
    <t>久保田　智史</t>
  </si>
  <si>
    <t>クボタ　サトシ</t>
  </si>
  <si>
    <t>R010376319</t>
  </si>
  <si>
    <t>河野　匡視</t>
  </si>
  <si>
    <t>コウノ　マサシ</t>
  </si>
  <si>
    <t>R010376271</t>
  </si>
  <si>
    <t>古賀　嵐士</t>
  </si>
  <si>
    <t>コガ　アラシ</t>
  </si>
  <si>
    <t>R010396510</t>
  </si>
  <si>
    <t>古賀　時宗</t>
  </si>
  <si>
    <t>コガ　トキムネ</t>
  </si>
  <si>
    <t>R010386815</t>
  </si>
  <si>
    <t>児玉　一穂</t>
  </si>
  <si>
    <t>コダマ　イチホ</t>
  </si>
  <si>
    <t>R010347385</t>
  </si>
  <si>
    <t>小山　大輝</t>
  </si>
  <si>
    <t>コヤマ　タイキ</t>
  </si>
  <si>
    <t>R010376362</t>
  </si>
  <si>
    <t>近藤　將平</t>
  </si>
  <si>
    <t>コンドウ　ショウヘイ</t>
  </si>
  <si>
    <t>R010354802</t>
  </si>
  <si>
    <t>後藤　圭梧</t>
  </si>
  <si>
    <t>ゴトウ　ケイゴ</t>
  </si>
  <si>
    <t>後藤　大輝</t>
  </si>
  <si>
    <t>R010388052</t>
  </si>
  <si>
    <t>坂本　晴陽</t>
  </si>
  <si>
    <t>サカモト　ハル</t>
  </si>
  <si>
    <t>R010421577</t>
  </si>
  <si>
    <t>坂本　陸</t>
  </si>
  <si>
    <t>サカモト　リク</t>
  </si>
  <si>
    <t>サトウ　カイト</t>
  </si>
  <si>
    <t>R010396579</t>
  </si>
  <si>
    <t>佐藤　健司</t>
  </si>
  <si>
    <t>サトウ　ケンジ</t>
  </si>
  <si>
    <t>R010396604</t>
  </si>
  <si>
    <t>佐藤　耕輔</t>
  </si>
  <si>
    <t>R010396593</t>
  </si>
  <si>
    <t>R010376310</t>
  </si>
  <si>
    <t>佐藤　雅斗吏</t>
  </si>
  <si>
    <t>サトウ　マサトシ</t>
  </si>
  <si>
    <t>R010391925</t>
  </si>
  <si>
    <t>佐藤　祐介</t>
  </si>
  <si>
    <t>R010396516</t>
  </si>
  <si>
    <t>佐藤　侑大</t>
  </si>
  <si>
    <t>サトウ　ユウタ</t>
  </si>
  <si>
    <t>R010396509</t>
  </si>
  <si>
    <t>佐藤　蓮太</t>
  </si>
  <si>
    <t>サトウ　レンタ</t>
  </si>
  <si>
    <t>R010376331</t>
  </si>
  <si>
    <t>澤田　弘教</t>
  </si>
  <si>
    <t>サワダ　ヒロノリ</t>
  </si>
  <si>
    <t>R010396568</t>
  </si>
  <si>
    <t>澤永　悠樹</t>
  </si>
  <si>
    <t>サワナガ　ユウキ</t>
  </si>
  <si>
    <t>R010391920</t>
  </si>
  <si>
    <t>重松　剛史</t>
  </si>
  <si>
    <t>シゲマツ　タケシ</t>
  </si>
  <si>
    <t>R010421576</t>
  </si>
  <si>
    <t>清水　碧倭</t>
  </si>
  <si>
    <t>シミズ　ヘキヤ</t>
  </si>
  <si>
    <t>R010354788</t>
  </si>
  <si>
    <t>首藤　弘樹</t>
  </si>
  <si>
    <t>シュトウ　ヒロキ</t>
  </si>
  <si>
    <t>R010376326</t>
  </si>
  <si>
    <t>首藤　博貴</t>
  </si>
  <si>
    <t>R010376340</t>
  </si>
  <si>
    <t>首藤　正叡</t>
  </si>
  <si>
    <t>シュトウ　マサユキ</t>
  </si>
  <si>
    <t>R010356122</t>
  </si>
  <si>
    <t>首藤　航</t>
  </si>
  <si>
    <t>シュトウ　ワタル</t>
  </si>
  <si>
    <t>R010352971</t>
  </si>
  <si>
    <t>白石　琥太郎</t>
  </si>
  <si>
    <t>シライシ　コタロウ</t>
  </si>
  <si>
    <t>R010354662</t>
  </si>
  <si>
    <t>秦　琥太郎</t>
  </si>
  <si>
    <t>シン　コタロウ</t>
  </si>
  <si>
    <t>R010347368</t>
  </si>
  <si>
    <t>新原　優翔</t>
  </si>
  <si>
    <t>シンバル　マサト</t>
  </si>
  <si>
    <t>R010347371</t>
  </si>
  <si>
    <t>城野　雅翔</t>
  </si>
  <si>
    <t>ジョウノ　マサト</t>
  </si>
  <si>
    <t>R010356124</t>
  </si>
  <si>
    <t>隅田　波希</t>
  </si>
  <si>
    <t>スミタ　ナミキ</t>
  </si>
  <si>
    <t>R010352992</t>
  </si>
  <si>
    <t>関　翼</t>
  </si>
  <si>
    <t>セキ　ツバサ</t>
  </si>
  <si>
    <t>R010376369</t>
  </si>
  <si>
    <t>高月　隆成</t>
  </si>
  <si>
    <t>タカツキ　リュウセイ</t>
  </si>
  <si>
    <t>R010376358</t>
  </si>
  <si>
    <t>高野　賢吾</t>
  </si>
  <si>
    <t>タカノ　ケンゴ</t>
  </si>
  <si>
    <t>タカハシ　ソウタ</t>
  </si>
  <si>
    <t>R010352959</t>
  </si>
  <si>
    <t>髙橋　涼介</t>
  </si>
  <si>
    <t>タカハシ　リョウスケ</t>
  </si>
  <si>
    <t>タカモト　レイナ</t>
  </si>
  <si>
    <t>R010396504</t>
  </si>
  <si>
    <t>忠願寺　慶祐</t>
  </si>
  <si>
    <t>チュウガンジ　ケイスケ</t>
  </si>
  <si>
    <t>R010376298</t>
  </si>
  <si>
    <t>鶴田　和也</t>
  </si>
  <si>
    <t>ツルタ　カズヤ</t>
  </si>
  <si>
    <t>R010379064</t>
  </si>
  <si>
    <t>都甲　空</t>
  </si>
  <si>
    <t>トゴウ　ソラ</t>
  </si>
  <si>
    <t>R010376357</t>
  </si>
  <si>
    <t>戸髙　航汰</t>
  </si>
  <si>
    <t>トダカ　コウタ</t>
  </si>
  <si>
    <t>R010415910</t>
  </si>
  <si>
    <t>R010415915</t>
  </si>
  <si>
    <t>友永　弥</t>
  </si>
  <si>
    <t>トモナガ　ワタル</t>
  </si>
  <si>
    <t>R010396594</t>
  </si>
  <si>
    <t>中島　忠伸</t>
  </si>
  <si>
    <t>ナカシマ　タダノブ</t>
  </si>
  <si>
    <t>R010376280</t>
  </si>
  <si>
    <t>中渡瀬　真樹</t>
  </si>
  <si>
    <t>ナカワタセ　マキ</t>
  </si>
  <si>
    <t>R010376366</t>
  </si>
  <si>
    <t>長岡　範</t>
  </si>
  <si>
    <t>ナガオカ　ススム</t>
  </si>
  <si>
    <t>R010396535</t>
  </si>
  <si>
    <t>永松　正規</t>
  </si>
  <si>
    <t>ナガマツ　マサキ</t>
  </si>
  <si>
    <t>R010396501</t>
  </si>
  <si>
    <t>西田　翔</t>
  </si>
  <si>
    <t>ニシダ　ショウ</t>
  </si>
  <si>
    <t>R010390433</t>
  </si>
  <si>
    <t>庭瀬　元希</t>
  </si>
  <si>
    <t>ニワセ　ゲンキ</t>
  </si>
  <si>
    <t>R010376301</t>
  </si>
  <si>
    <t>野上　拳跳</t>
  </si>
  <si>
    <t>ノガミ　ケント</t>
  </si>
  <si>
    <t>R010396600</t>
  </si>
  <si>
    <t>野口　源若</t>
  </si>
  <si>
    <t>ノグチ　ゲンワ</t>
  </si>
  <si>
    <t>野田　啓佑</t>
  </si>
  <si>
    <t>R010352972</t>
  </si>
  <si>
    <t>間　勇翔</t>
  </si>
  <si>
    <t>ハザマ　ユウショウ</t>
  </si>
  <si>
    <t>R010376361</t>
  </si>
  <si>
    <t>橋本　淳平</t>
  </si>
  <si>
    <t>ハシモト　ジュンペイ</t>
  </si>
  <si>
    <t>R010396540</t>
  </si>
  <si>
    <t>橋本　壮旦</t>
  </si>
  <si>
    <t>ハシモト　ソウタ</t>
  </si>
  <si>
    <t>R010347358</t>
  </si>
  <si>
    <t>畑辺　康年</t>
  </si>
  <si>
    <t>ハタベ　ヤストシ</t>
  </si>
  <si>
    <t>R010376287</t>
  </si>
  <si>
    <t>羽田野　裕之</t>
  </si>
  <si>
    <t>ハダノ　ヒロユキ</t>
  </si>
  <si>
    <t>R010386809</t>
  </si>
  <si>
    <t>花宮　うの</t>
  </si>
  <si>
    <t>ハナミヤ　ウノ</t>
  </si>
  <si>
    <t>R010376277</t>
  </si>
  <si>
    <t>花宮　大聖</t>
  </si>
  <si>
    <t>ハナミヤ　タイセイ</t>
  </si>
  <si>
    <t>R010352977</t>
  </si>
  <si>
    <t>濱砂　樹</t>
  </si>
  <si>
    <t>ハマスナ　イツキ</t>
  </si>
  <si>
    <t>R010396503</t>
  </si>
  <si>
    <t>林田　健太</t>
  </si>
  <si>
    <t>ハヤシダ　ケンタ</t>
  </si>
  <si>
    <t>R010376345</t>
  </si>
  <si>
    <t>東　大晟</t>
  </si>
  <si>
    <t>ヒガシ　タイセイ</t>
  </si>
  <si>
    <t>R010376333</t>
  </si>
  <si>
    <t>日隈　駿</t>
  </si>
  <si>
    <t>ヒグマ　シュン</t>
  </si>
  <si>
    <t>R010376324</t>
  </si>
  <si>
    <t>菱川　翔平</t>
  </si>
  <si>
    <t>ヒシカワ　ショウヘイ</t>
  </si>
  <si>
    <t>R010376279</t>
  </si>
  <si>
    <t>姫野　雅俊</t>
  </si>
  <si>
    <t>ヒメノ　マサトシ</t>
  </si>
  <si>
    <t>R010396576</t>
  </si>
  <si>
    <t>平井　康寛</t>
  </si>
  <si>
    <t>ヒライ　ヤスヒロ</t>
  </si>
  <si>
    <t>R010376335</t>
  </si>
  <si>
    <t>平野　泰寛</t>
  </si>
  <si>
    <t>ヒラノ　ヤスヒロ</t>
  </si>
  <si>
    <t>R010352938</t>
  </si>
  <si>
    <t>平林　拓朗</t>
  </si>
  <si>
    <t>ヒラバヤシ　タクロウ</t>
  </si>
  <si>
    <t>R010376332</t>
  </si>
  <si>
    <t>深津　弘毅</t>
  </si>
  <si>
    <t>フカヅ　コウキ</t>
  </si>
  <si>
    <t>R010394158</t>
  </si>
  <si>
    <t>R010396500</t>
  </si>
  <si>
    <t>藤井　健人</t>
  </si>
  <si>
    <t>フジイ　ケント</t>
  </si>
  <si>
    <t>R010352952</t>
  </si>
  <si>
    <t>藤岡　典之</t>
  </si>
  <si>
    <t>フジオカ　ノリユキ</t>
  </si>
  <si>
    <t>R010352946</t>
  </si>
  <si>
    <t>藤田　翔</t>
  </si>
  <si>
    <t>フジタ　カケル</t>
  </si>
  <si>
    <t>R010396574</t>
  </si>
  <si>
    <t>藤野　聖也</t>
  </si>
  <si>
    <t>フジノ　セイヤ</t>
  </si>
  <si>
    <t>R010396505</t>
  </si>
  <si>
    <t>藤野　哲哉</t>
  </si>
  <si>
    <t>フジノ　テツヤ</t>
  </si>
  <si>
    <t>R010396545</t>
  </si>
  <si>
    <t>藤松　秀那</t>
  </si>
  <si>
    <t>フジマツ　シュウナ</t>
  </si>
  <si>
    <t>R010421581</t>
  </si>
  <si>
    <t>藤原　翔大</t>
  </si>
  <si>
    <t>フジワラ　ショウタ</t>
  </si>
  <si>
    <t>古代　峻也</t>
  </si>
  <si>
    <t>フルシロ　シュンヤ</t>
  </si>
  <si>
    <t>R010347384</t>
  </si>
  <si>
    <t>宝珠　史洋</t>
  </si>
  <si>
    <t>ホウス　フミヒロ</t>
  </si>
  <si>
    <t>R010354651</t>
  </si>
  <si>
    <t>本城　瑛翔</t>
  </si>
  <si>
    <t>ホンジョウ　アキト</t>
  </si>
  <si>
    <t>本田　敬恭</t>
  </si>
  <si>
    <t>ホンダ　ケイスケ</t>
  </si>
  <si>
    <t>R010311808</t>
  </si>
  <si>
    <t>松田　信行</t>
  </si>
  <si>
    <t>マツダ　ノブユキ</t>
  </si>
  <si>
    <t>R010347359</t>
  </si>
  <si>
    <t>松原　唯衣</t>
  </si>
  <si>
    <t>マツバラ　ユイ</t>
  </si>
  <si>
    <t>R010416214</t>
  </si>
  <si>
    <t>松村　未来</t>
  </si>
  <si>
    <t>マツムラ　ミク</t>
  </si>
  <si>
    <t>R010358003</t>
  </si>
  <si>
    <t>三浦　櫂斗</t>
  </si>
  <si>
    <t>ミウラ　カイト</t>
  </si>
  <si>
    <t>R010376286</t>
  </si>
  <si>
    <t>三浦　弘大</t>
  </si>
  <si>
    <t>ミウラ　コウダイ</t>
  </si>
  <si>
    <t>R010386812</t>
  </si>
  <si>
    <t>道久　絵理</t>
  </si>
  <si>
    <t>ミチヒサ　エリ</t>
  </si>
  <si>
    <t>R010376283</t>
  </si>
  <si>
    <t>三井　雄大</t>
  </si>
  <si>
    <t>ミツイ　ユウダイ</t>
  </si>
  <si>
    <t>R010350225</t>
  </si>
  <si>
    <t>南　佳織</t>
  </si>
  <si>
    <t>ミナミ　カオリ</t>
  </si>
  <si>
    <t>R010376288</t>
  </si>
  <si>
    <t>三股　正直</t>
  </si>
  <si>
    <t>ミマタ　タダナオ</t>
  </si>
  <si>
    <t>R010396588</t>
  </si>
  <si>
    <t>宮里　直太郎</t>
  </si>
  <si>
    <t>ミヤザト　ナオタロウ</t>
  </si>
  <si>
    <t>R010390429</t>
  </si>
  <si>
    <t>宮本　晄汰</t>
  </si>
  <si>
    <t>R010356116</t>
  </si>
  <si>
    <t>宮本　崇史</t>
  </si>
  <si>
    <t>ミヤモト　タカシ</t>
  </si>
  <si>
    <t>ミヤモト　ユウキ</t>
  </si>
  <si>
    <t>ムナオカ　クルミ</t>
  </si>
  <si>
    <t>R010347370</t>
  </si>
  <si>
    <t>村上　紫叶</t>
  </si>
  <si>
    <t>ムラカミ　シド</t>
  </si>
  <si>
    <t>R010390423</t>
  </si>
  <si>
    <t>森　健太朗</t>
  </si>
  <si>
    <t>モリ　ケンタロウ</t>
  </si>
  <si>
    <t>R010421575</t>
  </si>
  <si>
    <t>R010415904</t>
  </si>
  <si>
    <t>森光　皇介</t>
  </si>
  <si>
    <t>モリミツ　オウスケ</t>
  </si>
  <si>
    <t>R010416219</t>
  </si>
  <si>
    <t>森山　敦能</t>
  </si>
  <si>
    <t>モリヤマ　アツヒサ</t>
  </si>
  <si>
    <t>R010352985</t>
  </si>
  <si>
    <t>薬師寺　章伊</t>
  </si>
  <si>
    <t>ヤクシジ　ショウイ</t>
  </si>
  <si>
    <t>R010396581</t>
  </si>
  <si>
    <t>矢治　弘志郎</t>
  </si>
  <si>
    <t>ヤジ　コウシロウ</t>
  </si>
  <si>
    <t>R010376892</t>
  </si>
  <si>
    <t>安久　克也</t>
  </si>
  <si>
    <t>ヤスヒサ　カツヤ</t>
  </si>
  <si>
    <t>R010388051</t>
  </si>
  <si>
    <t>矢野　陵太</t>
  </si>
  <si>
    <t>ヤノ　リョウタ</t>
  </si>
  <si>
    <t>R010352990</t>
  </si>
  <si>
    <t>矢部　泰史</t>
  </si>
  <si>
    <t>ヤベ　タイシ</t>
  </si>
  <si>
    <t>R010354810</t>
  </si>
  <si>
    <t>山岸　琥生</t>
  </si>
  <si>
    <t>ヤマギシ　コウ</t>
  </si>
  <si>
    <t>R010376896</t>
  </si>
  <si>
    <t>山下　竜二</t>
  </si>
  <si>
    <t>ヤマシタ　リュウジ</t>
  </si>
  <si>
    <t>R010396589</t>
  </si>
  <si>
    <t>山田　将来</t>
  </si>
  <si>
    <t>ヤマダ　マサキ</t>
  </si>
  <si>
    <t>R010396544</t>
  </si>
  <si>
    <t>山田　結和</t>
  </si>
  <si>
    <t>ヤマダ　ユウト</t>
  </si>
  <si>
    <t>R010390428</t>
  </si>
  <si>
    <t>山村　一聡</t>
  </si>
  <si>
    <t>ヤマムラ　イッソウ</t>
  </si>
  <si>
    <t>R010400187</t>
  </si>
  <si>
    <t>山本　隼斗</t>
  </si>
  <si>
    <t>ヤマモト　ハヤト</t>
  </si>
  <si>
    <t>R010352958</t>
  </si>
  <si>
    <t>油野　陣大</t>
  </si>
  <si>
    <t>ユノ　ジンタ</t>
  </si>
  <si>
    <t>R010354817</t>
  </si>
  <si>
    <t>横尾　夏希</t>
  </si>
  <si>
    <t>ヨコオ　ナツキ</t>
  </si>
  <si>
    <t>R010376889</t>
  </si>
  <si>
    <t>横尾　侑磨</t>
  </si>
  <si>
    <t>ヨコオ　ユウマ</t>
  </si>
  <si>
    <t>R010390427</t>
  </si>
  <si>
    <t>吉田　蒼威</t>
  </si>
  <si>
    <t>ヨシダ　アオイ</t>
  </si>
  <si>
    <t>R010396508</t>
  </si>
  <si>
    <t>吉弘　周平</t>
  </si>
  <si>
    <t>ヨシヒロ　シュウヘイ</t>
  </si>
  <si>
    <t>R010396542</t>
  </si>
  <si>
    <t>米澤　邦彦</t>
  </si>
  <si>
    <t>ヨネザワ　クニヒコ</t>
  </si>
  <si>
    <t>性別</t>
  </si>
  <si>
    <t>技能区分</t>
  </si>
  <si>
    <t>男性</t>
  </si>
  <si>
    <t>S審判</t>
  </si>
  <si>
    <t>女性</t>
  </si>
  <si>
    <t>中野　観司郎</t>
  </si>
  <si>
    <t>松下　省吾</t>
  </si>
  <si>
    <t>-</t>
    <phoneticPr fontId="5"/>
  </si>
  <si>
    <t>＜役員名簿＞</t>
    <rPh sb="1" eb="3">
      <t>ヤクイン</t>
    </rPh>
    <rPh sb="3" eb="5">
      <t>メイボ</t>
    </rPh>
    <phoneticPr fontId="5"/>
  </si>
  <si>
    <t>-</t>
  </si>
  <si>
    <t>-</t>
    <phoneticPr fontId="5"/>
  </si>
  <si>
    <t>＜審判名簿＞</t>
    <rPh sb="1" eb="3">
      <t>シンパン</t>
    </rPh>
    <rPh sb="3" eb="5">
      <t>メイボ</t>
    </rPh>
    <phoneticPr fontId="5"/>
  </si>
  <si>
    <t>11:10～ 南</t>
    <phoneticPr fontId="5"/>
  </si>
  <si>
    <t>12:00～ 南</t>
    <phoneticPr fontId="5"/>
  </si>
  <si>
    <t>12:00～ 北</t>
    <phoneticPr fontId="5"/>
  </si>
  <si>
    <t>11:10～ 北</t>
    <phoneticPr fontId="5"/>
  </si>
  <si>
    <t>14:10～ 北</t>
    <phoneticPr fontId="5"/>
  </si>
  <si>
    <t>試合開始　14時10分～</t>
    <rPh sb="0" eb="2">
      <t>シアイ</t>
    </rPh>
    <rPh sb="2" eb="4">
      <t>カイシ</t>
    </rPh>
    <rPh sb="7" eb="8">
      <t>ジ</t>
    </rPh>
    <rPh sb="10" eb="11">
      <t>フン</t>
    </rPh>
    <phoneticPr fontId="5"/>
  </si>
  <si>
    <t>①  9:30　②10:20　③11:10　④12:00　⑤14:10</t>
    <phoneticPr fontId="5"/>
  </si>
  <si>
    <t>※修正及び変更手続きについては、Web大会参加申込の問い合わせ先まで連絡の事。</t>
    <rPh sb="1" eb="3">
      <t>シュウセイ</t>
    </rPh>
    <rPh sb="3" eb="4">
      <t>オヨ</t>
    </rPh>
    <rPh sb="5" eb="7">
      <t>ヘンコウ</t>
    </rPh>
    <rPh sb="7" eb="9">
      <t>テツヅ</t>
    </rPh>
    <rPh sb="19" eb="21">
      <t>タイカイ</t>
    </rPh>
    <rPh sb="21" eb="23">
      <t>サンカ</t>
    </rPh>
    <rPh sb="23" eb="25">
      <t>モウシコミ</t>
    </rPh>
    <rPh sb="26" eb="27">
      <t>ト</t>
    </rPh>
    <rPh sb="28" eb="29">
      <t>ア</t>
    </rPh>
    <rPh sb="31" eb="32">
      <t>サキ</t>
    </rPh>
    <rPh sb="34" eb="36">
      <t>レンラク</t>
    </rPh>
    <rPh sb="37" eb="38">
      <t>コト</t>
    </rPh>
    <phoneticPr fontId="64"/>
  </si>
  <si>
    <t>ベンチスタッフは、大会申込のスタッフ情報に申請した1名以上3名以内とし、内1名は
JFA公認指導者ライセンスを有する事。</t>
    <phoneticPr fontId="64"/>
  </si>
  <si>
    <t>ジュニア委員会HPに掲載している【大会エントリーガイド】を必ず確認し、対応をお願いします。</t>
    <phoneticPr fontId="5"/>
  </si>
  <si>
    <t>○特に、相手チーム・審判に対する誹謗・中傷は固く禁じる。</t>
    <rPh sb="1" eb="2">
      <t>トク</t>
    </rPh>
    <phoneticPr fontId="64"/>
  </si>
  <si>
    <t>「個人情報保護法案」の趣旨に沿って、個人情報を取り扱う。
大会登録書は、本大会においてプログラム及び事務局とチーム間の連絡手段、選手チェックに利用し、漏洩のないように万全の管理を行う。チーム代表者は以下の点を確認の上、申し込むこととし、名簿が提出された時点で選手及び保護者が同意されたものとして取り扱う。</t>
    <rPh sb="48" eb="49">
      <t>オヨ</t>
    </rPh>
    <phoneticPr fontId="64"/>
  </si>
  <si>
    <t>複数チームの出場を認めるが、同じ選手が違うチームで出場できない。その際，それぞれのチームに別々の指導者が帯同すること。同じ指導者がチームにまたがって登録することはできない。</t>
    <rPh sb="0" eb="2">
      <t>フクスウ</t>
    </rPh>
    <phoneticPr fontId="64"/>
  </si>
  <si>
    <t>登録できる交代要員および交代の最大人数は8名とし，交代して退いた競技者は交代要員となり，再び出場することができる。交代の回数は制限されない。交代は，ボールがインプレー中，アウトオブプレー中にかかわらず行うことができ，チームの指導者，もしくは選手は「第4審」に交代選手の番号を口頭で報告し，用具チェックを受けた後，交代ゾーンから行う。ただし，交代で退く競技者が負傷している場合は，主審の承認を得た上でどこからフィールドを離れてもよい。また，GKが交代する場合はアウトプレー時に主審を通じ行う。
※交代ゾーン＝ベンチ側のハーフウェイラインを挟んで3mずつ6mの範囲</t>
    <phoneticPr fontId="64"/>
  </si>
  <si>
    <t>試合球は4号検定球とし、予選リーグにおいては、各チームの持ち寄りとする。決勝トーナメントにおいては、本部で準備する。</t>
    <rPh sb="12" eb="14">
      <t>ヨセン</t>
    </rPh>
    <rPh sb="36" eb="38">
      <t>ケッショウ</t>
    </rPh>
    <rPh sb="50" eb="52">
      <t>ホンブ</t>
    </rPh>
    <rPh sb="53" eb="55">
      <t>ジュンビ</t>
    </rPh>
    <phoneticPr fontId="64"/>
  </si>
  <si>
    <t xml:space="preserve">大会中，天候によっては主審の判断で「飲水タイム」をとることもある。また、雷雨など，試合の続行が不可能だと判断される場合、中断他、大会本部にて協議・判断し、臨機応変な対応をとる。
※ピッチサイドにスクイズボトル等は置かない。飲料のボトルは個人専用のものを使用し、共用しない。
</t>
    <rPh sb="104" eb="105">
      <t>トウ</t>
    </rPh>
    <rPh sb="106" eb="107">
      <t>オ</t>
    </rPh>
    <rPh sb="111" eb="113">
      <t>インリョウ</t>
    </rPh>
    <rPh sb="118" eb="122">
      <t>コジンセンヨウ</t>
    </rPh>
    <rPh sb="126" eb="128">
      <t>シヨウ</t>
    </rPh>
    <rPh sb="130" eb="132">
      <t>キョウヨウ</t>
    </rPh>
    <phoneticPr fontId="64"/>
  </si>
  <si>
    <t>※番号は胸と背中に必ず明記する事とし、パンツの前面にもあるのが望ましい。</t>
    <rPh sb="4" eb="5">
      <t>ムネ</t>
    </rPh>
    <rPh sb="6" eb="8">
      <t>セナカ</t>
    </rPh>
    <rPh sb="9" eb="10">
      <t>カナラ</t>
    </rPh>
    <rPh sb="11" eb="13">
      <t>メイキ</t>
    </rPh>
    <rPh sb="15" eb="16">
      <t>コト</t>
    </rPh>
    <rPh sb="23" eb="25">
      <t>ゼンメン</t>
    </rPh>
    <rPh sb="31" eb="32">
      <t>ノゾ</t>
    </rPh>
    <phoneticPr fontId="64"/>
  </si>
  <si>
    <t>※番号は1～16までの通し番号とするのが望ましい。</t>
    <phoneticPr fontId="64"/>
  </si>
  <si>
    <t>※シャツの色彩は、審判員が通常着用する黒色と明確に判別し得るものでなければならない。</t>
    <phoneticPr fontId="64"/>
  </si>
  <si>
    <t>※ユニホームの下にアンダーシャツを着用する際は、チームで統一されたものである事。</t>
    <rPh sb="21" eb="22">
      <t>サイ</t>
    </rPh>
    <rPh sb="28" eb="30">
      <t>トウイツ</t>
    </rPh>
    <rPh sb="38" eb="39">
      <t>コト</t>
    </rPh>
    <phoneticPr fontId="64"/>
  </si>
  <si>
    <t>※アンダーショーツおよびタイツは、同一チームの競技者が着用する場合、同色のものとする。</t>
    <phoneticPr fontId="64"/>
  </si>
  <si>
    <t>※広告表示については、ユニホーム規定により承認された場合のみ認める。</t>
    <phoneticPr fontId="64"/>
  </si>
  <si>
    <t>(3)提出した名簿をラビットカップの大会冊子に掲載すること、また試合中の写真を次回大会冊子に
    掲載することに同意する。</t>
    <rPh sb="3" eb="5">
      <t>テイシュツ</t>
    </rPh>
    <rPh sb="7" eb="9">
      <t>メイボ</t>
    </rPh>
    <rPh sb="18" eb="22">
      <t>タイカイサッシ</t>
    </rPh>
    <rPh sb="23" eb="25">
      <t>ケイサイ</t>
    </rPh>
    <rPh sb="32" eb="35">
      <t>シアイチュウ</t>
    </rPh>
    <rPh sb="36" eb="38">
      <t>シャシン</t>
    </rPh>
    <rPh sb="39" eb="41">
      <t>ジカイ</t>
    </rPh>
    <rPh sb="41" eb="43">
      <t>タイカイ</t>
    </rPh>
    <rPh sb="43" eb="45">
      <t>サッシ</t>
    </rPh>
    <rPh sb="51" eb="53">
      <t>ケイサイ</t>
    </rPh>
    <rPh sb="58" eb="60">
      <t>ドウイ</t>
    </rPh>
    <phoneticPr fontId="5"/>
  </si>
  <si>
    <t>⑬</t>
    <phoneticPr fontId="5"/>
  </si>
  <si>
    <t>明野北フットボールクラブ</t>
  </si>
  <si>
    <t>アトレチコエラン横瀬</t>
  </si>
  <si>
    <t>ヴェルスパ大分　Ｕ－１２</t>
  </si>
  <si>
    <t>ＦＣ　ＲＥＧＡＴＥ</t>
  </si>
  <si>
    <t>春日ＳＳＳ</t>
  </si>
  <si>
    <t>金池長浜サッカースポーツ少年団</t>
  </si>
  <si>
    <t>ＫＩＮＧＳ　ＦＯＯＴＢＡＬＬＣＬＵＢ　Ｕ－１２</t>
  </si>
  <si>
    <t>城南サッカースポーツ少年団</t>
  </si>
  <si>
    <t>碩田サッカースポーツ少年団</t>
  </si>
  <si>
    <t>滝尾下郡サッカースポーツ少年団</t>
  </si>
  <si>
    <t>東陽フットボールクラブ</t>
  </si>
  <si>
    <t>西の台ＪＦＣ</t>
  </si>
  <si>
    <t>挾間ＪＦＣ</t>
  </si>
  <si>
    <t>日岡サッカースポーツ少年団</t>
  </si>
  <si>
    <t>東大分サッカースポーツ少年団</t>
  </si>
  <si>
    <t>東稙田サッカースポーツ少年団</t>
  </si>
  <si>
    <t>ブルーウイングフットボールクラブ</t>
  </si>
  <si>
    <t>豊府サッカースポーツ少年団</t>
  </si>
  <si>
    <t>北郡坂ノ市サッカースポーツ少年団</t>
  </si>
  <si>
    <t>三佐サッカースポーツ少年団</t>
  </si>
  <si>
    <t>南大分サッカー少年団</t>
  </si>
  <si>
    <t>宗方サッカークラブ</t>
  </si>
  <si>
    <t>明治北ＳＳＣ</t>
  </si>
  <si>
    <t>明治サッカースポーツ少年団</t>
  </si>
  <si>
    <t>桃園サッカースポーツ少年団</t>
  </si>
  <si>
    <t>森岡サッカースポーツ少年団</t>
  </si>
  <si>
    <t>八幡サッカースポーツ少年団</t>
  </si>
  <si>
    <t>横瀬西ＦＣ．ＲｏｓａＣｌａｒｏ</t>
  </si>
  <si>
    <t>稙田ＦＣサッカースポーツ少年団</t>
  </si>
  <si>
    <t>大分県サッカー協会人工芝グラウンド</t>
    <phoneticPr fontId="5"/>
  </si>
  <si>
    <t>　②要項の確認</t>
    <rPh sb="2" eb="4">
      <t>ヨウコウ</t>
    </rPh>
    <rPh sb="5" eb="7">
      <t>カクニン</t>
    </rPh>
    <phoneticPr fontId="5"/>
  </si>
  <si>
    <t>　③審判部より</t>
    <rPh sb="2" eb="4">
      <t>シンパン</t>
    </rPh>
    <rPh sb="4" eb="5">
      <t>ブ</t>
    </rPh>
    <phoneticPr fontId="5"/>
  </si>
  <si>
    <t>　④質問、諸注意</t>
    <phoneticPr fontId="5"/>
  </si>
  <si>
    <t>　⑤抽選</t>
    <rPh sb="2" eb="4">
      <t>チュウセン</t>
    </rPh>
    <phoneticPr fontId="5"/>
  </si>
  <si>
    <t>日田/玖珠</t>
    <rPh sb="0" eb="2">
      <t>ヒタ</t>
    </rPh>
    <rPh sb="3" eb="5">
      <t>クス</t>
    </rPh>
    <phoneticPr fontId="5"/>
  </si>
  <si>
    <t>臼杵/津久見</t>
    <rPh sb="0" eb="2">
      <t>ウスキ</t>
    </rPh>
    <rPh sb="3" eb="6">
      <t>ツクミ</t>
    </rPh>
    <phoneticPr fontId="5"/>
  </si>
  <si>
    <t>[警告理由]C1：反スポーツ的行為，C2：ラフプレー，C3：異議，C4：繰り返し違反，C5：遅延行為，C6：距離不足，C7：無許可入，C8：無許可去</t>
  </si>
  <si>
    <t>[退場理由]S1：著しく不正なプレー，S2：乱暴な行為，S3：つば吐き，S4：得点機会阻止(ハンド)，S5：得点機会阻止(他)，S6：侮辱的発言，CS：警告2回による退場</t>
  </si>
  <si>
    <t>M   C</t>
    <phoneticPr fontId="5"/>
  </si>
  <si>
    <t>戦術的指示を与える際は、その都度ただ1名の役員(監督に限定されない)のみが、テクニカルエリア(ベンチの両端から１メ－トルとタッチラインから1メ－トル)内で行うこと。</t>
  </si>
  <si>
    <t xml:space="preserve">選手への厳しい叱責や体罰等があったと認められ，主審から一度注意を受けた後に再度同様な行為があった場合は，主審の判断により退席処分とし，それ以降はベンチからのコーチングを不可とする。それ以降の試合については，規律・フェアプレー委員会において協議し，処分することもある。
</t>
  </si>
  <si>
    <t>フェアプレー</t>
  </si>
  <si>
    <t>サッカーのイメージアップ</t>
  </si>
  <si>
    <t>ソックスを引き上げる</t>
    <rPh sb="5" eb="6">
      <t>ヒ</t>
    </rPh>
    <rPh sb="7" eb="8">
      <t>ア</t>
    </rPh>
    <phoneticPr fontId="97"/>
  </si>
  <si>
    <t>シャツをショーツの中に入れる</t>
    <rPh sb="9" eb="10">
      <t>ナカ</t>
    </rPh>
    <rPh sb="11" eb="12">
      <t>イ</t>
    </rPh>
    <phoneticPr fontId="97"/>
  </si>
  <si>
    <t>試合開始前および終了後のセレモニー</t>
    <rPh sb="4" eb="5">
      <t>マエ</t>
    </rPh>
    <rPh sb="8" eb="11">
      <t>シュウリョウゴ</t>
    </rPh>
    <phoneticPr fontId="97"/>
  </si>
  <si>
    <t>シャツについては、胸番号/背番号必須で一致していることとし、色彩は、審判員が通常着用する黒色と明確に判別し得るものでなければならない。</t>
    <rPh sb="9" eb="10">
      <t>ムネ</t>
    </rPh>
    <rPh sb="10" eb="12">
      <t>バンゴウ</t>
    </rPh>
    <rPh sb="13" eb="16">
      <t>セバンゴウ</t>
    </rPh>
    <rPh sb="16" eb="18">
      <t>ヒッス</t>
    </rPh>
    <rPh sb="19" eb="21">
      <t>イッチ</t>
    </rPh>
    <rPh sb="30" eb="32">
      <t>シキサイ</t>
    </rPh>
    <rPh sb="34" eb="37">
      <t>シンパンイン</t>
    </rPh>
    <rPh sb="38" eb="40">
      <t>ツウジョウ</t>
    </rPh>
    <rPh sb="40" eb="42">
      <t>チャクヨウ</t>
    </rPh>
    <rPh sb="44" eb="46">
      <t>クロイロ</t>
    </rPh>
    <rPh sb="47" eb="49">
      <t>メイカク</t>
    </rPh>
    <rPh sb="50" eb="52">
      <t>ハンベツ</t>
    </rPh>
    <rPh sb="53" eb="54">
      <t>エ</t>
    </rPh>
    <phoneticPr fontId="97"/>
  </si>
  <si>
    <t>ユニフォームのデザイン、ロゴ等が異なっていても、本競技会主催者が認める場合、主たる色が同系色であれば着用することができる。</t>
  </si>
  <si>
    <t>ゴールキーパーのユニフォームについて、ショーツ、ソックスはフィールドプレーヤーと同色系でも良いものとする。</t>
  </si>
  <si>
    <t xml:space="preserve">ソックスにテープまたはその他の材質のものを貼り付ける、または外部に着用する場合、ソックスと同色でなくても良い。 </t>
  </si>
  <si>
    <t>アンダーシャツの色は問わない。ただし原則としてチーム内で同色のものを着用する。</t>
  </si>
  <si>
    <t>アンダーショーツおよびタイツの色は問わない。ただし原則としてチーム内で同色のものを着用する。</t>
  </si>
  <si>
    <t>すねあてを必ず着用</t>
  </si>
  <si>
    <t>ゴ－ルキ－パ－は、フィ－ルドの状態、天候によってはトラックスーツを着用しても良い</t>
  </si>
  <si>
    <t>以下のように整列し、本部側に礼をした後、プレーの開始方法を確認する。（握手は行わない）</t>
    <rPh sb="0" eb="2">
      <t>イカ</t>
    </rPh>
    <rPh sb="6" eb="8">
      <t>セイレツ</t>
    </rPh>
    <rPh sb="12" eb="13">
      <t>ガワ</t>
    </rPh>
    <rPh sb="14" eb="15">
      <t>レイ</t>
    </rPh>
    <rPh sb="18" eb="19">
      <t>ノチ</t>
    </rPh>
    <rPh sb="24" eb="26">
      <t>カイシ</t>
    </rPh>
    <rPh sb="26" eb="28">
      <t>ホウホウ</t>
    </rPh>
    <rPh sb="29" eb="31">
      <t>カクニン</t>
    </rPh>
    <rPh sb="35" eb="37">
      <t>アクシュ</t>
    </rPh>
    <rPh sb="38" eb="39">
      <t>オコナ</t>
    </rPh>
    <phoneticPr fontId="97"/>
  </si>
  <si>
    <t>キックオフ5分前</t>
    <rPh sb="6" eb="8">
      <t>フンマエ</t>
    </rPh>
    <phoneticPr fontId="97"/>
  </si>
  <si>
    <t>サブB</t>
    <phoneticPr fontId="5"/>
  </si>
  <si>
    <t xml:space="preserve">       チーム代表者は必ずユニホームを持参(FP/GKの正副全て現物を。写真等不可。)にて参加願います。</t>
    <phoneticPr fontId="5"/>
  </si>
  <si>
    <t>　　⑤コロナウイルス感染防止のため、必要事項を記入した参加者名簿を大会当日に大会本部まで提出すること。</t>
    <phoneticPr fontId="5"/>
  </si>
  <si>
    <t>　　④各会場にて、各パートの第1試合開始70分前に、各パートのマッチコーディネーションミーティング(MCM)を、3チーム同時に行います。</t>
    <rPh sb="3" eb="4">
      <t>カク</t>
    </rPh>
    <rPh sb="4" eb="6">
      <t>カイジョウ</t>
    </rPh>
    <rPh sb="9" eb="10">
      <t>カク</t>
    </rPh>
    <rPh sb="14" eb="15">
      <t>ダイ</t>
    </rPh>
    <rPh sb="16" eb="18">
      <t>シアイ</t>
    </rPh>
    <rPh sb="18" eb="20">
      <t>カイシ</t>
    </rPh>
    <rPh sb="22" eb="24">
      <t>フンマエ</t>
    </rPh>
    <rPh sb="26" eb="27">
      <t>カク</t>
    </rPh>
    <rPh sb="60" eb="62">
      <t>ドウジ</t>
    </rPh>
    <rPh sb="63" eb="64">
      <t>オコナ</t>
    </rPh>
    <phoneticPr fontId="5"/>
  </si>
  <si>
    <t>R010536851</t>
  </si>
  <si>
    <t>酒井　駿</t>
  </si>
  <si>
    <t>髙木　翔</t>
  </si>
  <si>
    <t>R001321238</t>
  </si>
  <si>
    <t>R010448235</t>
  </si>
  <si>
    <t>礒辺　宏基</t>
  </si>
  <si>
    <t>R010465606</t>
  </si>
  <si>
    <t>大石　聖哉</t>
  </si>
  <si>
    <t>R010498317</t>
  </si>
  <si>
    <t>大鶴　翔太郎</t>
  </si>
  <si>
    <t>R010444522</t>
  </si>
  <si>
    <t>岡田　凌哉</t>
  </si>
  <si>
    <t>R010538391</t>
  </si>
  <si>
    <t>緒方　翔平</t>
  </si>
  <si>
    <t>R010261243</t>
  </si>
  <si>
    <t>片山　幹彦</t>
  </si>
  <si>
    <t>R010448916</t>
  </si>
  <si>
    <t>金子　康二</t>
  </si>
  <si>
    <t>R010450022</t>
  </si>
  <si>
    <t>川﨑　脩斗</t>
  </si>
  <si>
    <t>R010465605</t>
  </si>
  <si>
    <t>北村　真悟</t>
  </si>
  <si>
    <t>R010465604</t>
  </si>
  <si>
    <t>木本　大地</t>
  </si>
  <si>
    <t>R010465591</t>
  </si>
  <si>
    <t>工藤　遼一</t>
  </si>
  <si>
    <t>R010538323</t>
  </si>
  <si>
    <t>古瀬　大騎</t>
  </si>
  <si>
    <t>R010465584</t>
  </si>
  <si>
    <t>児玉　雅樹</t>
  </si>
  <si>
    <t>R004706704</t>
  </si>
  <si>
    <t>小林　年晴</t>
  </si>
  <si>
    <t>R010444495</t>
  </si>
  <si>
    <t>志藤　圭史朗</t>
  </si>
  <si>
    <t>R010542204</t>
  </si>
  <si>
    <t>生野　憲太朗</t>
  </si>
  <si>
    <t>R010444486</t>
  </si>
  <si>
    <t>須藤　哲也</t>
  </si>
  <si>
    <t>R010468354</t>
  </si>
  <si>
    <t>須藤　裕太</t>
  </si>
  <si>
    <t>R010465617</t>
  </si>
  <si>
    <t>高田　侑弥</t>
  </si>
  <si>
    <t>R010448232</t>
  </si>
  <si>
    <t>塚崎　高典</t>
  </si>
  <si>
    <t>R010465621</t>
  </si>
  <si>
    <t>坪根　弘希</t>
  </si>
  <si>
    <t>R010542171</t>
  </si>
  <si>
    <t>R010162720</t>
  </si>
  <si>
    <t>R010448233</t>
  </si>
  <si>
    <t>長岡　傑</t>
  </si>
  <si>
    <t>R010538360</t>
  </si>
  <si>
    <t>長野　高志</t>
  </si>
  <si>
    <t>R010538358</t>
  </si>
  <si>
    <t>平川　諒</t>
  </si>
  <si>
    <t>R010512435</t>
  </si>
  <si>
    <t>前田　裕哉</t>
  </si>
  <si>
    <t>R010073975</t>
  </si>
  <si>
    <t>松本　和也</t>
  </si>
  <si>
    <t>宮﨑　隆史</t>
  </si>
  <si>
    <t>R010444497</t>
  </si>
  <si>
    <t>宮原　良介</t>
  </si>
  <si>
    <t>和田　行祐</t>
  </si>
  <si>
    <t>R010538349</t>
  </si>
  <si>
    <t>藍島　司</t>
  </si>
  <si>
    <t>R010432641</t>
  </si>
  <si>
    <t>青松　琉</t>
  </si>
  <si>
    <t>R010538396</t>
  </si>
  <si>
    <t>R010538302</t>
  </si>
  <si>
    <t>麻生　元太</t>
  </si>
  <si>
    <t>R010538351</t>
  </si>
  <si>
    <t>麻生　政裕</t>
  </si>
  <si>
    <t>R010449911</t>
  </si>
  <si>
    <t>安達　健太</t>
  </si>
  <si>
    <t>R010538384</t>
  </si>
  <si>
    <t>R010467631</t>
  </si>
  <si>
    <t>足立　陸矩</t>
  </si>
  <si>
    <t>R010539283</t>
  </si>
  <si>
    <t>穴見　倫太郎</t>
  </si>
  <si>
    <t>R010540696</t>
  </si>
  <si>
    <t>安部　仁太</t>
  </si>
  <si>
    <t>R010538320</t>
  </si>
  <si>
    <t>R010552552</t>
  </si>
  <si>
    <t>有村　連空瑠</t>
  </si>
  <si>
    <t>R010538292</t>
  </si>
  <si>
    <t>R010539276</t>
  </si>
  <si>
    <t>安東　龍秀</t>
  </si>
  <si>
    <t>R010538315</t>
  </si>
  <si>
    <t>安藤　綾太</t>
  </si>
  <si>
    <t>R010540070</t>
  </si>
  <si>
    <t>安養寺　伸也</t>
  </si>
  <si>
    <t>R010538324</t>
  </si>
  <si>
    <t>諌山　巧</t>
  </si>
  <si>
    <t>R010467695</t>
  </si>
  <si>
    <t>石井　綾汰</t>
  </si>
  <si>
    <t>R010538393</t>
  </si>
  <si>
    <t>石﨑　蒼大</t>
  </si>
  <si>
    <t>R010539281</t>
  </si>
  <si>
    <t>石田　亮太</t>
  </si>
  <si>
    <t>R010552538</t>
  </si>
  <si>
    <t>和泉　宏幸</t>
  </si>
  <si>
    <t>R010540697</t>
  </si>
  <si>
    <t>板井　愛之助</t>
  </si>
  <si>
    <t>R010552568</t>
  </si>
  <si>
    <t>市川　嘉樹</t>
  </si>
  <si>
    <t>R010546269</t>
  </si>
  <si>
    <t>市原　龍生</t>
  </si>
  <si>
    <t>R010453585</t>
  </si>
  <si>
    <t>出田　竣</t>
  </si>
  <si>
    <t>R010546276</t>
  </si>
  <si>
    <t>伊東　将星</t>
  </si>
  <si>
    <t>R010538348</t>
  </si>
  <si>
    <t>R010542169</t>
  </si>
  <si>
    <t>今富　康平</t>
  </si>
  <si>
    <t>R010444518</t>
  </si>
  <si>
    <t>今山　碧雪</t>
  </si>
  <si>
    <t>R010448932</t>
  </si>
  <si>
    <t>岩男　柊人</t>
  </si>
  <si>
    <t>R010445832</t>
  </si>
  <si>
    <t>岩尾　槙之助</t>
  </si>
  <si>
    <t>R010538374</t>
  </si>
  <si>
    <t>R010465578</t>
  </si>
  <si>
    <t>岩坂　浩行</t>
  </si>
  <si>
    <t>R010546284</t>
  </si>
  <si>
    <t>R010552531</t>
  </si>
  <si>
    <t>R010552551</t>
  </si>
  <si>
    <t>R010432630</t>
  </si>
  <si>
    <t>臼井　宏亮</t>
  </si>
  <si>
    <t>R010448923</t>
  </si>
  <si>
    <t>歌　好陸</t>
  </si>
  <si>
    <t>R010542199</t>
  </si>
  <si>
    <t>内田　真悟</t>
  </si>
  <si>
    <t>R010542180</t>
  </si>
  <si>
    <t>宇野　駿佑</t>
  </si>
  <si>
    <t>R010542179</t>
  </si>
  <si>
    <t>R010538296</t>
  </si>
  <si>
    <t>江川　題磯</t>
  </si>
  <si>
    <t>R010468356</t>
  </si>
  <si>
    <t>江口　烈史</t>
  </si>
  <si>
    <t>R010552544</t>
  </si>
  <si>
    <t>恵藤　蒼太</t>
  </si>
  <si>
    <t>R010465589</t>
  </si>
  <si>
    <t>江藤　貴司</t>
  </si>
  <si>
    <t>R010444516</t>
  </si>
  <si>
    <t>江藤　璃大</t>
  </si>
  <si>
    <t>R010538319</t>
  </si>
  <si>
    <t>江戸　利樹</t>
  </si>
  <si>
    <t>R010432619</t>
  </si>
  <si>
    <t>遠藤　之仁</t>
  </si>
  <si>
    <t>R010538325</t>
  </si>
  <si>
    <t>大石　雅宣</t>
  </si>
  <si>
    <t>R010546336</t>
  </si>
  <si>
    <t>R010538299</t>
  </si>
  <si>
    <t>R010540701</t>
  </si>
  <si>
    <t>太田　陽己</t>
  </si>
  <si>
    <t>R010465580</t>
  </si>
  <si>
    <t>大津　俊一</t>
  </si>
  <si>
    <t>R010546288</t>
  </si>
  <si>
    <t>大戸　朝陽</t>
  </si>
  <si>
    <t>R010465607</t>
  </si>
  <si>
    <t>大野　春佑</t>
  </si>
  <si>
    <t>R010538289</t>
  </si>
  <si>
    <t>大場　将公</t>
  </si>
  <si>
    <t>R010546319</t>
  </si>
  <si>
    <t>R010549366</t>
  </si>
  <si>
    <t>岡　誉</t>
  </si>
  <si>
    <t>R010538342</t>
  </si>
  <si>
    <t>岡崎　広夢</t>
  </si>
  <si>
    <t>R010552577</t>
  </si>
  <si>
    <t>岡野　直人</t>
  </si>
  <si>
    <t>R010513151</t>
  </si>
  <si>
    <t>岡村　勇輝</t>
  </si>
  <si>
    <t>R010538298</t>
  </si>
  <si>
    <t>岡本　和也</t>
  </si>
  <si>
    <t>R010538294</t>
  </si>
  <si>
    <t>岡本　優</t>
  </si>
  <si>
    <t>R010546302</t>
  </si>
  <si>
    <t>奥田　哲平</t>
  </si>
  <si>
    <t>R010501273</t>
  </si>
  <si>
    <t>押田　卓</t>
  </si>
  <si>
    <t>R010465611</t>
  </si>
  <si>
    <t>小田巻　裕二</t>
  </si>
  <si>
    <t>R010358202</t>
  </si>
  <si>
    <t>小野　敦司</t>
  </si>
  <si>
    <t>R010546323</t>
  </si>
  <si>
    <t>小野　奏音</t>
  </si>
  <si>
    <t>R010549371</t>
  </si>
  <si>
    <t>小野　華凜</t>
  </si>
  <si>
    <t>R010538304</t>
  </si>
  <si>
    <t>小野　柑太</t>
  </si>
  <si>
    <t>R010538295</t>
  </si>
  <si>
    <t>小野　輝</t>
  </si>
  <si>
    <t>R010539275</t>
  </si>
  <si>
    <t>小野　羚稀</t>
  </si>
  <si>
    <t>R010432633</t>
  </si>
  <si>
    <t>小野　蓮央</t>
  </si>
  <si>
    <t>R010552565</t>
  </si>
  <si>
    <t>加隈　歩夢</t>
  </si>
  <si>
    <t>R010465596</t>
  </si>
  <si>
    <t>角谷　直樹</t>
  </si>
  <si>
    <t>R010468357</t>
  </si>
  <si>
    <t>加藤　史章</t>
  </si>
  <si>
    <t>R010538326</t>
  </si>
  <si>
    <t>金丸　顕和</t>
  </si>
  <si>
    <t>R010546300</t>
  </si>
  <si>
    <t>R010540038</t>
  </si>
  <si>
    <t>上城　司</t>
  </si>
  <si>
    <t>R010546275</t>
  </si>
  <si>
    <t>R010448924</t>
  </si>
  <si>
    <t>川尻　暁斗</t>
  </si>
  <si>
    <t>R010546290</t>
  </si>
  <si>
    <t>河野　優生</t>
  </si>
  <si>
    <t>R010538397</t>
  </si>
  <si>
    <t>河野　栄磨</t>
  </si>
  <si>
    <t>R010538375</t>
  </si>
  <si>
    <t>河野　虎之介</t>
  </si>
  <si>
    <t>R010538388</t>
  </si>
  <si>
    <t>河野　夏</t>
  </si>
  <si>
    <t>R010549365</t>
  </si>
  <si>
    <t>川端　沙雪</t>
  </si>
  <si>
    <t>R010546340</t>
  </si>
  <si>
    <t>神崎　来実</t>
  </si>
  <si>
    <t>R010449910</t>
  </si>
  <si>
    <t>神田　裕</t>
  </si>
  <si>
    <t>R010538345</t>
  </si>
  <si>
    <t>菊屋　令</t>
  </si>
  <si>
    <t>R010546303</t>
  </si>
  <si>
    <t>北川　奏</t>
  </si>
  <si>
    <t>R010542197</t>
  </si>
  <si>
    <t>R010546304</t>
  </si>
  <si>
    <t>衣笠　勇輝</t>
  </si>
  <si>
    <t>R010552550</t>
  </si>
  <si>
    <t>R010448240</t>
  </si>
  <si>
    <t>木本　博昭</t>
  </si>
  <si>
    <t>R010538367</t>
  </si>
  <si>
    <t>工藤　凌成</t>
  </si>
  <si>
    <t>R010465620</t>
  </si>
  <si>
    <t>久保　宏太</t>
  </si>
  <si>
    <t>R010450129</t>
  </si>
  <si>
    <t>熊井　優斗</t>
  </si>
  <si>
    <t>R010546306</t>
  </si>
  <si>
    <t>倉田　煌大</t>
  </si>
  <si>
    <t>R010513913</t>
  </si>
  <si>
    <t>黒木　大治郎</t>
  </si>
  <si>
    <t>R010501305</t>
  </si>
  <si>
    <t>桑野　宏幸</t>
  </si>
  <si>
    <t>R010538366</t>
  </si>
  <si>
    <t>桑原　力飛</t>
  </si>
  <si>
    <t>R010542184</t>
  </si>
  <si>
    <t>小石　圭亮</t>
  </si>
  <si>
    <t>R010546274</t>
  </si>
  <si>
    <t>河野　泰良</t>
  </si>
  <si>
    <t>R010552559</t>
  </si>
  <si>
    <t>児玉　准哉</t>
  </si>
  <si>
    <t>R010445239</t>
  </si>
  <si>
    <t>児玉　佑太</t>
  </si>
  <si>
    <t>R010538305</t>
  </si>
  <si>
    <t>R010467696</t>
  </si>
  <si>
    <t>小手川　蓮</t>
  </si>
  <si>
    <t>R010546326</t>
  </si>
  <si>
    <t>小林　昴琉</t>
  </si>
  <si>
    <t>R010542166</t>
  </si>
  <si>
    <t>R010546292</t>
  </si>
  <si>
    <t>小山　純平</t>
  </si>
  <si>
    <t>R010509969</t>
  </si>
  <si>
    <t>合谷　佑木</t>
  </si>
  <si>
    <t>R010552541</t>
  </si>
  <si>
    <t>後藤　滉稀</t>
  </si>
  <si>
    <t>R010538293</t>
  </si>
  <si>
    <t>後藤　寛貴</t>
  </si>
  <si>
    <t>R010538300</t>
  </si>
  <si>
    <t>R010538364</t>
  </si>
  <si>
    <t>後藤　凛太朗</t>
  </si>
  <si>
    <t>R010552532</t>
  </si>
  <si>
    <t>佐伯　正一</t>
  </si>
  <si>
    <t>R010552567</t>
  </si>
  <si>
    <t>酒井　碧海</t>
  </si>
  <si>
    <t>R010448935</t>
  </si>
  <si>
    <t>酒井　洸太</t>
  </si>
  <si>
    <t>榊原　隆之輔</t>
  </si>
  <si>
    <t>R010444490</t>
  </si>
  <si>
    <t>櫻井　貴寛</t>
  </si>
  <si>
    <t>R010542194</t>
  </si>
  <si>
    <t>迫　聖一郎</t>
  </si>
  <si>
    <t>R010432604</t>
  </si>
  <si>
    <t>佐々木　匠実</t>
  </si>
  <si>
    <t>R010538390</t>
  </si>
  <si>
    <t>佐藤　歩虎</t>
  </si>
  <si>
    <t>R010448943</t>
  </si>
  <si>
    <t>佐藤　凱翔</t>
  </si>
  <si>
    <t>R010552574</t>
  </si>
  <si>
    <t>佐藤　洸輝</t>
  </si>
  <si>
    <t>R010538354</t>
  </si>
  <si>
    <t>佐藤　秀弥</t>
  </si>
  <si>
    <t>R010432602</t>
  </si>
  <si>
    <t>佐藤　翔太</t>
  </si>
  <si>
    <t>R010552561</t>
  </si>
  <si>
    <t>佐藤　哲也</t>
  </si>
  <si>
    <t>R010538322</t>
  </si>
  <si>
    <t>佐藤　浩樹</t>
  </si>
  <si>
    <t>R010465577</t>
  </si>
  <si>
    <t>佐藤　守</t>
  </si>
  <si>
    <t>R010465593</t>
  </si>
  <si>
    <t>佐藤　祐親</t>
  </si>
  <si>
    <t>R010538306</t>
  </si>
  <si>
    <t>R010552573</t>
  </si>
  <si>
    <t>佐藤　陸</t>
  </si>
  <si>
    <t>R010538386</t>
  </si>
  <si>
    <t>財津　亮介</t>
  </si>
  <si>
    <t>R010542200</t>
  </si>
  <si>
    <t>鹿内　克彦</t>
  </si>
  <si>
    <t>R010552555</t>
  </si>
  <si>
    <t>敷嶋　義郎</t>
  </si>
  <si>
    <t>R010538301</t>
  </si>
  <si>
    <t>重光　日向</t>
  </si>
  <si>
    <t>R010465614</t>
  </si>
  <si>
    <t>島畑　欣史</t>
  </si>
  <si>
    <t>R010453576</t>
  </si>
  <si>
    <t>周藤　彼方</t>
  </si>
  <si>
    <t>R010465612</t>
  </si>
  <si>
    <t>首藤　貴志</t>
  </si>
  <si>
    <t>R010546309</t>
  </si>
  <si>
    <t>庄部　優汰</t>
  </si>
  <si>
    <t>R010444489</t>
  </si>
  <si>
    <t>秦　拓真</t>
  </si>
  <si>
    <t>R010546283</t>
  </si>
  <si>
    <t>新納　奏太</t>
  </si>
  <si>
    <t>R009567863</t>
  </si>
  <si>
    <t>新村　亘未</t>
  </si>
  <si>
    <t>R010449909</t>
  </si>
  <si>
    <t>末　洸樹</t>
  </si>
  <si>
    <t>R010546310</t>
  </si>
  <si>
    <t>末綱　倖成</t>
  </si>
  <si>
    <t>R010552569</t>
  </si>
  <si>
    <t>R010546311</t>
  </si>
  <si>
    <t>末弘　智亮</t>
  </si>
  <si>
    <t>R010546318</t>
  </si>
  <si>
    <t>末元　隼太</t>
  </si>
  <si>
    <t>R010542209</t>
  </si>
  <si>
    <t>菅田　和真</t>
  </si>
  <si>
    <t>R010465610</t>
  </si>
  <si>
    <t>須藤　聡</t>
  </si>
  <si>
    <t>R010542176</t>
  </si>
  <si>
    <t>関谷　彰太</t>
  </si>
  <si>
    <t>R010546282</t>
  </si>
  <si>
    <t>染矢　優心</t>
  </si>
  <si>
    <t>R010552570</t>
  </si>
  <si>
    <t>高井　皓介</t>
  </si>
  <si>
    <t>R010465602</t>
  </si>
  <si>
    <t>髙木　大誠</t>
  </si>
  <si>
    <t>R010546328</t>
  </si>
  <si>
    <t>R010468412</t>
  </si>
  <si>
    <t>高田　雅博</t>
  </si>
  <si>
    <t>R010542177</t>
  </si>
  <si>
    <t>高橋　優</t>
  </si>
  <si>
    <t>R010546321</t>
  </si>
  <si>
    <t>髙藤　雅留</t>
  </si>
  <si>
    <t>R010538383</t>
  </si>
  <si>
    <t>髙村　龍冴</t>
  </si>
  <si>
    <t>髙本　澪奈</t>
  </si>
  <si>
    <t>R010538309</t>
  </si>
  <si>
    <t>田口　碧依</t>
  </si>
  <si>
    <t>R010546279</t>
  </si>
  <si>
    <t>竹嶋　優</t>
  </si>
  <si>
    <t>R010542181</t>
  </si>
  <si>
    <t>竹本　哲也</t>
  </si>
  <si>
    <t>R010546332</t>
  </si>
  <si>
    <t>竹本　優希</t>
  </si>
  <si>
    <t>R010538316</t>
  </si>
  <si>
    <t>R010542205</t>
  </si>
  <si>
    <t>但馬　廉</t>
  </si>
  <si>
    <t>R010189067</t>
  </si>
  <si>
    <t>田中　靖之</t>
  </si>
  <si>
    <t>R010538395</t>
  </si>
  <si>
    <t>田中　悠陽</t>
  </si>
  <si>
    <t>R010546335</t>
  </si>
  <si>
    <t>田中　琉偉</t>
  </si>
  <si>
    <t>R010538400</t>
  </si>
  <si>
    <t>R010538404</t>
  </si>
  <si>
    <t>田邉　秀和</t>
  </si>
  <si>
    <t>R010542175</t>
  </si>
  <si>
    <t>谷川　勝利</t>
  </si>
  <si>
    <t>R010549368</t>
  </si>
  <si>
    <t>田村　音羽</t>
  </si>
  <si>
    <t>R010552542</t>
  </si>
  <si>
    <t>塚崎　春輝</t>
  </si>
  <si>
    <t>R010552563</t>
  </si>
  <si>
    <t>津崎　亮佑</t>
  </si>
  <si>
    <t>R010538312</t>
  </si>
  <si>
    <t>辻　翔貴</t>
  </si>
  <si>
    <t>R010552566</t>
  </si>
  <si>
    <t>R010538394</t>
  </si>
  <si>
    <t>鶴河　翔太</t>
  </si>
  <si>
    <t>R010552530</t>
  </si>
  <si>
    <t>R010538399</t>
  </si>
  <si>
    <t>鶴原　聖季</t>
  </si>
  <si>
    <t>R010444506</t>
  </si>
  <si>
    <t>鶴原　楓也</t>
  </si>
  <si>
    <t>R010542168</t>
  </si>
  <si>
    <t>時松　辰行</t>
  </si>
  <si>
    <t>R010538380</t>
  </si>
  <si>
    <t>笘川　銀雅</t>
  </si>
  <si>
    <t>R010448248</t>
  </si>
  <si>
    <t>豊田　颯花</t>
  </si>
  <si>
    <t>R010546299</t>
  </si>
  <si>
    <t>豊永　優介</t>
  </si>
  <si>
    <t>R010445845</t>
  </si>
  <si>
    <t>仲　尚樹</t>
  </si>
  <si>
    <t>R010448251</t>
  </si>
  <si>
    <t>中倉　咲姫</t>
  </si>
  <si>
    <t>R010549363</t>
  </si>
  <si>
    <t>R010546313</t>
  </si>
  <si>
    <t>中根　漸</t>
  </si>
  <si>
    <t>R010542202</t>
  </si>
  <si>
    <t>中野　匠</t>
  </si>
  <si>
    <t>R010546291</t>
  </si>
  <si>
    <t>中原　笙</t>
  </si>
  <si>
    <t>R010538378</t>
  </si>
  <si>
    <t>中村　海晴</t>
  </si>
  <si>
    <t>R010448938</t>
  </si>
  <si>
    <t>中村　怜音</t>
  </si>
  <si>
    <t>R010538407</t>
  </si>
  <si>
    <t>中谷　翔</t>
  </si>
  <si>
    <t>R010546316</t>
  </si>
  <si>
    <t>永井　陽</t>
  </si>
  <si>
    <t>R010538398</t>
  </si>
  <si>
    <t>R010448231</t>
  </si>
  <si>
    <t>永岡　才拓</t>
  </si>
  <si>
    <t>R010445848</t>
  </si>
  <si>
    <t>長岡　巧磨</t>
  </si>
  <si>
    <t>R010546277</t>
  </si>
  <si>
    <t>永田　悠一郎</t>
  </si>
  <si>
    <t>R010448244</t>
  </si>
  <si>
    <t>長田　佳洋</t>
  </si>
  <si>
    <t>R010538406</t>
  </si>
  <si>
    <t>R010465597</t>
  </si>
  <si>
    <t>長野　武史</t>
  </si>
  <si>
    <t>R010465582</t>
  </si>
  <si>
    <t>永松　賢俊</t>
  </si>
  <si>
    <t>R010546273</t>
  </si>
  <si>
    <t>R010542208</t>
  </si>
  <si>
    <t>鳴海　翔丸</t>
  </si>
  <si>
    <t>R010542193</t>
  </si>
  <si>
    <t>R010538313</t>
  </si>
  <si>
    <t>西角　航兵</t>
  </si>
  <si>
    <t>R010465601</t>
  </si>
  <si>
    <t>西山　純平</t>
  </si>
  <si>
    <t>R010448937</t>
  </si>
  <si>
    <t>新田　莉生</t>
  </si>
  <si>
    <t>R010465600</t>
  </si>
  <si>
    <t>二宮　鯛介</t>
  </si>
  <si>
    <t>R010538405</t>
  </si>
  <si>
    <t>R010552556</t>
  </si>
  <si>
    <t>野上　哲弘</t>
  </si>
  <si>
    <t>R010453583</t>
  </si>
  <si>
    <t>野尻　慎之助</t>
  </si>
  <si>
    <t>R010453577</t>
  </si>
  <si>
    <t>野々下　蒼斗</t>
  </si>
  <si>
    <t>R010540707</t>
  </si>
  <si>
    <t>野村　陸翔</t>
  </si>
  <si>
    <t>R010430157</t>
  </si>
  <si>
    <t>野元　雅矢</t>
  </si>
  <si>
    <t>R010552557</t>
  </si>
  <si>
    <t>羽迫　吏久</t>
  </si>
  <si>
    <t>R010546322</t>
  </si>
  <si>
    <t>畑中　陽介</t>
  </si>
  <si>
    <t>R010542191</t>
  </si>
  <si>
    <t>羽立　智宣</t>
  </si>
  <si>
    <t>R010544476</t>
  </si>
  <si>
    <t>羽田野　天空</t>
  </si>
  <si>
    <t>R010468361</t>
  </si>
  <si>
    <t>花田　俊介</t>
  </si>
  <si>
    <t>R010468353</t>
  </si>
  <si>
    <t>花宮　龍之介</t>
  </si>
  <si>
    <t>R010540705</t>
  </si>
  <si>
    <t>馬場　晴大</t>
  </si>
  <si>
    <t>R010468362</t>
  </si>
  <si>
    <t>疋田　真吾</t>
  </si>
  <si>
    <t>R010546331</t>
  </si>
  <si>
    <t>樋口　咲哉</t>
  </si>
  <si>
    <t>R010542201</t>
  </si>
  <si>
    <t>肥後　克匡</t>
  </si>
  <si>
    <t>R010448934</t>
  </si>
  <si>
    <t>久恒　碧哉</t>
  </si>
  <si>
    <t>R010542172</t>
  </si>
  <si>
    <t>姫野　祥吾</t>
  </si>
  <si>
    <t>R010449907</t>
  </si>
  <si>
    <t>姫野　太一</t>
  </si>
  <si>
    <t>R010542187</t>
  </si>
  <si>
    <t>兵頭　哲也</t>
  </si>
  <si>
    <t>R010432600</t>
  </si>
  <si>
    <t>平沼　鉄生</t>
  </si>
  <si>
    <t>R010542207</t>
  </si>
  <si>
    <t>平松　敬章</t>
  </si>
  <si>
    <t>R010450133</t>
  </si>
  <si>
    <t>平山　雄太</t>
  </si>
  <si>
    <t>R010449912</t>
  </si>
  <si>
    <t>廣瀬　龍治</t>
  </si>
  <si>
    <t>R010552539</t>
  </si>
  <si>
    <t>廣峯　功一</t>
  </si>
  <si>
    <t>R010538370</t>
  </si>
  <si>
    <t>深田　勝弥</t>
  </si>
  <si>
    <t>R010538359</t>
  </si>
  <si>
    <t>深野　達也</t>
  </si>
  <si>
    <t>R010465622</t>
  </si>
  <si>
    <t>福田　航陽</t>
  </si>
  <si>
    <t>R010501257</t>
  </si>
  <si>
    <t>福田　知行</t>
  </si>
  <si>
    <t>R010444513</t>
  </si>
  <si>
    <t>福田　瑞樹</t>
  </si>
  <si>
    <t>R010444499</t>
  </si>
  <si>
    <t>藤田　恭輔</t>
  </si>
  <si>
    <t>R010432652</t>
  </si>
  <si>
    <t>藤田　大幹</t>
  </si>
  <si>
    <t>R010448931</t>
  </si>
  <si>
    <t>藤原　迅</t>
  </si>
  <si>
    <t>藤原　茅花紗</t>
  </si>
  <si>
    <t>R010539285</t>
  </si>
  <si>
    <t>冨米野　祐輔</t>
  </si>
  <si>
    <t>R010538352</t>
  </si>
  <si>
    <t>R010468338</t>
  </si>
  <si>
    <t>古田　健悟</t>
  </si>
  <si>
    <t>R010432642</t>
  </si>
  <si>
    <t>古寺　明日架</t>
  </si>
  <si>
    <t>R010444504</t>
  </si>
  <si>
    <t>法野　功太郎</t>
  </si>
  <si>
    <t>R010444520</t>
  </si>
  <si>
    <t>堀　悠佑</t>
  </si>
  <si>
    <t>R010448636</t>
  </si>
  <si>
    <t>本郷　魁正</t>
  </si>
  <si>
    <t>R010552533</t>
  </si>
  <si>
    <t>R010432653</t>
  </si>
  <si>
    <t>マガリェンス　アルナウド</t>
  </si>
  <si>
    <t>牧　耕成</t>
  </si>
  <si>
    <t>R010538362</t>
  </si>
  <si>
    <t>牧　優空</t>
  </si>
  <si>
    <t>R010449558</t>
  </si>
  <si>
    <t>桝永　真斗</t>
  </si>
  <si>
    <t>R010444487</t>
  </si>
  <si>
    <t>松尾　征吾</t>
  </si>
  <si>
    <t>R010448941</t>
  </si>
  <si>
    <t>松尾　晴登</t>
  </si>
  <si>
    <t>R010465583</t>
  </si>
  <si>
    <t>松岡　辰倫</t>
  </si>
  <si>
    <t>R010546314</t>
  </si>
  <si>
    <t>R010552545</t>
  </si>
  <si>
    <t>松島　大真</t>
  </si>
  <si>
    <t>R010448936</t>
  </si>
  <si>
    <t>松高　蓮</t>
  </si>
  <si>
    <t>R010432598</t>
  </si>
  <si>
    <t>松原　巧</t>
  </si>
  <si>
    <t>R010546270</t>
  </si>
  <si>
    <t>松山　琉維</t>
  </si>
  <si>
    <t>R010451954</t>
  </si>
  <si>
    <t>松雪　浩俊</t>
  </si>
  <si>
    <t>R010538321</t>
  </si>
  <si>
    <t>三浦　朋尚</t>
  </si>
  <si>
    <t>R010538372</t>
  </si>
  <si>
    <t>三浦　吏琥</t>
  </si>
  <si>
    <t>R010539946</t>
  </si>
  <si>
    <t>水城　莉緒斗</t>
  </si>
  <si>
    <t>R010449908</t>
  </si>
  <si>
    <t>溝辺　哲也</t>
  </si>
  <si>
    <t>R010538363</t>
  </si>
  <si>
    <t>溝邉　陸馬</t>
  </si>
  <si>
    <t>R010542196</t>
  </si>
  <si>
    <t>道脇　陽介</t>
  </si>
  <si>
    <t>R010465590</t>
  </si>
  <si>
    <t>満永　啓祐</t>
  </si>
  <si>
    <t>R010546295</t>
  </si>
  <si>
    <t>光長　好男</t>
  </si>
  <si>
    <t>R010402786</t>
  </si>
  <si>
    <t>宮房　舞太朗</t>
  </si>
  <si>
    <t>R010465579</t>
  </si>
  <si>
    <t>宮本　圭一郎</t>
  </si>
  <si>
    <t>R010546285</t>
  </si>
  <si>
    <t>宮本　怜旺</t>
  </si>
  <si>
    <t>R010538328</t>
  </si>
  <si>
    <t>宮脇　大芽</t>
  </si>
  <si>
    <t>R010546325</t>
  </si>
  <si>
    <t>村田　龍二</t>
  </si>
  <si>
    <t>R010468355</t>
  </si>
  <si>
    <t>室　元樹</t>
  </si>
  <si>
    <t>R010546272</t>
  </si>
  <si>
    <t>百田　凌基</t>
  </si>
  <si>
    <t>R010465588</t>
  </si>
  <si>
    <t>森　秀太</t>
  </si>
  <si>
    <t>R010538303</t>
  </si>
  <si>
    <t>森　凛桜</t>
  </si>
  <si>
    <t>R010540702</t>
  </si>
  <si>
    <t>森崎　陽輝</t>
  </si>
  <si>
    <t>R010448918</t>
  </si>
  <si>
    <t>森崎　瑠聖</t>
  </si>
  <si>
    <t>R010546286</t>
  </si>
  <si>
    <t>森下　春翔</t>
  </si>
  <si>
    <t>R010546280</t>
  </si>
  <si>
    <t>盛田　柚九</t>
  </si>
  <si>
    <t>R010538310</t>
  </si>
  <si>
    <t>森山　藍琉</t>
  </si>
  <si>
    <t>R010465599</t>
  </si>
  <si>
    <t>薬師寺　康平</t>
  </si>
  <si>
    <t>R010538290</t>
  </si>
  <si>
    <t>柳井　雅貴</t>
  </si>
  <si>
    <t>R010453584</t>
  </si>
  <si>
    <t>柳本　龍成</t>
  </si>
  <si>
    <t>R010538389</t>
  </si>
  <si>
    <t>矢野　伊織</t>
  </si>
  <si>
    <t>R010445840</t>
  </si>
  <si>
    <t>矢野　虎乃介</t>
  </si>
  <si>
    <t>R010542185</t>
  </si>
  <si>
    <t>矢野　裕</t>
  </si>
  <si>
    <t>R010538379</t>
  </si>
  <si>
    <t>山口　翔大</t>
  </si>
  <si>
    <t>R010553465</t>
  </si>
  <si>
    <t>R010553468</t>
  </si>
  <si>
    <t>山崎　博文</t>
  </si>
  <si>
    <t>R010466473</t>
  </si>
  <si>
    <t>山崎　哲也</t>
  </si>
  <si>
    <t>R010546271</t>
  </si>
  <si>
    <t>R010546339</t>
  </si>
  <si>
    <t>R010538311</t>
  </si>
  <si>
    <t>ヤマモト　一夫</t>
  </si>
  <si>
    <t>R010542530</t>
  </si>
  <si>
    <t>山本　太郎</t>
  </si>
  <si>
    <t>R010538381</t>
  </si>
  <si>
    <t>山本　成彦</t>
  </si>
  <si>
    <t>R010539284</t>
  </si>
  <si>
    <t>山本　成人</t>
  </si>
  <si>
    <t>R010546337</t>
  </si>
  <si>
    <t>山本　獅王</t>
  </si>
  <si>
    <t>R010448921</t>
  </si>
  <si>
    <t>湯浅　諒</t>
  </si>
  <si>
    <t>R010546330</t>
  </si>
  <si>
    <t>用正　蓮歩</t>
  </si>
  <si>
    <t>R010538392</t>
  </si>
  <si>
    <t>横飛　明</t>
  </si>
  <si>
    <t>R010546315</t>
  </si>
  <si>
    <t>R010553467</t>
  </si>
  <si>
    <t>吉岡　大河</t>
  </si>
  <si>
    <t>R010542528</t>
  </si>
  <si>
    <t>吉田　光騎</t>
  </si>
  <si>
    <t>R010538401</t>
  </si>
  <si>
    <t>R010553466</t>
  </si>
  <si>
    <t>吉田　将志</t>
  </si>
  <si>
    <t>R010546341</t>
  </si>
  <si>
    <t>吉田　桃花</t>
  </si>
  <si>
    <t>R010448917</t>
  </si>
  <si>
    <t>吉野　大峨</t>
  </si>
  <si>
    <t>R010546294</t>
  </si>
  <si>
    <t>吉松　敬次郎</t>
  </si>
  <si>
    <t>R010538338</t>
  </si>
  <si>
    <t>吉村　純平</t>
  </si>
  <si>
    <t>R010538376</t>
  </si>
  <si>
    <t>R010538344</t>
  </si>
  <si>
    <t>渡辺　佳歩</t>
  </si>
  <si>
    <t>R010538318</t>
  </si>
  <si>
    <t>R010444491</t>
  </si>
  <si>
    <t>渡邉　直耶</t>
  </si>
  <si>
    <t>R010538382</t>
  </si>
  <si>
    <t>R010538341</t>
  </si>
  <si>
    <t>渡辺　吉紀</t>
  </si>
  <si>
    <t>R010542529</t>
  </si>
  <si>
    <t>輪田　真理</t>
  </si>
  <si>
    <t>サカイ　シュン</t>
  </si>
  <si>
    <t>イシバシ　マサカズ</t>
  </si>
  <si>
    <t>イソベ　ヒロキ</t>
  </si>
  <si>
    <t>オオイシ　セイヤ</t>
  </si>
  <si>
    <t>オオツル　ショウタロウ</t>
  </si>
  <si>
    <t>オカダ　リョウヤ</t>
  </si>
  <si>
    <t>オガタ　ショウヘイ</t>
  </si>
  <si>
    <t>カタヤマ　ミキヒコ</t>
  </si>
  <si>
    <t>カネコ　コウジ</t>
  </si>
  <si>
    <t>カワサキ　シュウト</t>
  </si>
  <si>
    <t>キタムラ　シンゴ</t>
  </si>
  <si>
    <t>キモト　ダイチ</t>
  </si>
  <si>
    <t>クドウ　リョウイチ</t>
  </si>
  <si>
    <t>コセ　ダイキ</t>
  </si>
  <si>
    <t>コダマ　マサキ</t>
  </si>
  <si>
    <t>コバヤシ　トシハル</t>
  </si>
  <si>
    <t>シトウ　ケイシロウ</t>
  </si>
  <si>
    <t>ショウノ　ケンタロウ</t>
  </si>
  <si>
    <t>ストウ　テツヤ</t>
  </si>
  <si>
    <t>スドウ　ユウタ</t>
  </si>
  <si>
    <t>タカダ　ユウヤ</t>
  </si>
  <si>
    <t>タカハシ　ユウト</t>
  </si>
  <si>
    <t>ツカザキ　タカノリ</t>
  </si>
  <si>
    <t>ツボネ　コウキ</t>
  </si>
  <si>
    <t>ナガオカ　スグル</t>
  </si>
  <si>
    <t>ナガノ　タカシ</t>
  </si>
  <si>
    <t>ヒラカワ　リョウ</t>
  </si>
  <si>
    <t>マエダ　ユウヤ</t>
  </si>
  <si>
    <t>マツモト　カズヤ</t>
  </si>
  <si>
    <t>ミヤハラ　リョウスケ</t>
  </si>
  <si>
    <t>ワダ　コウスケ</t>
  </si>
  <si>
    <t>アイシマ　ツカサ</t>
  </si>
  <si>
    <t>アオマツ　ルイ</t>
  </si>
  <si>
    <t>アソウ　ゲンタ</t>
  </si>
  <si>
    <t>アソウ　マサヒロ</t>
  </si>
  <si>
    <t>アダチ　ケンタ</t>
  </si>
  <si>
    <t>アダチ　リク</t>
  </si>
  <si>
    <t>アナミ　リンタロウ</t>
  </si>
  <si>
    <t>アベ　ジンタ</t>
  </si>
  <si>
    <t>アベ　ミユウ</t>
  </si>
  <si>
    <t>アリムラ　レアル</t>
  </si>
  <si>
    <t>アンドウ　イブキ</t>
  </si>
  <si>
    <t>アンドウ　タツヒデ</t>
  </si>
  <si>
    <t>アンドウ　リョウタ</t>
  </si>
  <si>
    <t>アンヨウジ　シンヤ</t>
  </si>
  <si>
    <t>イサヤマ　タク</t>
  </si>
  <si>
    <t>イシイ　リョウタ</t>
  </si>
  <si>
    <t>イシザキ　ソウタ</t>
  </si>
  <si>
    <t>イシダ　リョウタ</t>
  </si>
  <si>
    <t>イズミ　ヒロユキ</t>
  </si>
  <si>
    <t>イタイ　アイノスケ</t>
  </si>
  <si>
    <t>イチカワ　ヨシキ</t>
  </si>
  <si>
    <t>イチハラ　ルイ</t>
  </si>
  <si>
    <t>イデタ　シュン</t>
  </si>
  <si>
    <t>イトウ　ショウセイ</t>
  </si>
  <si>
    <t>イマトミ　コウヘイ</t>
  </si>
  <si>
    <t>イマヤマ　アユキ</t>
  </si>
  <si>
    <t>イワオ　シュウト</t>
  </si>
  <si>
    <t>イワオ　シンノスケ</t>
  </si>
  <si>
    <t>イワサカ　ヒロユキ</t>
  </si>
  <si>
    <t>ウスイ　コウスケ</t>
  </si>
  <si>
    <t>ウタ　コノム</t>
  </si>
  <si>
    <t>ウチダ　シンゴ</t>
  </si>
  <si>
    <t>ウノ　シュンスケ</t>
  </si>
  <si>
    <t>エガワ　ダイキ</t>
  </si>
  <si>
    <t>エグチ　ヤスフミ</t>
  </si>
  <si>
    <t>エトウ　コウスケ</t>
  </si>
  <si>
    <t>エトウ　ソウタ</t>
  </si>
  <si>
    <t>エトウ　タカシ</t>
  </si>
  <si>
    <t>エトウ　リオ</t>
  </si>
  <si>
    <t>エド　リキ</t>
  </si>
  <si>
    <t>エンドウ　ユキヒト</t>
  </si>
  <si>
    <t>オオイシ　マサノリ</t>
  </si>
  <si>
    <t>オオタ　ハルキ</t>
  </si>
  <si>
    <t>オオツ　シュンイチ</t>
  </si>
  <si>
    <t>オオト　アサヒ</t>
  </si>
  <si>
    <t>オオノ　シュンスケ</t>
  </si>
  <si>
    <t>オオバ　マサヒロ</t>
  </si>
  <si>
    <t>オカ　ホマレ</t>
  </si>
  <si>
    <t>オカザキ　ヒロム</t>
  </si>
  <si>
    <t>オカノ　ナオト</t>
  </si>
  <si>
    <t>オカムラ　ユウキ</t>
  </si>
  <si>
    <t>オカモト　カズヤ</t>
  </si>
  <si>
    <t>オカモト　ユウ</t>
  </si>
  <si>
    <t>オクダ　テッペイ</t>
  </si>
  <si>
    <t>オシダ　スグル</t>
  </si>
  <si>
    <t>オダマキ　ユウジ</t>
  </si>
  <si>
    <t>オノ　アツジ</t>
  </si>
  <si>
    <t>オノ　カナト</t>
  </si>
  <si>
    <t>オノ　カリン</t>
  </si>
  <si>
    <t>オノ　カンタ</t>
  </si>
  <si>
    <t>オノ　ヒカル</t>
  </si>
  <si>
    <t>オノ　レイキ</t>
  </si>
  <si>
    <t>オノ　レオ</t>
  </si>
  <si>
    <t>カクマ　アユム</t>
  </si>
  <si>
    <t>カクヤ　ナオキ</t>
  </si>
  <si>
    <t>カトウ　フミアキ</t>
  </si>
  <si>
    <t>カナマル　ケント</t>
  </si>
  <si>
    <t>カミジョウ　ツカサ</t>
  </si>
  <si>
    <t>カワジリ　アキト</t>
  </si>
  <si>
    <t>カワノ　ウキ</t>
  </si>
  <si>
    <t>カワノ　エイマ</t>
  </si>
  <si>
    <t>カワノ　トラノスケ</t>
  </si>
  <si>
    <t>カワノ　ナツ</t>
  </si>
  <si>
    <t>カワバタ　サユキ</t>
  </si>
  <si>
    <t>カンザキ　クルミ</t>
  </si>
  <si>
    <t>カンダ　ユタカ</t>
  </si>
  <si>
    <t>キクヤ　リョウ</t>
  </si>
  <si>
    <t>キタガワ　カナデ</t>
  </si>
  <si>
    <t>キヌガサ　ユウキ</t>
  </si>
  <si>
    <t>キモト　ヒロアキ</t>
  </si>
  <si>
    <t>クドウ　リョウセイ</t>
  </si>
  <si>
    <t>クボ　コウタ</t>
  </si>
  <si>
    <t>クマイ　ユウト</t>
  </si>
  <si>
    <t>クラタ　コウダイ</t>
  </si>
  <si>
    <t>クロキ　ダイジロウ</t>
  </si>
  <si>
    <t>クワノ　ヒロユキ</t>
  </si>
  <si>
    <t>クワバラ　リキト</t>
  </si>
  <si>
    <t>コイシ　ケイスケ</t>
  </si>
  <si>
    <t>コウノ　タイラ</t>
  </si>
  <si>
    <t>コダマ　ジュンヤ</t>
  </si>
  <si>
    <t>コダマ　ユウタ</t>
  </si>
  <si>
    <t>コテガワ　レン</t>
  </si>
  <si>
    <t>コバヤシ　スバル</t>
  </si>
  <si>
    <t>コヤマ　ジュンペイ</t>
  </si>
  <si>
    <t>ゴウタニ　ユウキ</t>
  </si>
  <si>
    <t>ゴトウ　コウキ</t>
  </si>
  <si>
    <t>ゴトウ　ヒロキ</t>
  </si>
  <si>
    <t>ゴトウ　リンタロウ</t>
  </si>
  <si>
    <t>サイキ　シヨウイチ</t>
  </si>
  <si>
    <t>サカイ　アオト</t>
  </si>
  <si>
    <t>サカイ　コウタ</t>
  </si>
  <si>
    <t>サカキバラ　リュウノスケ</t>
  </si>
  <si>
    <t>サクライ　タカヒロ</t>
  </si>
  <si>
    <t>サコ　セイイチロウ</t>
  </si>
  <si>
    <t>ササキ　タクミ</t>
  </si>
  <si>
    <t>サトウ　アユト</t>
  </si>
  <si>
    <t>サトウ　コウキ</t>
  </si>
  <si>
    <t>サトウ　シユウヤ</t>
  </si>
  <si>
    <t>サトウ　ショウタ</t>
  </si>
  <si>
    <t>サトウ　テツヤ</t>
  </si>
  <si>
    <t>サトウ　マモル</t>
  </si>
  <si>
    <t>サトウ　ユウシン</t>
  </si>
  <si>
    <t>サトウ　リク</t>
  </si>
  <si>
    <t>ザイツ　リョウスケ</t>
  </si>
  <si>
    <t>シカナイ　カツヒコ</t>
  </si>
  <si>
    <t>シキシマ　ヨシオ</t>
  </si>
  <si>
    <t>シゲミツ　ヒナタ</t>
  </si>
  <si>
    <t>シマハタ　ヨシフミ</t>
  </si>
  <si>
    <t>シュウトウ　カナタ</t>
  </si>
  <si>
    <t>シュトウ　タカシ</t>
  </si>
  <si>
    <t>ショウブ　ユウタ</t>
  </si>
  <si>
    <t>シン　タクマ</t>
  </si>
  <si>
    <t>シンノウ　カナタ</t>
  </si>
  <si>
    <t>シンムラ　ワタル</t>
  </si>
  <si>
    <t>スエ　ヒロキ</t>
  </si>
  <si>
    <t>スエツナ　ユキナリ</t>
  </si>
  <si>
    <t>スエヒロ　トモアキ</t>
  </si>
  <si>
    <t>スエモト　シュンタ</t>
  </si>
  <si>
    <t>スガタ　カズマ</t>
  </si>
  <si>
    <t>ストウ　ソウ</t>
  </si>
  <si>
    <t>セキヤ　ショウタ</t>
  </si>
  <si>
    <t>ソメヤ　ユウシン</t>
  </si>
  <si>
    <t>タカイ　コウスケ</t>
  </si>
  <si>
    <t>タカキ　タイセイ</t>
  </si>
  <si>
    <t>タカダ　マサヒロ</t>
  </si>
  <si>
    <t>タカハシ　ハル</t>
  </si>
  <si>
    <t>タカハシ　ユウ</t>
  </si>
  <si>
    <t>タカフジ　マサル</t>
  </si>
  <si>
    <t>タカムラ　リュウザ</t>
  </si>
  <si>
    <t>タグチ　アオイ</t>
  </si>
  <si>
    <t>タケシマ　ユウ</t>
  </si>
  <si>
    <t>タケモト　テツヤ</t>
  </si>
  <si>
    <t>タケモト　ユウキ</t>
  </si>
  <si>
    <t>タシマ　リオウ</t>
  </si>
  <si>
    <t>タジマ　レン</t>
  </si>
  <si>
    <t>タナカ　ヤスユキ</t>
  </si>
  <si>
    <t>タナカ　ユウヒ</t>
  </si>
  <si>
    <t>タナカ　ルイ</t>
  </si>
  <si>
    <t>タナベ　ヒデカズ</t>
  </si>
  <si>
    <t>タニガワ　カツトシ</t>
  </si>
  <si>
    <t>タムラ　オトハ</t>
  </si>
  <si>
    <t>ツカザキ　ハルキ</t>
  </si>
  <si>
    <t>ツザキ　リョウスケ</t>
  </si>
  <si>
    <t>ツジ　ショウキ</t>
  </si>
  <si>
    <t>ツルカワ　ショウタ</t>
  </si>
  <si>
    <t>ツルハラ　イブキ</t>
  </si>
  <si>
    <t>ツルハラ　フウヤ</t>
  </si>
  <si>
    <t>トキマツ　タツユキ</t>
  </si>
  <si>
    <t>トマカワ　ギンガ</t>
  </si>
  <si>
    <t>トヨダ　サヤカ</t>
  </si>
  <si>
    <t>トヨナガ　ユウスケ</t>
  </si>
  <si>
    <t>ナカ　ナオキ</t>
  </si>
  <si>
    <t>ナカクラ　サキ</t>
  </si>
  <si>
    <t>ナカネ　ゼン</t>
  </si>
  <si>
    <t>ナカノ　タクミ</t>
  </si>
  <si>
    <t>ナカハラ　ショウ</t>
  </si>
  <si>
    <t>ナカムラ　カイセイ</t>
  </si>
  <si>
    <t>ナカムラ　レオン</t>
  </si>
  <si>
    <t>ナカヤ　ショウ</t>
  </si>
  <si>
    <t>ナガイ　ハル</t>
  </si>
  <si>
    <t>ナガオカ　タカヒロ</t>
  </si>
  <si>
    <t>ナガオカ　タクマ</t>
  </si>
  <si>
    <t>ナガタ　ユウイチロウ</t>
  </si>
  <si>
    <t>ナガノ　タケシ</t>
  </si>
  <si>
    <t>ナガマツ　マサトシ</t>
  </si>
  <si>
    <t>ナルミ　ショウマル</t>
  </si>
  <si>
    <t>ニシカド　コウヘイ</t>
  </si>
  <si>
    <t>ニシヤマ　ジュンペイ</t>
  </si>
  <si>
    <t>ニノミヤ　タイスケ</t>
  </si>
  <si>
    <t>ノガミ　ヨシヒロ</t>
  </si>
  <si>
    <t>ノジリ　シンノスケ</t>
  </si>
  <si>
    <t>ノノシタ　アオト</t>
  </si>
  <si>
    <t>ノムラ　リクト</t>
  </si>
  <si>
    <t>ノモト　マサヤ</t>
  </si>
  <si>
    <t>ハタナカ　ヨウスケ</t>
  </si>
  <si>
    <t>ハダテ　トモノリ</t>
  </si>
  <si>
    <t>ハダノ　ソラ</t>
  </si>
  <si>
    <t>ハナダ　シュンスケ</t>
  </si>
  <si>
    <t>ハナミヤ　リュウノスケ</t>
  </si>
  <si>
    <t>ババ　ハルト</t>
  </si>
  <si>
    <t>ヒキダ　シンゴ</t>
  </si>
  <si>
    <t>ヒグチ　サクヤ</t>
  </si>
  <si>
    <t>ヒゴ　カツマサ</t>
  </si>
  <si>
    <t>ヒサツネ　リクヤ</t>
  </si>
  <si>
    <t>ヒメノ　ショウゴ</t>
  </si>
  <si>
    <t>ヒメノ　タイチ</t>
  </si>
  <si>
    <t>ヒョウドウ　テツヤ</t>
  </si>
  <si>
    <t>ヒラヌマ　テッセイ</t>
  </si>
  <si>
    <t>ヒラマツ　タカアキ</t>
  </si>
  <si>
    <t>ヒラヤマ　コウタ</t>
  </si>
  <si>
    <t>ヒロセ　リュウジ</t>
  </si>
  <si>
    <t>ヒロミネ　コウイチ</t>
  </si>
  <si>
    <t>フカタ　カツヤ</t>
  </si>
  <si>
    <t>フカノ　タツヤ</t>
  </si>
  <si>
    <t>フクダ　コウヨウ</t>
  </si>
  <si>
    <t>フクダ　トモユキ</t>
  </si>
  <si>
    <t>フクダ　ミズキ</t>
  </si>
  <si>
    <t>フジタ　キョウスケ</t>
  </si>
  <si>
    <t>フジタ　タイキ</t>
  </si>
  <si>
    <t>フジワラ　ジン</t>
  </si>
  <si>
    <t>フジワラ　ツバサ</t>
  </si>
  <si>
    <t>フメノ　ユウスケ</t>
  </si>
  <si>
    <t>フルタ　ケンゴ</t>
  </si>
  <si>
    <t>フルテラ　アスカ</t>
  </si>
  <si>
    <t>ホウノ　コウタロウ</t>
  </si>
  <si>
    <t>ホリ　ユウスケ</t>
  </si>
  <si>
    <t>ホンゴウ　カイセイ</t>
  </si>
  <si>
    <t>マキ　コウセイ</t>
  </si>
  <si>
    <t>マキ　ユラ</t>
  </si>
  <si>
    <t>マスナガ　マナト</t>
  </si>
  <si>
    <t>マツオ　セイゴ</t>
  </si>
  <si>
    <t>マツオ　ハルト</t>
  </si>
  <si>
    <t>マツオカ　タツノリ</t>
  </si>
  <si>
    <t>マツシマ　ダイシン</t>
  </si>
  <si>
    <t>マツタカ　レン</t>
  </si>
  <si>
    <t>マツバラ　タクミ</t>
  </si>
  <si>
    <t>マツヤマ　ルイ</t>
  </si>
  <si>
    <t>マツユキ　ヒロトシ</t>
  </si>
  <si>
    <t>ミウラ　トモヒサ</t>
  </si>
  <si>
    <t>ミウラ　ハヤト</t>
  </si>
  <si>
    <t>ミウラ　リク</t>
  </si>
  <si>
    <t>ミズシロ　リオト</t>
  </si>
  <si>
    <t>ミゾベ　テツヤ</t>
  </si>
  <si>
    <t>ミゾベ　リクマ</t>
  </si>
  <si>
    <t>ミチワキ　ヨウスケ</t>
  </si>
  <si>
    <t>ミツナガ　ケイスケ</t>
  </si>
  <si>
    <t>ミツナガ　ヨシオ</t>
  </si>
  <si>
    <t>ミヤフサ　ブンタロウ</t>
  </si>
  <si>
    <t>ミヤモト　ケイイチロウ</t>
  </si>
  <si>
    <t>ミヤモト　レオ</t>
  </si>
  <si>
    <t>ミヤワキ　タイガ</t>
  </si>
  <si>
    <t>ムラタ　リュウジ</t>
  </si>
  <si>
    <t>ムロ　ゲンキ</t>
  </si>
  <si>
    <t>モモタ　リョウキ</t>
  </si>
  <si>
    <t>モリ　シュウタ</t>
  </si>
  <si>
    <t>モリ　リサ</t>
  </si>
  <si>
    <t>モリサキ　ハルキ</t>
  </si>
  <si>
    <t>モリサキ　リュウセイ</t>
  </si>
  <si>
    <t>モリシタ　ハルト</t>
  </si>
  <si>
    <t>モリタ　ユズキ</t>
  </si>
  <si>
    <t>モリヤマ　アイル</t>
  </si>
  <si>
    <t>ヤクシジ　コウヘイ</t>
  </si>
  <si>
    <t>ヤナイ　マサタカ</t>
  </si>
  <si>
    <t>ヤナモト　リュウセイ</t>
  </si>
  <si>
    <t>ヤノ　イオリ</t>
  </si>
  <si>
    <t>ヤノ　トラノスケ</t>
  </si>
  <si>
    <t>ヤノ　ユウ</t>
  </si>
  <si>
    <t>ヤマグチ　ショウタ</t>
  </si>
  <si>
    <t>ヤマサキ　ヒロフミ</t>
  </si>
  <si>
    <t>ヤマザキ　テツヤ</t>
  </si>
  <si>
    <t>ヤマモト　タロウ</t>
  </si>
  <si>
    <t>ヤマモト　ノリヒコ</t>
  </si>
  <si>
    <t>ヤマモト　マサト</t>
  </si>
  <si>
    <t>ヤマモト　レオ</t>
  </si>
  <si>
    <t>ユアサ　リョウ</t>
  </si>
  <si>
    <t>ヨウショウ　レアル</t>
  </si>
  <si>
    <t>ヨコトビ　アキラ</t>
  </si>
  <si>
    <t>ヨシオカ　タイガ</t>
  </si>
  <si>
    <t>ヨシダ　コウキ</t>
  </si>
  <si>
    <t>ヨシダ　マサシ</t>
  </si>
  <si>
    <t>ヨシダ　モモカ</t>
  </si>
  <si>
    <t>ヨシノ　タイガ</t>
  </si>
  <si>
    <t>ヨシマツ　ケイジロウ</t>
  </si>
  <si>
    <t>ヨシムラ　ジュンペイ</t>
  </si>
  <si>
    <t>ワタナベ　カホ</t>
  </si>
  <si>
    <t>ワタナベ　ナオヤ</t>
  </si>
  <si>
    <t>ワタナベ　ヨシノリ</t>
  </si>
  <si>
    <t>ワダ　マリ</t>
  </si>
  <si>
    <t>所属協会</t>
  </si>
  <si>
    <t>大分県</t>
  </si>
  <si>
    <t>第二登録協会</t>
  </si>
  <si>
    <t>ＭＦＣ三花少年サッカー教室</t>
  </si>
  <si>
    <t>三芳少年サッカースクール</t>
  </si>
  <si>
    <t>玖珠サッカースポーツ少年団</t>
  </si>
  <si>
    <t>ＦＣ．ＵＳＡ</t>
  </si>
  <si>
    <t>四日市南ＳＳＣ</t>
  </si>
  <si>
    <t>四日市北ＪＦＣ</t>
  </si>
  <si>
    <t>八坂少年サッカークラブ</t>
  </si>
  <si>
    <t>はやぶさフットボールクラブ</t>
  </si>
  <si>
    <t>鶴居ＳＳＳ</t>
  </si>
  <si>
    <t>ＦＣ大野</t>
  </si>
  <si>
    <t>鶴見ジュニアサッカークラブ</t>
  </si>
  <si>
    <t>緑丘サッカースポーツ少年団</t>
  </si>
  <si>
    <t>Ｓｈｙｎｔ　ＦＣ</t>
  </si>
  <si>
    <t>和田少年サッカークラブ</t>
  </si>
  <si>
    <t>下毛ＦＣ</t>
  </si>
  <si>
    <t>中津豊南ＦＣ</t>
  </si>
  <si>
    <t>鶴見少年サッカークラブ</t>
  </si>
  <si>
    <t>弥生少年サッカークラブ</t>
  </si>
  <si>
    <t>上堅田少年サッカークラブ</t>
  </si>
  <si>
    <t>鶴岡Ｓ―ｐｌａｙ・ＭＩＮＡＭＩ</t>
  </si>
  <si>
    <t>日出サッカースポーツ少年団</t>
  </si>
  <si>
    <t>渡町台サッカークラブ</t>
  </si>
  <si>
    <t>豊後高田ＦＣ　Ｂｏｒｄｅｒ　Ｊｒ</t>
  </si>
  <si>
    <t>竹田直入ＦＣ</t>
  </si>
  <si>
    <t>ＯＫＹ山香サッカークラブ</t>
  </si>
  <si>
    <t>臼杵ＳＳＳ</t>
  </si>
  <si>
    <t>ようこくバンビーレＦＣ</t>
  </si>
  <si>
    <t>野津ＦＣ</t>
  </si>
  <si>
    <t>スマイス日出</t>
  </si>
  <si>
    <t>ＦＣ　ＵＮＩＴＥ</t>
  </si>
  <si>
    <t>朝日ＦＣ</t>
  </si>
  <si>
    <t>ＦＣリーベル</t>
  </si>
  <si>
    <t>如水ジュニアサッカークラブ</t>
  </si>
  <si>
    <t>ＦＣ．ＲＥ．ＳＴＡＲＴ　</t>
  </si>
  <si>
    <t>長谷部　文人</t>
  </si>
  <si>
    <t>ハセベ　フミト</t>
  </si>
  <si>
    <t>椋野　凌生</t>
  </si>
  <si>
    <t>ムクノ　リュウ</t>
  </si>
  <si>
    <t>内海　太輝</t>
  </si>
  <si>
    <t>ウツミ　タイヨウ</t>
  </si>
  <si>
    <t>木下　誠喜</t>
  </si>
  <si>
    <t>キノシタ　マコ</t>
  </si>
  <si>
    <t>上田　暖</t>
  </si>
  <si>
    <t>ウエダ　ハル</t>
  </si>
  <si>
    <t>幸　翔太</t>
  </si>
  <si>
    <t>ユキ　ショウタ</t>
  </si>
  <si>
    <t>安養寺　徳真</t>
  </si>
  <si>
    <t>アンヨウジ　トクマ</t>
  </si>
  <si>
    <t>梶原　慶</t>
  </si>
  <si>
    <t>カジワラ　ケイ</t>
  </si>
  <si>
    <t>唐木　耀誠</t>
  </si>
  <si>
    <t>カラキ　ヨウセイ</t>
  </si>
  <si>
    <t>城本　凰喜</t>
  </si>
  <si>
    <t>シロモト　コウキ</t>
  </si>
  <si>
    <t>萬　結史</t>
  </si>
  <si>
    <t>ヨロズ　ユシ</t>
  </si>
  <si>
    <t>萬　善</t>
  </si>
  <si>
    <t>ヨロズ　ゼン</t>
  </si>
  <si>
    <t>松岡　蓮音</t>
  </si>
  <si>
    <t>マツオカ　レント</t>
  </si>
  <si>
    <t>古賀　丈太郎</t>
  </si>
  <si>
    <t>コガ　ジョウタロウ</t>
  </si>
  <si>
    <t>タカナミ　テンセイ</t>
  </si>
  <si>
    <t>安田　悠人</t>
  </si>
  <si>
    <t>ヤスダ　ユウト</t>
  </si>
  <si>
    <t>山本　晴翔</t>
  </si>
  <si>
    <t>ヤマモト　ハルト</t>
  </si>
  <si>
    <t>シイハラ　ユウタ</t>
  </si>
  <si>
    <t>大鶴　拳志郎</t>
  </si>
  <si>
    <t>オオツル　ケンシロウ</t>
  </si>
  <si>
    <t>河津　壮真</t>
  </si>
  <si>
    <t>カワヅ　ソウマ</t>
  </si>
  <si>
    <t>小山　泉粋</t>
  </si>
  <si>
    <t>コヤマ　センスイ</t>
  </si>
  <si>
    <t>井上　來都</t>
  </si>
  <si>
    <t>イノウエ　ライト</t>
  </si>
  <si>
    <t>小田　徳大</t>
  </si>
  <si>
    <t>オダ　トクダイ</t>
  </si>
  <si>
    <t>日野　快玲</t>
  </si>
  <si>
    <t>ヒノ　カイリ</t>
  </si>
  <si>
    <t>宝珠　将吾</t>
  </si>
  <si>
    <t>ホウス　ショウゴ</t>
  </si>
  <si>
    <t>田中　冠舟</t>
  </si>
  <si>
    <t>タナカ　カンシュウ</t>
  </si>
  <si>
    <t>繁田　大雅</t>
  </si>
  <si>
    <t>シゲタ　タイガ</t>
  </si>
  <si>
    <t>マツオ　ソウマ</t>
  </si>
  <si>
    <t>吉井　颯</t>
  </si>
  <si>
    <t>ヨシイ　ハヤテ</t>
  </si>
  <si>
    <t>大力　翼</t>
  </si>
  <si>
    <t>ダイリキ　ツバサ</t>
  </si>
  <si>
    <t>桐畑　奈儀徒</t>
  </si>
  <si>
    <t>キリハタ　ナギト</t>
  </si>
  <si>
    <t>今永　瑛仁</t>
  </si>
  <si>
    <t>イマナガ　エイト</t>
  </si>
  <si>
    <t>礒辺　翔</t>
  </si>
  <si>
    <t>イソベ　ショウ</t>
  </si>
  <si>
    <t>吉松　龍生</t>
  </si>
  <si>
    <t>ヨシマツ　リュウショウ</t>
  </si>
  <si>
    <t>光永　颯大</t>
  </si>
  <si>
    <t>ミツナガ　ソウタ</t>
  </si>
  <si>
    <t>小山　千慧</t>
  </si>
  <si>
    <t>コヤマ　チサト</t>
  </si>
  <si>
    <t>岡部　龍大</t>
  </si>
  <si>
    <t>オカベ　リュウダイ</t>
  </si>
  <si>
    <t>合原　竜毅</t>
  </si>
  <si>
    <t>ゴウバル　リュウキ</t>
  </si>
  <si>
    <t>安倍　翔空</t>
  </si>
  <si>
    <t>アベ　トア</t>
  </si>
  <si>
    <t>河野　広空</t>
  </si>
  <si>
    <t>カワノ　ヒロタカ</t>
  </si>
  <si>
    <t>伴　龍之介</t>
  </si>
  <si>
    <t>バン　リュウノスケ</t>
  </si>
  <si>
    <t>中野　嬉生</t>
  </si>
  <si>
    <t>ナカノ　キオ</t>
  </si>
  <si>
    <t>原田　将臣</t>
  </si>
  <si>
    <t>ハラダ　マサオミ</t>
  </si>
  <si>
    <t>吉田　和季</t>
  </si>
  <si>
    <t>ヨシダ　カズ</t>
  </si>
  <si>
    <t>衛藤　紘太</t>
  </si>
  <si>
    <t>徳丸　緒憧</t>
  </si>
  <si>
    <t>トクマル　ショア</t>
  </si>
  <si>
    <t>亀井　凌</t>
  </si>
  <si>
    <t>カメイ　リョウ</t>
  </si>
  <si>
    <t>佐藤　心乃助</t>
  </si>
  <si>
    <t>サトウ　シンノスケ</t>
  </si>
  <si>
    <t>長谷雄　大和</t>
  </si>
  <si>
    <t>ハセオ　ヤマト</t>
  </si>
  <si>
    <t>鹿野　亜衣莉</t>
  </si>
  <si>
    <t>カノ　アイリ</t>
  </si>
  <si>
    <t>長谷雄　銀士</t>
  </si>
  <si>
    <t>ハセオ　ギンジ</t>
  </si>
  <si>
    <t>浅井　仁成</t>
  </si>
  <si>
    <t>アザイ　ジンセイ</t>
  </si>
  <si>
    <t>是永　愛翔</t>
  </si>
  <si>
    <t>コレナガ　マナト</t>
  </si>
  <si>
    <t>川野　颯亮</t>
  </si>
  <si>
    <t>カワノ　ソウスケ</t>
  </si>
  <si>
    <t>難波　航平</t>
  </si>
  <si>
    <t>ナンバ　コウヘイ</t>
  </si>
  <si>
    <t>箕迫　夏海</t>
  </si>
  <si>
    <t>ミイサコ　ナツミ</t>
  </si>
  <si>
    <t>福田　ここな</t>
  </si>
  <si>
    <t>フクダ　ココナ</t>
  </si>
  <si>
    <t>宮本　結生</t>
  </si>
  <si>
    <t>平野　嵩晴</t>
  </si>
  <si>
    <t>ヒラノ　スバル</t>
  </si>
  <si>
    <t>松本　絢斗</t>
  </si>
  <si>
    <t>マツモト　アヤト</t>
  </si>
  <si>
    <t>板井　建親</t>
  </si>
  <si>
    <t>イタイ　ケンシン</t>
  </si>
  <si>
    <t>麻生　結実</t>
  </si>
  <si>
    <t>アソウ　ユウミ</t>
  </si>
  <si>
    <t>遠矢　楓斗</t>
  </si>
  <si>
    <t>トオヤ　フウト</t>
  </si>
  <si>
    <t>高橋　颯志</t>
  </si>
  <si>
    <t>タカハシ　ソウシ</t>
  </si>
  <si>
    <t>甲斐　晶</t>
  </si>
  <si>
    <t>矢治　雅弘</t>
  </si>
  <si>
    <t>ヤジ　マサヒロ</t>
  </si>
  <si>
    <t>エトウ　アオイ</t>
  </si>
  <si>
    <t>宮脇　匠志</t>
  </si>
  <si>
    <t>ミヤワキ　ショウジ</t>
  </si>
  <si>
    <t>古間地　櫻咲</t>
  </si>
  <si>
    <t>フルマジ　ハル</t>
  </si>
  <si>
    <t>邑本　一真</t>
  </si>
  <si>
    <t>ムラモト　カズマ</t>
  </si>
  <si>
    <t>奥　蒼太</t>
  </si>
  <si>
    <t>オク　ソウタ</t>
  </si>
  <si>
    <t>山本　寿輝</t>
  </si>
  <si>
    <t>ヤマモト　トシキ</t>
  </si>
  <si>
    <t>森脇　琥太郎</t>
  </si>
  <si>
    <t>モリワキ　コタロウ</t>
  </si>
  <si>
    <t>貴戸　晟吾</t>
  </si>
  <si>
    <t>キド　セイゴ</t>
  </si>
  <si>
    <t>堀部　翔太</t>
  </si>
  <si>
    <t>ホリベ　ショウタ</t>
  </si>
  <si>
    <t>高比良　飛吹</t>
  </si>
  <si>
    <t>タカヒラ　イブキ</t>
  </si>
  <si>
    <t>山口　律</t>
  </si>
  <si>
    <t>ヤマグチ　リツ</t>
  </si>
  <si>
    <t>村上　瑛翔</t>
  </si>
  <si>
    <t>ムラカミ　エイト</t>
  </si>
  <si>
    <t>立川　格</t>
  </si>
  <si>
    <t>タツカワ　イタル</t>
  </si>
  <si>
    <t>深尾　一颯</t>
  </si>
  <si>
    <t>フカオ　イブキ</t>
  </si>
  <si>
    <t>木谷　灯吾</t>
  </si>
  <si>
    <t>キタニ　トウゴ</t>
  </si>
  <si>
    <t>平井　桜晴</t>
  </si>
  <si>
    <t>ヒライ　オウセイ</t>
  </si>
  <si>
    <t>立川　粋人</t>
  </si>
  <si>
    <t>タツカワ　キヨト</t>
  </si>
  <si>
    <t>山口　蒼空</t>
  </si>
  <si>
    <t>ヤマグチ　ソラ</t>
  </si>
  <si>
    <t>内藤　尚音</t>
  </si>
  <si>
    <t>ナイトウ　ショウオン</t>
  </si>
  <si>
    <t>中平　龍希</t>
  </si>
  <si>
    <t>ナカヒラ　リュウキ</t>
  </si>
  <si>
    <t>益留　尊志郎</t>
  </si>
  <si>
    <t>マスドメ　トウシロウ</t>
  </si>
  <si>
    <t>清家　羽輝</t>
  </si>
  <si>
    <t>セイケ　ウキ</t>
  </si>
  <si>
    <t>神崎　陸斗</t>
  </si>
  <si>
    <t>カンザキ　リクト</t>
  </si>
  <si>
    <t>淡路　旺太朗</t>
  </si>
  <si>
    <t>宮脇　陸人</t>
  </si>
  <si>
    <t>ミヤワキ　リクト</t>
  </si>
  <si>
    <t>松下　和樹</t>
  </si>
  <si>
    <t>マツシタ　カズキ</t>
  </si>
  <si>
    <t>岡田　琉希</t>
  </si>
  <si>
    <t>オカダ　ルキ</t>
  </si>
  <si>
    <t>角崎　暖</t>
  </si>
  <si>
    <t>カクザキ　ハル</t>
  </si>
  <si>
    <t>山村　朔人</t>
  </si>
  <si>
    <t>ヤマムラ　サクト</t>
  </si>
  <si>
    <t>大島　佑太</t>
  </si>
  <si>
    <t>オオシマ　ユウタ</t>
  </si>
  <si>
    <t>藤原　颯天</t>
  </si>
  <si>
    <t>フジワラ　ハヤテ</t>
  </si>
  <si>
    <t>柴田　賢十</t>
  </si>
  <si>
    <t>シバタ　ケント</t>
  </si>
  <si>
    <t>古木　岬</t>
  </si>
  <si>
    <t>フルキ　ミサキ</t>
  </si>
  <si>
    <t>兒玉　直樹</t>
  </si>
  <si>
    <t>コダマ　ナオキ</t>
  </si>
  <si>
    <t>小野　藏之介</t>
  </si>
  <si>
    <t>オノ　クラノスケ</t>
  </si>
  <si>
    <t>市原　蓮空</t>
  </si>
  <si>
    <t>イチハラ　レン</t>
  </si>
  <si>
    <t>藤原　尚</t>
  </si>
  <si>
    <t>フジワラ　ナオ</t>
  </si>
  <si>
    <t>児玉　隼人</t>
  </si>
  <si>
    <t>矢野　晶大</t>
  </si>
  <si>
    <t>ヤノ　ショウダイ</t>
  </si>
  <si>
    <t>大室　颯</t>
  </si>
  <si>
    <t>オオムロ　ハヤテ</t>
  </si>
  <si>
    <t>兒玉　龍樹</t>
  </si>
  <si>
    <t>コダマ　リュウジュ</t>
  </si>
  <si>
    <t>冨澤　樹</t>
  </si>
  <si>
    <t>トミザワ　イツキ</t>
  </si>
  <si>
    <t>日吉　虎輔</t>
  </si>
  <si>
    <t>ヒヨシ　コスケ</t>
  </si>
  <si>
    <t>佐藤　陽斗</t>
  </si>
  <si>
    <t>サトウ　ハルト</t>
  </si>
  <si>
    <t>河野　遥真</t>
  </si>
  <si>
    <t>カワノ　ハルマ</t>
  </si>
  <si>
    <t>石上　博也</t>
  </si>
  <si>
    <t>イシガミ　ヒロヤ</t>
  </si>
  <si>
    <t>カンザキ　ユウト</t>
  </si>
  <si>
    <t>オザキ　キョウ</t>
  </si>
  <si>
    <t>廣瀬　大治</t>
  </si>
  <si>
    <t>ヒロセ　ダイチ</t>
  </si>
  <si>
    <t>岡田　虎太朗</t>
  </si>
  <si>
    <t>オカダ　コタロウ</t>
  </si>
  <si>
    <t>上野　蒼太</t>
  </si>
  <si>
    <t>ウエノ　ソウタ</t>
  </si>
  <si>
    <t>山村　悠人</t>
  </si>
  <si>
    <t>ヤマムラ　ヒサト</t>
  </si>
  <si>
    <t>渡邉　翔太</t>
  </si>
  <si>
    <t>ワタナベ　ショウタ</t>
  </si>
  <si>
    <t>矢野　陽介</t>
  </si>
  <si>
    <t>ヤノ　ヨウスケ</t>
  </si>
  <si>
    <t>安倍　京弥</t>
  </si>
  <si>
    <t>アベ　キョウヤ</t>
  </si>
  <si>
    <t>西林　貴臣</t>
  </si>
  <si>
    <t>ニシバヤシ　タカオミ</t>
  </si>
  <si>
    <t>林　蔵人</t>
  </si>
  <si>
    <t>ハヤシ　クロウド</t>
  </si>
  <si>
    <t>大石　凌久</t>
  </si>
  <si>
    <t>オオイシ　リク</t>
  </si>
  <si>
    <t>中倉　奏歌</t>
  </si>
  <si>
    <t>ナカクラ　ソウタ</t>
  </si>
  <si>
    <t>山本　蒼太</t>
  </si>
  <si>
    <t>ヤマモト　ソウタ</t>
  </si>
  <si>
    <t>小野　琳太郎</t>
  </si>
  <si>
    <t>オノ　リンタロウ</t>
  </si>
  <si>
    <t>大嶋　蒼介</t>
  </si>
  <si>
    <t>オオシマ　ソウスケ</t>
  </si>
  <si>
    <t>薬師寺　悠貴</t>
  </si>
  <si>
    <t>ヤクシジ　ユウキ</t>
  </si>
  <si>
    <t>岩尾　侑之助</t>
  </si>
  <si>
    <t>イワオ　ユウノスケ</t>
  </si>
  <si>
    <t>平井　喜暁</t>
  </si>
  <si>
    <t>ヒライ　ヨシアキ</t>
  </si>
  <si>
    <t>中根　晴希</t>
  </si>
  <si>
    <t>ナカネ　ハルキ</t>
  </si>
  <si>
    <t>髙﨑　淳平</t>
  </si>
  <si>
    <t>タカサキ　ジュンペイ</t>
  </si>
  <si>
    <t>石見　悟</t>
  </si>
  <si>
    <t>イワミ　サトル</t>
  </si>
  <si>
    <t>後藤　誠士郎</t>
  </si>
  <si>
    <t>ゴトウ　セイシロウ</t>
  </si>
  <si>
    <t>西田　陸翔</t>
  </si>
  <si>
    <t>ニシダ　リクト</t>
  </si>
  <si>
    <t>工藤　蓮大</t>
  </si>
  <si>
    <t>クドウ　レンタ</t>
  </si>
  <si>
    <t>小田　瑛太</t>
  </si>
  <si>
    <t>オダ　エイタ</t>
  </si>
  <si>
    <t>安藤　ひより</t>
  </si>
  <si>
    <t>アンドウ　ヒヨリ</t>
  </si>
  <si>
    <t>森山　蓮亜</t>
  </si>
  <si>
    <t>モリヤマ　レイア</t>
  </si>
  <si>
    <t>相良　祐虎</t>
  </si>
  <si>
    <t>サガラ　ユウト</t>
  </si>
  <si>
    <t>松尾　叶輝優</t>
  </si>
  <si>
    <t>マツオ　トキウ</t>
  </si>
  <si>
    <t>吉原　大翔</t>
  </si>
  <si>
    <t>ヨシハラ　ヒロト</t>
  </si>
  <si>
    <t>中野　幹太</t>
  </si>
  <si>
    <t>ナカノ　カンタ</t>
  </si>
  <si>
    <t>中津留　桜吏</t>
  </si>
  <si>
    <t>ナカツル　オウリ</t>
  </si>
  <si>
    <t>藤原　鉄心</t>
  </si>
  <si>
    <t>フジワラ　テッシン</t>
  </si>
  <si>
    <t>黒川　壱綺</t>
  </si>
  <si>
    <t>クロカワ　イチギ</t>
  </si>
  <si>
    <t>嶌田　徠煌</t>
  </si>
  <si>
    <t>シマダ　ライキ</t>
  </si>
  <si>
    <t>藤山　優斗</t>
  </si>
  <si>
    <t>フジヤマ　ユウト</t>
  </si>
  <si>
    <t>御手洗　真</t>
  </si>
  <si>
    <t>ミタライ　シン</t>
  </si>
  <si>
    <t>西崎　一稀</t>
  </si>
  <si>
    <t>ニシザキ　イツキ</t>
  </si>
  <si>
    <t>藤山　陸斗</t>
  </si>
  <si>
    <t>フジヤマ　リクト</t>
  </si>
  <si>
    <t>盛武　大樹</t>
  </si>
  <si>
    <t>モリタケ　タイキ</t>
  </si>
  <si>
    <t>ムラカミ　ハヤト</t>
  </si>
  <si>
    <t>穴井　幹太</t>
  </si>
  <si>
    <t>アナイ　カンタ</t>
  </si>
  <si>
    <t>酒井　晴彦</t>
  </si>
  <si>
    <t>サカイ　ハルヒコ</t>
  </si>
  <si>
    <t>大津留　新</t>
  </si>
  <si>
    <t>オオツル　アラタ</t>
  </si>
  <si>
    <t>工藤　大輝</t>
  </si>
  <si>
    <t>クドウ　タイキ</t>
  </si>
  <si>
    <t>高原　瞭</t>
  </si>
  <si>
    <t>タカハラ　リョウ</t>
  </si>
  <si>
    <t>髙畠　優</t>
  </si>
  <si>
    <t>タカハタ　ユウ</t>
  </si>
  <si>
    <t>中島　泰志</t>
  </si>
  <si>
    <t>ナカシマ　タイシ</t>
  </si>
  <si>
    <t>久保田　一平</t>
  </si>
  <si>
    <t>クボタ　イッペイ</t>
  </si>
  <si>
    <t>三浦　拓仁</t>
  </si>
  <si>
    <t>ミウラ　タクト</t>
  </si>
  <si>
    <t>松﨑　義英</t>
  </si>
  <si>
    <t>マツザキ　ヨシヒデ</t>
  </si>
  <si>
    <t>棚村　誠太</t>
  </si>
  <si>
    <t>タナムラ　セイタ</t>
  </si>
  <si>
    <t>堀　夢希</t>
  </si>
  <si>
    <t>ホリ　ユノン</t>
  </si>
  <si>
    <t>円本　伯馬</t>
  </si>
  <si>
    <t>エンモト　ハクマ</t>
  </si>
  <si>
    <t>イトウ　コウキ</t>
  </si>
  <si>
    <t>田上　楓貴</t>
  </si>
  <si>
    <t>タガミ　フウキ</t>
  </si>
  <si>
    <t>藤原　亜希斗</t>
  </si>
  <si>
    <t>フジワラ　アキト</t>
  </si>
  <si>
    <t>竹本　陽</t>
  </si>
  <si>
    <t>タケモト　ハル</t>
  </si>
  <si>
    <t>濱岡　奏也</t>
  </si>
  <si>
    <t>ハマオカ　ソウヤ</t>
  </si>
  <si>
    <t>コウノ　ユウキ</t>
  </si>
  <si>
    <t>福田　虎志郎</t>
  </si>
  <si>
    <t>フクダ　コジロウ</t>
  </si>
  <si>
    <t>三ノ宮　羚央</t>
  </si>
  <si>
    <t>サンノミヤ　レオ</t>
  </si>
  <si>
    <t>門田　楽汰</t>
  </si>
  <si>
    <t>カドタ　ランタ</t>
  </si>
  <si>
    <t>タカヤマ　リョウタ</t>
  </si>
  <si>
    <t>吉川　侑来</t>
  </si>
  <si>
    <t>ヨシカワ　ユライ</t>
  </si>
  <si>
    <t>中山　大我</t>
  </si>
  <si>
    <t>ナカヤマ　オオガ</t>
  </si>
  <si>
    <t>那賀　敦輝</t>
  </si>
  <si>
    <t>ナカ　アツキ</t>
  </si>
  <si>
    <t>園田　蓮</t>
  </si>
  <si>
    <t>ソノダ　レン</t>
  </si>
  <si>
    <t>古澤　愛斗</t>
  </si>
  <si>
    <t>フルサワ　マナト</t>
  </si>
  <si>
    <t>安藤　心大</t>
  </si>
  <si>
    <t>アンドウ　シンタ</t>
  </si>
  <si>
    <t>相川　莉久</t>
  </si>
  <si>
    <t>アイカワ　リク</t>
  </si>
  <si>
    <t>阿部　将大</t>
  </si>
  <si>
    <t>アベ　ショウダイ</t>
  </si>
  <si>
    <t>河野　桜晴</t>
  </si>
  <si>
    <t>カワノ　オウセイ</t>
  </si>
  <si>
    <t>金高　光哉</t>
  </si>
  <si>
    <t>カネタカ　コウヤ</t>
  </si>
  <si>
    <t>河野　桜太</t>
  </si>
  <si>
    <t>コウノ　オウタ</t>
  </si>
  <si>
    <t>向井　照真</t>
  </si>
  <si>
    <t>ムカイ　テルマ</t>
  </si>
  <si>
    <t>植木　杏亮</t>
  </si>
  <si>
    <t>ウエキ　キョウウスケ</t>
  </si>
  <si>
    <t>ミナミ　アヤト</t>
  </si>
  <si>
    <t>藤澤　健琉</t>
  </si>
  <si>
    <t>フジサワ　タケル</t>
  </si>
  <si>
    <t>嶋津　琥珀</t>
  </si>
  <si>
    <t>村上　魁仁</t>
  </si>
  <si>
    <t>ムラカミ　カイト</t>
  </si>
  <si>
    <t>財前　遥仁</t>
  </si>
  <si>
    <t>ザイゼン　ハルト</t>
  </si>
  <si>
    <t>古屋　直己</t>
  </si>
  <si>
    <t>コヤ　ナオキ</t>
  </si>
  <si>
    <t>本久　旭</t>
  </si>
  <si>
    <t>モトヒサ　アサヒ</t>
  </si>
  <si>
    <t>杉田　翔</t>
  </si>
  <si>
    <t>中島　颯汰</t>
  </si>
  <si>
    <t>ナカシマ　ソウタ</t>
  </si>
  <si>
    <t>藤田　修亮</t>
  </si>
  <si>
    <t>フジタ　シュウスケ</t>
  </si>
  <si>
    <t>小野　清志郎</t>
  </si>
  <si>
    <t>オノ　キヨシロウ</t>
  </si>
  <si>
    <t>伊藤　勇人</t>
  </si>
  <si>
    <t>イトウ　ハヤト</t>
  </si>
  <si>
    <t>橋本　蓮</t>
  </si>
  <si>
    <t>ハシモト　レン</t>
  </si>
  <si>
    <t>長尾　龍真</t>
  </si>
  <si>
    <t>ナガオ　リョウマ</t>
  </si>
  <si>
    <t>野上　颯太</t>
  </si>
  <si>
    <t>ノガミ　ソウタ</t>
  </si>
  <si>
    <t>後藤　喬亮</t>
  </si>
  <si>
    <t>ゴトウ　キョウスケ</t>
  </si>
  <si>
    <t>首藤　志音</t>
  </si>
  <si>
    <t>シュトウ　シオン</t>
  </si>
  <si>
    <t>北原　悠翔</t>
  </si>
  <si>
    <t>キタハラ　ユウト</t>
  </si>
  <si>
    <t>イトウ　ヤマト</t>
  </si>
  <si>
    <t>二宮　蓮王</t>
  </si>
  <si>
    <t>ニノミヤ　レオ</t>
  </si>
  <si>
    <t>足立　誠悟</t>
  </si>
  <si>
    <t>アダチ　セイゴ</t>
  </si>
  <si>
    <t>宮部　拓斗</t>
  </si>
  <si>
    <t>ミヤベ　タクト</t>
  </si>
  <si>
    <t>久保　絆人</t>
  </si>
  <si>
    <t>クボ　キト</t>
  </si>
  <si>
    <t>阿南　櫂</t>
  </si>
  <si>
    <t>アナン　カイ</t>
  </si>
  <si>
    <t>小野　蓮華</t>
  </si>
  <si>
    <t>オノ　レンカ</t>
  </si>
  <si>
    <t>鈴木　玲央</t>
  </si>
  <si>
    <t>スズキ　レオ</t>
  </si>
  <si>
    <t>鈴木　琉斗</t>
  </si>
  <si>
    <t>スズキ　リュウト</t>
  </si>
  <si>
    <t>佐藤　大翔</t>
  </si>
  <si>
    <t>佐藤　大夢</t>
  </si>
  <si>
    <t>サトウ　ヒロム</t>
  </si>
  <si>
    <t>下村　優斗</t>
  </si>
  <si>
    <t>シモムラ　ユウト</t>
  </si>
  <si>
    <t>芦刈　翔真</t>
  </si>
  <si>
    <t>アシカリ　ショウマ</t>
  </si>
  <si>
    <t>釘宮　央</t>
  </si>
  <si>
    <t>クギミヤ　ヒロ</t>
  </si>
  <si>
    <t>大塚　蒼生</t>
  </si>
  <si>
    <t>オオツカ　アオイ</t>
  </si>
  <si>
    <t>釘宮　蓮</t>
  </si>
  <si>
    <t>クギミヤ　レン</t>
  </si>
  <si>
    <t>池永　蒼生</t>
  </si>
  <si>
    <t>イケナガ　アオイ</t>
  </si>
  <si>
    <t>渡邊　蒼一朗</t>
  </si>
  <si>
    <t>ワタナベ　ソウイチロウ</t>
  </si>
  <si>
    <t>恵藤　和海</t>
  </si>
  <si>
    <t>エトウ　カズミ</t>
  </si>
  <si>
    <t>保月　信司</t>
  </si>
  <si>
    <t>長尾　晟太朗</t>
  </si>
  <si>
    <t>ナガオ　セイタロウ</t>
  </si>
  <si>
    <t>村上　陽哉</t>
  </si>
  <si>
    <t>ムラカミ　ハルヤ</t>
  </si>
  <si>
    <t>衛藤　空樹</t>
  </si>
  <si>
    <t>エトウ　アイキ</t>
  </si>
  <si>
    <t>西　琉汰</t>
  </si>
  <si>
    <t>ニシ　リュウタ</t>
  </si>
  <si>
    <t>ヤマサキ　コタロウ</t>
  </si>
  <si>
    <t>北川　優真</t>
  </si>
  <si>
    <t>キタガワ　ユウマ</t>
  </si>
  <si>
    <t>高月　祥真</t>
  </si>
  <si>
    <t>タカツキ　ショウシン</t>
  </si>
  <si>
    <t>團塚　煌</t>
  </si>
  <si>
    <t>ダンヅカ　コウ</t>
  </si>
  <si>
    <t>高石　靖太</t>
  </si>
  <si>
    <t>タカイシ　セイタ</t>
  </si>
  <si>
    <t>白江　朔麻</t>
  </si>
  <si>
    <t>シラエ　サクマ</t>
  </si>
  <si>
    <t>青木　大和</t>
  </si>
  <si>
    <t>アオキ　ヤマト</t>
  </si>
  <si>
    <t>宮脇　遙冴</t>
  </si>
  <si>
    <t>ミヤワキ　ハルヒ</t>
  </si>
  <si>
    <t>安藤　岳</t>
  </si>
  <si>
    <t>アンドウ　ガク</t>
  </si>
  <si>
    <t>上杉　想真</t>
  </si>
  <si>
    <t>ウエスギ　ソウマ</t>
  </si>
  <si>
    <t>多田　怜真</t>
  </si>
  <si>
    <t>タダ　リョウマ</t>
  </si>
  <si>
    <t>中村　紘史朗</t>
  </si>
  <si>
    <t>ナカムラ　コウシロウ</t>
  </si>
  <si>
    <t>松原　大</t>
  </si>
  <si>
    <t>マツバラ　ダイ</t>
  </si>
  <si>
    <t>秋月　凛太</t>
  </si>
  <si>
    <t>アキヅキ　リンタ</t>
  </si>
  <si>
    <t>幸野　駿汰</t>
  </si>
  <si>
    <t>コウノ　シュンタ</t>
  </si>
  <si>
    <t>青木　稜羽</t>
  </si>
  <si>
    <t>アオキ　リウ</t>
  </si>
  <si>
    <t>首藤　悠緋</t>
  </si>
  <si>
    <t>シュトウ　ユウヒ</t>
  </si>
  <si>
    <t>山中　夏紗音</t>
  </si>
  <si>
    <t>ヤマナカ　カサネ</t>
  </si>
  <si>
    <t>後藤　侑大</t>
  </si>
  <si>
    <t>ゴトウ　ユウタ</t>
  </si>
  <si>
    <t>渡邊　彩人</t>
  </si>
  <si>
    <t>ワタナベ　アヤト</t>
  </si>
  <si>
    <t>坂本　陽</t>
  </si>
  <si>
    <t>小林　里奈</t>
  </si>
  <si>
    <t>コバヤシ　リナ</t>
  </si>
  <si>
    <t>加藤　陽翔</t>
  </si>
  <si>
    <t>カトウ　ハルト</t>
  </si>
  <si>
    <t>麻生　拓夢</t>
  </si>
  <si>
    <t>アソウ　ヒロム</t>
  </si>
  <si>
    <t>長田　賢昇</t>
  </si>
  <si>
    <t>ナガタ　ケンショウ</t>
  </si>
  <si>
    <t>下郡　遼平</t>
  </si>
  <si>
    <t>山田　心結</t>
  </si>
  <si>
    <t>ヤマダ　ミユウ</t>
  </si>
  <si>
    <t>工藤　貫太</t>
  </si>
  <si>
    <t>クドウ　カンタ</t>
  </si>
  <si>
    <t>大塚　優河</t>
  </si>
  <si>
    <t>オオツカ　ユウガ</t>
  </si>
  <si>
    <t>宇野　藤獅郎</t>
  </si>
  <si>
    <t>ウノ　トウシロウ</t>
  </si>
  <si>
    <t>神崎　柊斗</t>
  </si>
  <si>
    <t>カンザキ　シュウト</t>
  </si>
  <si>
    <t>川上　倫央</t>
  </si>
  <si>
    <t>カワカミ　リオン</t>
  </si>
  <si>
    <t>當麻　晃基</t>
  </si>
  <si>
    <t>トウマ　コウキ</t>
  </si>
  <si>
    <t>菊川　翼</t>
  </si>
  <si>
    <t>幸　大翔</t>
  </si>
  <si>
    <t>ユキ　ヒロト</t>
  </si>
  <si>
    <t>ニュウ　タカユキ</t>
  </si>
  <si>
    <t>重住　龍真</t>
  </si>
  <si>
    <t>シゲズミ　リュウマ</t>
  </si>
  <si>
    <t>松尾　翔</t>
  </si>
  <si>
    <t>マツオ　ショウ</t>
  </si>
  <si>
    <t>アベ　ミズキ</t>
  </si>
  <si>
    <t>鶴原　瑞葵</t>
  </si>
  <si>
    <t>ツルハラ　ミズキ</t>
  </si>
  <si>
    <t>平川　桃子</t>
  </si>
  <si>
    <t>ヒラカワ　モモコ</t>
  </si>
  <si>
    <t>玉井　葉夏</t>
  </si>
  <si>
    <t>タマイ　ハナ</t>
  </si>
  <si>
    <t>渡辺　晃大</t>
  </si>
  <si>
    <t>ワタナベ　コウタ</t>
  </si>
  <si>
    <t>大石　陽也</t>
  </si>
  <si>
    <t>オオイシ　ハルヤ</t>
  </si>
  <si>
    <t>秋吉　玲桜叶</t>
  </si>
  <si>
    <t>アキヨシ　レオト</t>
  </si>
  <si>
    <t>麻生　悠</t>
  </si>
  <si>
    <t>アソウ　ユウ</t>
  </si>
  <si>
    <t>安永　蒼史</t>
  </si>
  <si>
    <t>ヤスナガ　ソウシ</t>
  </si>
  <si>
    <t>伊賀上　陸</t>
  </si>
  <si>
    <t>イガガミ　リク</t>
  </si>
  <si>
    <t>小玉　湊翔</t>
  </si>
  <si>
    <t>松丸　真大</t>
  </si>
  <si>
    <t>マツマル　マサト</t>
  </si>
  <si>
    <t>南　凌介</t>
  </si>
  <si>
    <t>ミナミ　リョウスケ</t>
  </si>
  <si>
    <t>上野　紗奈</t>
  </si>
  <si>
    <t>ウエノ　サナ</t>
  </si>
  <si>
    <t>廣峯　咲功</t>
  </si>
  <si>
    <t>ヒロミネ　サク</t>
  </si>
  <si>
    <t>仮屋　月雲</t>
  </si>
  <si>
    <t>カリヤ　ツクモ</t>
  </si>
  <si>
    <t>峯下　快斗</t>
  </si>
  <si>
    <t>ミネシタ　カイト</t>
  </si>
  <si>
    <t>ワタナベ　リクト</t>
  </si>
  <si>
    <t>小田　聖翔</t>
  </si>
  <si>
    <t>オダ　マサト</t>
  </si>
  <si>
    <t>中園　藍丸</t>
  </si>
  <si>
    <t>ナカゾノ　ランマル</t>
  </si>
  <si>
    <t>横田　大河</t>
  </si>
  <si>
    <t>ヨコタ　タイガ</t>
  </si>
  <si>
    <t>鎌田　航史郎</t>
  </si>
  <si>
    <t>中園　釉丸</t>
  </si>
  <si>
    <t>ナカゾノ　ユウマル</t>
  </si>
  <si>
    <t>西野　凌太朗</t>
  </si>
  <si>
    <t>ニシノ　リョウタロウ</t>
  </si>
  <si>
    <t>松本　快理</t>
  </si>
  <si>
    <t>マツモト　カイリ</t>
  </si>
  <si>
    <t>工藤　義人</t>
  </si>
  <si>
    <t>クドウ　ヨシト</t>
  </si>
  <si>
    <t>藤田　京佑</t>
  </si>
  <si>
    <t>山崎　琥大朗</t>
  </si>
  <si>
    <t>佐藤　晴生吉</t>
  </si>
  <si>
    <t>サトウ　セイキチ</t>
  </si>
  <si>
    <t>長岡　蒼空</t>
  </si>
  <si>
    <t>角谷　春樹</t>
  </si>
  <si>
    <t>カクヤ　ハルキ</t>
  </si>
  <si>
    <t>平井　蒼斗</t>
  </si>
  <si>
    <t>ヒライ　アオト</t>
  </si>
  <si>
    <t>長岡　聖空</t>
  </si>
  <si>
    <t>ナガオカ　セイア</t>
  </si>
  <si>
    <t>伊東　湊</t>
  </si>
  <si>
    <t>イトウ　ミナト</t>
  </si>
  <si>
    <t>山田　陽喜</t>
  </si>
  <si>
    <t>ヤマダ　ハルキ</t>
  </si>
  <si>
    <t>片山　峻吾</t>
  </si>
  <si>
    <t>カタヤマ　シュンゴ</t>
  </si>
  <si>
    <t>衛藤　蒼依</t>
  </si>
  <si>
    <t>大塚　憧希</t>
  </si>
  <si>
    <t>オオツカ　ショウキ</t>
  </si>
  <si>
    <t>古野　大我</t>
  </si>
  <si>
    <t>フルノ　タイガ</t>
  </si>
  <si>
    <t>栗林　透我</t>
  </si>
  <si>
    <t>クリバヤシ　トウガ</t>
  </si>
  <si>
    <t>伊藤　虹輝</t>
  </si>
  <si>
    <t>亀井　慶太</t>
  </si>
  <si>
    <t>カメイ　ケイタ</t>
  </si>
  <si>
    <t>小野　渚</t>
  </si>
  <si>
    <t>オノ　ナギサ</t>
  </si>
  <si>
    <t>萱島　一平</t>
  </si>
  <si>
    <t>カヤシマ　イッペイ</t>
  </si>
  <si>
    <t>城　大雅</t>
  </si>
  <si>
    <t>ジョウ　ハルマサ</t>
  </si>
  <si>
    <t>伏野　洸希</t>
  </si>
  <si>
    <t>フシノ　コウキ</t>
  </si>
  <si>
    <t>伊藤　太我</t>
  </si>
  <si>
    <t>イトウ　タイガ</t>
  </si>
  <si>
    <t>河野　悠亜</t>
  </si>
  <si>
    <t>カワノ　ユウア</t>
  </si>
  <si>
    <t>古野　光臥</t>
  </si>
  <si>
    <t>フルノ　コウガ</t>
  </si>
  <si>
    <t>コダマ　リク</t>
  </si>
  <si>
    <t>吉本　陽向</t>
  </si>
  <si>
    <t>ヨシモト　ヒナタ</t>
  </si>
  <si>
    <t>エトウ　ショウタ</t>
  </si>
  <si>
    <t>冨田　伊吹</t>
  </si>
  <si>
    <t>トミタ　イブキ</t>
  </si>
  <si>
    <t>足立　希望</t>
  </si>
  <si>
    <t>アダチ　ノゾム</t>
  </si>
  <si>
    <t>河辺　光央</t>
  </si>
  <si>
    <t>カワベ　コオ</t>
  </si>
  <si>
    <t>森田　悠司</t>
  </si>
  <si>
    <t>モリタ　ユウジ</t>
  </si>
  <si>
    <t>クドウ　カイト</t>
  </si>
  <si>
    <t>河崎　海斗</t>
  </si>
  <si>
    <t>カワサキ　カイト</t>
  </si>
  <si>
    <t>吉田　綾斗</t>
  </si>
  <si>
    <t>ヨシダ　アヤト</t>
  </si>
  <si>
    <t>岩本　大空</t>
  </si>
  <si>
    <t>イワモト　ツバサ</t>
  </si>
  <si>
    <t>久保田　蓮</t>
  </si>
  <si>
    <t>クボタ　レン</t>
  </si>
  <si>
    <t>佐々木　壮太</t>
  </si>
  <si>
    <t>ササキ　ソウタ</t>
  </si>
  <si>
    <t>安部　凌真</t>
  </si>
  <si>
    <t>アベ　リョウマ</t>
  </si>
  <si>
    <t>伊賀　旺甫</t>
  </si>
  <si>
    <t>イガ　オウスケ</t>
  </si>
  <si>
    <t>山下　大輔</t>
  </si>
  <si>
    <t>ヤマシタ　ダイスケ</t>
  </si>
  <si>
    <t>大本　琉生</t>
  </si>
  <si>
    <t>オオモト　ルイ</t>
  </si>
  <si>
    <t>白根　知紘</t>
  </si>
  <si>
    <t>シラネ　チヒロ</t>
  </si>
  <si>
    <t>岡部　安莉</t>
  </si>
  <si>
    <t>オカベ　アンリ</t>
  </si>
  <si>
    <t>吉良　咲耶</t>
  </si>
  <si>
    <t>キラ　サクヤ</t>
  </si>
  <si>
    <t>植田　琉生</t>
  </si>
  <si>
    <t>ウエダ　ルイ</t>
  </si>
  <si>
    <t>幸　洋太</t>
  </si>
  <si>
    <t>ユキ　ヨウタ</t>
  </si>
  <si>
    <t>米田　壮志</t>
  </si>
  <si>
    <t>ヨネダ　ソウシ</t>
  </si>
  <si>
    <t>三木　柊歩</t>
  </si>
  <si>
    <t>ミキ　シュウト</t>
  </si>
  <si>
    <t>佐藤　稜真</t>
  </si>
  <si>
    <t>藤川　成</t>
  </si>
  <si>
    <t>フジカワ　ナル</t>
  </si>
  <si>
    <t>森山　佳恒</t>
  </si>
  <si>
    <t>モリヤマ　ヨシヒサ</t>
  </si>
  <si>
    <t>柳井　侑也</t>
  </si>
  <si>
    <t>ヤナイ　ユウヤ</t>
  </si>
  <si>
    <t>佐藤　稜悟</t>
  </si>
  <si>
    <t>サトウ　リョウゴ</t>
  </si>
  <si>
    <t>野村　琉翔</t>
  </si>
  <si>
    <t>ノムラ　リュウト</t>
  </si>
  <si>
    <t>後藤　璃杏</t>
  </si>
  <si>
    <t>ゴトウ　リアン</t>
  </si>
  <si>
    <t>村上　駿斗</t>
  </si>
  <si>
    <t>竹本　蓮</t>
  </si>
  <si>
    <t>タケモト　レン</t>
  </si>
  <si>
    <t>谷川　颯太</t>
  </si>
  <si>
    <t>タニガワ　ソウタ</t>
  </si>
  <si>
    <t>三浦　蓮美</t>
  </si>
  <si>
    <t>ミウラ　ハスミ</t>
  </si>
  <si>
    <t>小松　俊介</t>
  </si>
  <si>
    <t>コマツ　シュンスケ</t>
  </si>
  <si>
    <t>竹永　涼夢</t>
  </si>
  <si>
    <t>タケナガ　リム</t>
  </si>
  <si>
    <t>ヤマサキ　ハツ</t>
  </si>
  <si>
    <t>サトウ　ユウキ</t>
  </si>
  <si>
    <t>加藤　茉梨百</t>
  </si>
  <si>
    <t>カトウ　マリモ</t>
  </si>
  <si>
    <t>中島　桜雅</t>
  </si>
  <si>
    <t>ナカシマ　オウガ</t>
  </si>
  <si>
    <t>久保﨑　兆</t>
  </si>
  <si>
    <t>クボサキ　キザシ</t>
  </si>
  <si>
    <t>堀田　徠亜</t>
  </si>
  <si>
    <t>ホリタ　ライア</t>
  </si>
  <si>
    <t>吉良　真翔</t>
  </si>
  <si>
    <t>キラ　マナト</t>
  </si>
  <si>
    <t>松村　夢生</t>
  </si>
  <si>
    <t>マツムラ　メイ</t>
  </si>
  <si>
    <t>後藤　依知花</t>
  </si>
  <si>
    <t>ゴトウ　イチカ</t>
  </si>
  <si>
    <t>森崎　聖菜</t>
  </si>
  <si>
    <t>モリサキ　セイナ</t>
  </si>
  <si>
    <t>吉良　緋由莉</t>
  </si>
  <si>
    <t>キラ　ヒヨリ</t>
  </si>
  <si>
    <t>田部　葵空</t>
  </si>
  <si>
    <t>タナベ　キラ</t>
  </si>
  <si>
    <t>小田巻　獅童</t>
  </si>
  <si>
    <t>オダマキ　シドウ</t>
  </si>
  <si>
    <t>ヨシダ　ユウマ</t>
  </si>
  <si>
    <t>伊藤　舜狼</t>
  </si>
  <si>
    <t>イトウ　シュンラン</t>
  </si>
  <si>
    <t>後藤　謙太</t>
  </si>
  <si>
    <t>ゴトウ　ケンタ</t>
  </si>
  <si>
    <t>牧野　透青</t>
  </si>
  <si>
    <t>マキノ　トア</t>
  </si>
  <si>
    <t>堀　愛歩</t>
  </si>
  <si>
    <t>ホリ　マナブ</t>
  </si>
  <si>
    <t>葛城　蓮</t>
  </si>
  <si>
    <t>カツラギ　レン</t>
  </si>
  <si>
    <t>河村　日那汰</t>
  </si>
  <si>
    <t>カワムラ　ヒナタ</t>
  </si>
  <si>
    <t>上田　佳汰</t>
  </si>
  <si>
    <t>ウエダ　ケイタ</t>
  </si>
  <si>
    <t>桃田　偉吹</t>
  </si>
  <si>
    <t>モモタ　イブキ</t>
  </si>
  <si>
    <t>三浦　健</t>
  </si>
  <si>
    <t>ミウラ　タケル</t>
  </si>
  <si>
    <t>酒井　彩海</t>
  </si>
  <si>
    <t>サカイ　アヤト</t>
  </si>
  <si>
    <t>赤石　昂輝</t>
  </si>
  <si>
    <t>アカイシ　コウキ</t>
  </si>
  <si>
    <t>山下　和輝</t>
  </si>
  <si>
    <t>ヤマシタ　カズキ</t>
  </si>
  <si>
    <t>都築　宗佑</t>
  </si>
  <si>
    <t>ツヅキ　ソウスケ</t>
  </si>
  <si>
    <t>安波　進之介</t>
  </si>
  <si>
    <t>ヤスナミ　シンノスケ</t>
  </si>
  <si>
    <t>西川　理希</t>
  </si>
  <si>
    <t>ニシカワ　リキ</t>
  </si>
  <si>
    <t>福島　愛司</t>
  </si>
  <si>
    <t>フクシマ　アイジ</t>
  </si>
  <si>
    <t>長野　泰人</t>
  </si>
  <si>
    <t>ナガノ　ヤスト</t>
  </si>
  <si>
    <t>後藤　友星</t>
  </si>
  <si>
    <t>ゴトウ　ユウセイ</t>
  </si>
  <si>
    <t>武田　有冴</t>
  </si>
  <si>
    <t>タケダ　ユウゴ</t>
  </si>
  <si>
    <t>小林　風翔</t>
  </si>
  <si>
    <t>コバヤシ　フウト</t>
  </si>
  <si>
    <t>中川　侑哉</t>
  </si>
  <si>
    <t>ナカガワ　ユウヤ</t>
  </si>
  <si>
    <t>仮屋園　和空</t>
  </si>
  <si>
    <t>カリヤゾノ　ワク</t>
  </si>
  <si>
    <t>明石　凌芽</t>
  </si>
  <si>
    <t>アカシ　リョウガ</t>
  </si>
  <si>
    <t>植山　颯太</t>
  </si>
  <si>
    <t>ウエヤマ　ソウタ</t>
  </si>
  <si>
    <t>園田　龍斗</t>
  </si>
  <si>
    <t>ソノダ　リュウト</t>
  </si>
  <si>
    <t>西邑　聖愛</t>
  </si>
  <si>
    <t>ニシムラ　セイア</t>
  </si>
  <si>
    <t>園田　湊斗</t>
  </si>
  <si>
    <t>ソノダ　ミナト</t>
  </si>
  <si>
    <t>大新田　大輝</t>
  </si>
  <si>
    <t>オオシンデン　ダイキ</t>
  </si>
  <si>
    <t>小川　裕聖</t>
  </si>
  <si>
    <t>オガワ　ユウセイ</t>
  </si>
  <si>
    <t>椎橋　世凪</t>
  </si>
  <si>
    <t>シイバシ　セナ</t>
  </si>
  <si>
    <t>佐藤　翔</t>
  </si>
  <si>
    <t>サトウ　カケル</t>
  </si>
  <si>
    <t>佐藤　日向</t>
  </si>
  <si>
    <t>サトウ　ヒナタ</t>
  </si>
  <si>
    <t>手嶋　純也</t>
  </si>
  <si>
    <t>テシマ　ジュンヤ</t>
  </si>
  <si>
    <t>坂本　稟太郎</t>
  </si>
  <si>
    <t>サカモト　リンタロウ</t>
  </si>
  <si>
    <t>岡見　柊飛</t>
  </si>
  <si>
    <t>オカミ　シュウト</t>
  </si>
  <si>
    <t>渡邉　凌大</t>
  </si>
  <si>
    <t>ワタナベ　リョウタ</t>
  </si>
  <si>
    <t>横田　聡佑</t>
  </si>
  <si>
    <t>ヨコタ　ソウスケ</t>
  </si>
  <si>
    <t>小田原　明楽</t>
  </si>
  <si>
    <t>オダワラ　アキラ</t>
  </si>
  <si>
    <t>-</t>
    <phoneticPr fontId="5"/>
  </si>
  <si>
    <t>大会実施年度に大分県サッカー協会に加盟登録(第4種)されたチームであること。</t>
  </si>
  <si>
    <t>実施要項(案)</t>
  </si>
  <si>
    <t>(１)名　　  称</t>
  </si>
  <si>
    <t>(２)主　　  催</t>
  </si>
  <si>
    <t>(３)主　  　管</t>
  </si>
  <si>
    <t>(一社)大分県サッカー協会ジュニア委員会　</t>
    <rPh sb="1" eb="2">
      <t>１</t>
    </rPh>
    <rPh sb="2" eb="3">
      <t>シャ</t>
    </rPh>
    <rPh sb="6" eb="7">
      <t>ケン</t>
    </rPh>
    <phoneticPr fontId="64"/>
  </si>
  <si>
    <t>(４)特別協賛</t>
    <rPh sb="3" eb="5">
      <t>トクベツ</t>
    </rPh>
    <phoneticPr fontId="64"/>
  </si>
  <si>
    <t>(５)協　　　賛</t>
    <rPh sb="3" eb="4">
      <t>キョウ</t>
    </rPh>
    <rPh sb="7" eb="8">
      <t>サン</t>
    </rPh>
    <phoneticPr fontId="64"/>
  </si>
  <si>
    <t>(株)モルテン</t>
    <rPh sb="1" eb="2">
      <t>カブ</t>
    </rPh>
    <phoneticPr fontId="64"/>
  </si>
  <si>
    <t>(６)後　　  援</t>
  </si>
  <si>
    <t>(７)期　　  日</t>
  </si>
  <si>
    <t>(８)会　　  場</t>
  </si>
  <si>
    <t>(９)参加資格</t>
  </si>
  <si>
    <t>参加の申し込みは，監督1名を含む引率指導者5名，選手16名までとする。
引率指導者の中に，最低1名以上，日本サッカー協会公認D級以上の指導者資格を有する者が居ること。
(大会には資格証を持参すること。)</t>
  </si>
  <si>
    <t xml:space="preserve">(10)試合方法 </t>
  </si>
  <si>
    <t>予選リーグは、その試合時間を40分(20-10-20)とし、その試合結果により、最上位のチームが
決勝トーナメントへ出場する。</t>
  </si>
  <si>
    <t>決勝トーナメントは、試合時間を30分(15-5-15)とし、勝敗の決しないときは3人制のPK戦を行う。
ただし、決勝戦のみ10分(5分-5分)の延長戦を行い、それでも勝敗が決しない場合3人制のPK戦を行う。</t>
    <rPh sb="41" eb="43">
      <t>ニンセイ</t>
    </rPh>
    <rPh sb="46" eb="47">
      <t>セン</t>
    </rPh>
    <rPh sb="56" eb="58">
      <t>ケッショウ</t>
    </rPh>
    <rPh sb="58" eb="59">
      <t>セン</t>
    </rPh>
    <rPh sb="63" eb="64">
      <t>フン</t>
    </rPh>
    <rPh sb="66" eb="67">
      <t>フン</t>
    </rPh>
    <rPh sb="69" eb="70">
      <t>フン</t>
    </rPh>
    <rPh sb="72" eb="74">
      <t>エンチョウ</t>
    </rPh>
    <rPh sb="74" eb="75">
      <t>セン</t>
    </rPh>
    <rPh sb="76" eb="77">
      <t>オコナ</t>
    </rPh>
    <rPh sb="83" eb="85">
      <t>ショウハイ</t>
    </rPh>
    <rPh sb="86" eb="87">
      <t>ケッ</t>
    </rPh>
    <rPh sb="90" eb="92">
      <t>バアイ</t>
    </rPh>
    <rPh sb="93" eb="95">
      <t>ニンセイ</t>
    </rPh>
    <rPh sb="98" eb="99">
      <t>セン</t>
    </rPh>
    <rPh sb="100" eb="101">
      <t>オコナ</t>
    </rPh>
    <phoneticPr fontId="64"/>
  </si>
  <si>
    <t xml:space="preserve">大会期間中、累計2回の警告または、退場及び退席を宣告された選手等は次回戦1試合に出場できず、それ以降の処置については本大会の規律・フェアプレー委員会で決定する。
(累積は、地区大会→予選リーグ→決勝トーナメントと持ち越す。)
</t>
    <rPh sb="29" eb="31">
      <t>センシュ</t>
    </rPh>
    <rPh sb="31" eb="32">
      <t>トウ</t>
    </rPh>
    <rPh sb="82" eb="84">
      <t>ルイセキ</t>
    </rPh>
    <rPh sb="86" eb="88">
      <t>チク</t>
    </rPh>
    <rPh sb="88" eb="90">
      <t>タイカイ</t>
    </rPh>
    <phoneticPr fontId="64"/>
  </si>
  <si>
    <t>大会期間中は、大分県協会所属有資格者(3級以上)の審判を必ず1名以上帯同させ、
審判員(主審・副審)は、審判服を着用の上、必ず資格ワッペンを付けること。</t>
    <rPh sb="0" eb="2">
      <t>タイカイ</t>
    </rPh>
    <rPh sb="2" eb="5">
      <t>キカンチュウ</t>
    </rPh>
    <rPh sb="59" eb="60">
      <t>ウエ</t>
    </rPh>
    <rPh sb="63" eb="65">
      <t>シカク</t>
    </rPh>
    <phoneticPr fontId="64"/>
  </si>
  <si>
    <t>(11)参加方法</t>
  </si>
  <si>
    <t>(12)そ  の  他</t>
  </si>
  <si>
    <t>大会期間中は、常に選手証及び指導者資格証、審判資格証、もしくはそれぞれの電子証/電子証の写しを携帯し、必要に応じて提示すること。指導者資格のない指導者は本人確認できる証書(運転免許証など)を提示すること。</t>
    <rPh sb="40" eb="42">
      <t>デンシ</t>
    </rPh>
    <rPh sb="42" eb="43">
      <t>ショウ</t>
    </rPh>
    <phoneticPr fontId="5"/>
  </si>
  <si>
    <t>マッチコーディネーションミーティング(MCM)は、予選リーグの各パート第1試合開始70分前(9:20 or 10:20)に、3チーム同時に行い、決勝トーナメントでは、各チーム第1試合の70分前に行うものとする。以降は、次回戦進出チームのみ試合終了後にMCMを行う。その際、チーム代表者は、必ず選手証・指導者資格証及びユニフォームを持参(FP/GKの正副全て現物で確認。写真等不可。)すること。また、大会参加申込書(エントリー表)を本部より受け取り、各試合毎に1部作成し、本部に提出すること。コロナウィルス感染防止のため、ユニフォームの決定等できるだけ簡素に行う。各チームの指導者は事前に配布する資料を確認し、本部の指示に従うこと。</t>
    <rPh sb="25" eb="27">
      <t>ヨセン</t>
    </rPh>
    <rPh sb="31" eb="32">
      <t>カク</t>
    </rPh>
    <rPh sb="72" eb="74">
      <t>ケッショウ</t>
    </rPh>
    <rPh sb="94" eb="95">
      <t>フン</t>
    </rPh>
    <rPh sb="95" eb="96">
      <t>マエ</t>
    </rPh>
    <rPh sb="97" eb="98">
      <t>オコナ</t>
    </rPh>
    <rPh sb="105" eb="107">
      <t>イコウ</t>
    </rPh>
    <rPh sb="109" eb="111">
      <t>ジカイ</t>
    </rPh>
    <rPh sb="111" eb="112">
      <t>セン</t>
    </rPh>
    <rPh sb="112" eb="114">
      <t>シンシュツ</t>
    </rPh>
    <rPh sb="119" eb="121">
      <t>シアイ</t>
    </rPh>
    <rPh sb="121" eb="123">
      <t>シュウリョウ</t>
    </rPh>
    <rPh sb="123" eb="124">
      <t>ゴ</t>
    </rPh>
    <rPh sb="129" eb="130">
      <t>オコナ</t>
    </rPh>
    <rPh sb="134" eb="135">
      <t>サイ</t>
    </rPh>
    <rPh sb="156" eb="157">
      <t>オヨ</t>
    </rPh>
    <rPh sb="215" eb="217">
      <t>ホンブ</t>
    </rPh>
    <rPh sb="219" eb="220">
      <t>ウ</t>
    </rPh>
    <rPh sb="221" eb="222">
      <t>ト</t>
    </rPh>
    <rPh sb="224" eb="225">
      <t>カク</t>
    </rPh>
    <rPh sb="225" eb="227">
      <t>シアイ</t>
    </rPh>
    <rPh sb="227" eb="228">
      <t>マイ</t>
    </rPh>
    <rPh sb="231" eb="233">
      <t>サクセイ</t>
    </rPh>
    <phoneticPr fontId="64"/>
  </si>
  <si>
    <t>ユニフォーム(ソックスも含む)は、正・副ですべて異色のものを用意(厳守)し、どちらとも背・胸番号は選手本人と一致すること。</t>
    <rPh sb="43" eb="44">
      <t>セ</t>
    </rPh>
    <rPh sb="45" eb="46">
      <t>ムネ</t>
    </rPh>
    <phoneticPr fontId="64"/>
  </si>
  <si>
    <t>※JFA規約 ユニホームの既定 第5条(7)その他②に明記されているとおり、「チームは，各国代表チーム
　及びプロクラブチームのレプリカを着用して公式競技会に出場することはできない」こととする。</t>
  </si>
  <si>
    <t>○駐車場における椅子を置くなどの場所取りは絶対にしないこと。(撤去し本部で預かります)</t>
  </si>
  <si>
    <t>(1)個人情報を大分県サッカー協会ジュニア委員会に提出し、標記大会に出場することに同意する。</t>
    <rPh sb="10" eb="11">
      <t>ケン</t>
    </rPh>
    <phoneticPr fontId="64"/>
  </si>
  <si>
    <t>(2)提出した名簿をジュニア委員会がチームとの連絡、及び選手チェックに利用することに同意する。</t>
  </si>
  <si>
    <t>9:30～ 南</t>
    <rPh sb="6" eb="7">
      <t>ミナミ</t>
    </rPh>
    <phoneticPr fontId="5"/>
  </si>
  <si>
    <t>9:30～ 北</t>
    <rPh sb="6" eb="7">
      <t>キタ</t>
    </rPh>
    <phoneticPr fontId="5"/>
  </si>
  <si>
    <t>10:20～ 南</t>
    <rPh sb="7" eb="8">
      <t>ミナミ</t>
    </rPh>
    <phoneticPr fontId="5"/>
  </si>
  <si>
    <t>10:20～ 北</t>
    <rPh sb="7" eb="8">
      <t>キタ</t>
    </rPh>
    <phoneticPr fontId="5"/>
  </si>
  <si>
    <t>大分合同新聞社，OBS大分放送局，TOSテレビ大分，OAB大分朝日放送，エフエム大分</t>
    <phoneticPr fontId="64"/>
  </si>
  <si>
    <t>競技場の大きさは，縦68m・横45～50mとする。センターサークル半径7m・ゴールエリア4m・ペナルティ
エリア12m・ペナルティマーク8m・アーク7m とし、少年用ゴールを使用する。</t>
    <rPh sb="80" eb="83">
      <t>ショウネンヨウ</t>
    </rPh>
    <rPh sb="87" eb="89">
      <t>シヨウ</t>
    </rPh>
    <phoneticPr fontId="64"/>
  </si>
  <si>
    <t>○近況のコロナ感染状況に応じて（各関係機関からの通知を含め）、会場入場者数の制限を行う場合がある。</t>
    <rPh sb="1" eb="3">
      <t>キンキョウ</t>
    </rPh>
    <rPh sb="7" eb="9">
      <t>カンセン</t>
    </rPh>
    <rPh sb="9" eb="11">
      <t>ジョウキョウ</t>
    </rPh>
    <rPh sb="12" eb="13">
      <t>オウ</t>
    </rPh>
    <rPh sb="16" eb="21">
      <t>カクカンケイキカン</t>
    </rPh>
    <rPh sb="24" eb="26">
      <t>ツウチ</t>
    </rPh>
    <rPh sb="27" eb="28">
      <t>フク</t>
    </rPh>
    <rPh sb="31" eb="33">
      <t>カイジョウ</t>
    </rPh>
    <rPh sb="33" eb="35">
      <t>ニュウジョウ</t>
    </rPh>
    <rPh sb="35" eb="36">
      <t>シャ</t>
    </rPh>
    <rPh sb="36" eb="37">
      <t>スウ</t>
    </rPh>
    <rPh sb="38" eb="40">
      <t>セイゲン</t>
    </rPh>
    <rPh sb="41" eb="42">
      <t>オコナ</t>
    </rPh>
    <rPh sb="43" eb="45">
      <t>バアイ</t>
    </rPh>
    <phoneticPr fontId="64"/>
  </si>
  <si>
    <t>場所:上記</t>
    <rPh sb="3" eb="5">
      <t>ジョウキ</t>
    </rPh>
    <phoneticPr fontId="64"/>
  </si>
  <si>
    <t>8:50</t>
    <phoneticPr fontId="5"/>
  </si>
  <si>
    <t>「A」コート</t>
    <phoneticPr fontId="5"/>
  </si>
  <si>
    <t>「B」コート</t>
    <phoneticPr fontId="5"/>
  </si>
  <si>
    <t>西部スポーツ交流ひろば「人工芝」</t>
    <rPh sb="12" eb="15">
      <t>ジンコウシバ</t>
    </rPh>
    <phoneticPr fontId="5"/>
  </si>
  <si>
    <t>予選リーグにおける順位は、勝ち点(勝3、引分1、負0)・当該対戦・PKの順で決定する。
予選リーグにおいて、3チーム共に同率時の場合は、3人制のPK方式にて2連勝したチームが
次回戦進出とする。</t>
    <rPh sb="0" eb="2">
      <t>ヨセン</t>
    </rPh>
    <rPh sb="9" eb="11">
      <t>ジュンイ</t>
    </rPh>
    <rPh sb="13" eb="14">
      <t>カ</t>
    </rPh>
    <rPh sb="15" eb="16">
      <t>テン</t>
    </rPh>
    <rPh sb="17" eb="18">
      <t>ショウ</t>
    </rPh>
    <rPh sb="20" eb="22">
      <t>ヒキワケ</t>
    </rPh>
    <rPh sb="24" eb="25">
      <t>フ</t>
    </rPh>
    <rPh sb="28" eb="30">
      <t>トウガイ</t>
    </rPh>
    <rPh sb="30" eb="32">
      <t>タイセン</t>
    </rPh>
    <rPh sb="36" eb="37">
      <t>ジュン</t>
    </rPh>
    <rPh sb="38" eb="40">
      <t>ケッテイ</t>
    </rPh>
    <phoneticPr fontId="64"/>
  </si>
  <si>
    <t>予選リーグは４０分とし、ハーフタイムのインターバル（前半終了から後半開始まで）は原則として１０
分とする。予選リーグにおける順位は、勝ち点(勝3、引分1、負0)・当該対戦・PKの順で決定する。
予選リーグにおいて、3チーム共に同率時の場合は、3人制のPK方式にて2連勝したチームが
次回戦進出とする。</t>
    <rPh sb="0" eb="2">
      <t>ヨセン</t>
    </rPh>
    <phoneticPr fontId="5"/>
  </si>
  <si>
    <r>
      <t>　　・大会１日目（予選リーグ）は、帯同審判員を（</t>
    </r>
    <r>
      <rPr>
        <b/>
        <sz val="11"/>
        <color rgb="FFFF0000"/>
        <rFont val="Meiryo UI"/>
        <family val="3"/>
        <charset val="128"/>
      </rPr>
      <t>３級以上</t>
    </r>
    <r>
      <rPr>
        <sz val="11"/>
        <rFont val="Meiryo UI"/>
        <family val="3"/>
        <charset val="128"/>
      </rPr>
      <t>）チームで帯同する。</t>
    </r>
    <rPh sb="17" eb="19">
      <t>タイドウ</t>
    </rPh>
    <rPh sb="19" eb="22">
      <t>シンパンイン</t>
    </rPh>
    <rPh sb="25" eb="26">
      <t>キュウ</t>
    </rPh>
    <rPh sb="26" eb="28">
      <t>イジョウ</t>
    </rPh>
    <rPh sb="33" eb="35">
      <t>タイドウ</t>
    </rPh>
    <phoneticPr fontId="5"/>
  </si>
  <si>
    <t>中津沖代ジュニアサッカークラブ</t>
  </si>
  <si>
    <t>東　Ｆ．Ｃ．</t>
  </si>
  <si>
    <t>高村　琉琥</t>
  </si>
  <si>
    <t>タカムラ　リク</t>
  </si>
  <si>
    <t>本多　美月</t>
  </si>
  <si>
    <t>ホンダ　ミツキ</t>
  </si>
  <si>
    <t>川井　新太</t>
  </si>
  <si>
    <t>カワイ　アラタ</t>
  </si>
  <si>
    <t>佐藤　理一</t>
  </si>
  <si>
    <t>サトウ　リイチ</t>
  </si>
  <si>
    <t>小野　紘弥</t>
  </si>
  <si>
    <t>オノ　ヒロヤ</t>
  </si>
  <si>
    <t>若宮サッカースポーツ少年団</t>
  </si>
  <si>
    <t>綾部　瑛太</t>
  </si>
  <si>
    <t>アヤベ　エイタ</t>
  </si>
  <si>
    <t>末竹　光健</t>
  </si>
  <si>
    <t>スエタケ　コウケン</t>
  </si>
  <si>
    <t>千原　凛士</t>
  </si>
  <si>
    <t>チハラ　リント</t>
  </si>
  <si>
    <t>鷲頭　時希</t>
  </si>
  <si>
    <t>ワシズ　トキ</t>
  </si>
  <si>
    <t>伊藤　朔麻</t>
  </si>
  <si>
    <t>イトウ　サクマ</t>
  </si>
  <si>
    <t>野瀬　幹太</t>
  </si>
  <si>
    <t>ノセ　カンタ</t>
  </si>
  <si>
    <t>矢幡　宝貴</t>
  </si>
  <si>
    <t>ヤワタ　タカキ</t>
  </si>
  <si>
    <t>千原　蓮己</t>
  </si>
  <si>
    <t>チハラ　レンゴ</t>
  </si>
  <si>
    <t>加藤　剛志</t>
  </si>
  <si>
    <t>カトウ　ゴウシ</t>
  </si>
  <si>
    <t>黒木　丈介</t>
  </si>
  <si>
    <t>クロキ　ジョウスケ</t>
  </si>
  <si>
    <t>高倉　里桜</t>
  </si>
  <si>
    <t>タカクラ　リオ</t>
  </si>
  <si>
    <t>幸　愛菜</t>
  </si>
  <si>
    <t>ユキ　アイナ</t>
  </si>
  <si>
    <t>伊藤　翠</t>
  </si>
  <si>
    <t>イトウ　スイ</t>
  </si>
  <si>
    <t>小山　清志郎</t>
  </si>
  <si>
    <t>コヤマ　セイシロウ</t>
  </si>
  <si>
    <t>尾形　智希</t>
  </si>
  <si>
    <t>オガタ　トモキ</t>
  </si>
  <si>
    <t>井上　凛央</t>
  </si>
  <si>
    <t>イノウエ　リオ</t>
  </si>
  <si>
    <t>高瀬　風緒</t>
  </si>
  <si>
    <t>タカセ　カオ</t>
  </si>
  <si>
    <t>串尾　遼馬</t>
  </si>
  <si>
    <t>クシオ　ハルマ</t>
  </si>
  <si>
    <t>今井　琉雅</t>
  </si>
  <si>
    <t>イマイ　リュウガ</t>
  </si>
  <si>
    <t>右近　剛聖</t>
  </si>
  <si>
    <t>ウコン　ゴウセイ</t>
  </si>
  <si>
    <t>高倉　佑心</t>
  </si>
  <si>
    <t>タカクラ　ユウシン</t>
  </si>
  <si>
    <t>佐藤　煌汰</t>
  </si>
  <si>
    <t>サトウ　コウタ</t>
  </si>
  <si>
    <t>江藤　隆太</t>
  </si>
  <si>
    <t>エトウ　リュウタ</t>
  </si>
  <si>
    <t>高森　優暉</t>
  </si>
  <si>
    <t>タカモリ　ユウキ</t>
  </si>
  <si>
    <t>江田　陽向</t>
  </si>
  <si>
    <t>コウダ　ヒュウガ</t>
  </si>
  <si>
    <t>藤原　竜心</t>
  </si>
  <si>
    <t>フジワラ　リュウシン</t>
  </si>
  <si>
    <t>藤原　聖希</t>
  </si>
  <si>
    <t>フジワラ　イブキ</t>
  </si>
  <si>
    <t>山本　真輝</t>
  </si>
  <si>
    <t>ヤマモト　マナキ</t>
  </si>
  <si>
    <t>松木　悠歩</t>
  </si>
  <si>
    <t>マツキ　ユウホ</t>
  </si>
  <si>
    <t>荒木　崇秀</t>
  </si>
  <si>
    <t>アラキ　タカヒデ</t>
  </si>
  <si>
    <t>清藤　槙斗</t>
  </si>
  <si>
    <t>キヨフジ　マキト</t>
  </si>
  <si>
    <t>佐古　慎之助</t>
  </si>
  <si>
    <t>サコ　シンノスケ</t>
  </si>
  <si>
    <t>小幡　玲治</t>
  </si>
  <si>
    <t>オバタ　レイジ</t>
  </si>
  <si>
    <t>吉武　龍玄</t>
  </si>
  <si>
    <t>ヨシタケ　リュウゲン</t>
  </si>
  <si>
    <t>安部　叶音</t>
  </si>
  <si>
    <t>アベ　カナト</t>
  </si>
  <si>
    <t>嶋末　大地</t>
  </si>
  <si>
    <t>シマスエ　ダイチ</t>
  </si>
  <si>
    <t>佐藤　龍輝</t>
  </si>
  <si>
    <t>サトウ　リュウキ</t>
  </si>
  <si>
    <t>衛藤　昇</t>
  </si>
  <si>
    <t>エトウ　ショウ</t>
  </si>
  <si>
    <t>西原　颯一</t>
  </si>
  <si>
    <t>ニシハラ　ソウイ</t>
  </si>
  <si>
    <t>江隈　涼星</t>
  </si>
  <si>
    <t>エグマ　リョウセイ</t>
  </si>
  <si>
    <t>山上　修吾</t>
  </si>
  <si>
    <t>ヤマカミ　シュウゴ</t>
  </si>
  <si>
    <t>長岡　宗志</t>
  </si>
  <si>
    <t>ナガオカ　ソウシ</t>
  </si>
  <si>
    <t>土谷　蓮音</t>
  </si>
  <si>
    <t>ツチヤ　レオン</t>
  </si>
  <si>
    <t>豊永　優人</t>
  </si>
  <si>
    <t>トヨナガ　ユウト</t>
  </si>
  <si>
    <t>大力　隼翔</t>
  </si>
  <si>
    <t>ダイリキ　ハヤト</t>
  </si>
  <si>
    <t>吉田　幸永</t>
  </si>
  <si>
    <t>ヨシダ　ユキヒサ</t>
  </si>
  <si>
    <t>サトウ　リオマ</t>
  </si>
  <si>
    <t>福田　貴玄</t>
  </si>
  <si>
    <t>フクダ　タカトラ</t>
  </si>
  <si>
    <t>桑原　煌弥</t>
  </si>
  <si>
    <t>クワハラ　コウヤ</t>
  </si>
  <si>
    <t>荒牧　悠斗</t>
  </si>
  <si>
    <t>アラマキ　ハルト</t>
  </si>
  <si>
    <t>岩男　一吹</t>
  </si>
  <si>
    <t>イワオ　イブキ</t>
  </si>
  <si>
    <t>三ヶ尻　悠莉</t>
  </si>
  <si>
    <t>ミカジリ　ユウリ</t>
  </si>
  <si>
    <t>副島　碧斗</t>
  </si>
  <si>
    <t>ソエジマ　アオト</t>
  </si>
  <si>
    <t>川野　樹</t>
  </si>
  <si>
    <t>カワノ　イツキ</t>
  </si>
  <si>
    <t>是恒　夢月</t>
  </si>
  <si>
    <t>コレツネ　ユヅキ</t>
  </si>
  <si>
    <t>銅野　男児</t>
  </si>
  <si>
    <t>ドウノ　ダンジ</t>
  </si>
  <si>
    <t>川端　一誓</t>
  </si>
  <si>
    <t>カワバタ　イッセイ</t>
  </si>
  <si>
    <t>戸上　維人</t>
  </si>
  <si>
    <t>トウエ　ユイト</t>
  </si>
  <si>
    <t>庄部　ユリナ</t>
  </si>
  <si>
    <t>ショウブ　ユリナ</t>
  </si>
  <si>
    <t>西村　康</t>
  </si>
  <si>
    <t>ニシムラ　コウ</t>
  </si>
  <si>
    <t>南　翔真</t>
  </si>
  <si>
    <t>ミナミ　ショウマ</t>
  </si>
  <si>
    <t>吉田　律</t>
  </si>
  <si>
    <t>ヨシダ　リツ</t>
  </si>
  <si>
    <t>冨来　柊介</t>
  </si>
  <si>
    <t>トミク　シュウスケ</t>
  </si>
  <si>
    <t>青野　良誠</t>
  </si>
  <si>
    <t>アオノ　リョウセイ</t>
  </si>
  <si>
    <t>藤原　羚佑</t>
  </si>
  <si>
    <t>フジワラ　リョウスケ</t>
  </si>
  <si>
    <t>中原　陽向</t>
  </si>
  <si>
    <t>ナカハラ　ヒナタ</t>
  </si>
  <si>
    <t>三浦　稜汰</t>
  </si>
  <si>
    <t>ミウラ　リョウタ</t>
  </si>
  <si>
    <t>遠江　一平</t>
  </si>
  <si>
    <t>トウエ　イッペイ</t>
  </si>
  <si>
    <t>国東ジュニアサッカークラブ</t>
  </si>
  <si>
    <t>中磨　龍信</t>
  </si>
  <si>
    <t>ナカマ　リュウシン</t>
  </si>
  <si>
    <t>金子　笑也</t>
  </si>
  <si>
    <t>カネコ　エミヤ</t>
  </si>
  <si>
    <t>萱嶋　颯太</t>
  </si>
  <si>
    <t>カヤシマ　ハヤタ</t>
  </si>
  <si>
    <t>吉武　真叶</t>
  </si>
  <si>
    <t>ヨシタケ　マサト</t>
  </si>
  <si>
    <t>竹本　徠希</t>
  </si>
  <si>
    <t>タケモト　ライキ</t>
  </si>
  <si>
    <t>竹本　琉希</t>
  </si>
  <si>
    <t>タケモト　リュウキ</t>
  </si>
  <si>
    <t>西本　楓</t>
  </si>
  <si>
    <t>ニシモト　カエデ</t>
  </si>
  <si>
    <t>上田　蒼空</t>
  </si>
  <si>
    <t>ウエダ　ソラ</t>
  </si>
  <si>
    <t>末廣　皇也</t>
  </si>
  <si>
    <t>スエヒロ　コウヤ</t>
  </si>
  <si>
    <t>喜久里　怜央</t>
  </si>
  <si>
    <t>キクザト　レオ</t>
  </si>
  <si>
    <t>吉﨑　斗立</t>
  </si>
  <si>
    <t>ヨシザキ　トウリ</t>
  </si>
  <si>
    <t>中村　輝人</t>
  </si>
  <si>
    <t>ナカムラ　アキヒト</t>
  </si>
  <si>
    <t>今西　叶</t>
  </si>
  <si>
    <t>イマニシ　カナト</t>
  </si>
  <si>
    <t>波多野　勇利</t>
  </si>
  <si>
    <t>ハタノ　ハヤト</t>
  </si>
  <si>
    <t>尾川　勇冴</t>
  </si>
  <si>
    <t>オガワ　ユウゴ</t>
  </si>
  <si>
    <t>原　直人</t>
  </si>
  <si>
    <t>ハラ　ナオト</t>
  </si>
  <si>
    <t>稲吉　夢月</t>
  </si>
  <si>
    <t>イナヨシ　ムツキ</t>
  </si>
  <si>
    <t>松野　大地</t>
  </si>
  <si>
    <t>マツノ　ダイチ</t>
  </si>
  <si>
    <t>上川　颯太</t>
  </si>
  <si>
    <t>カミカワ　ソウタ</t>
  </si>
  <si>
    <t>上家　伯斗</t>
  </si>
  <si>
    <t>カミイエ　ハクト</t>
  </si>
  <si>
    <t>中川　友喜</t>
  </si>
  <si>
    <t>ナカガワ　トモキ</t>
  </si>
  <si>
    <t>舞弓　龍愛</t>
  </si>
  <si>
    <t>マユミ　リュウア</t>
  </si>
  <si>
    <t>坂内　陸斗</t>
  </si>
  <si>
    <t>サカウチ　リクト</t>
  </si>
  <si>
    <t>富山　太陽</t>
  </si>
  <si>
    <t>トミヤマ　タイヨウ</t>
  </si>
  <si>
    <t>迫　大輔</t>
  </si>
  <si>
    <t>サコ　ダイスケ</t>
  </si>
  <si>
    <t>荻本　拓摩</t>
  </si>
  <si>
    <t>オギモト　タクマ</t>
  </si>
  <si>
    <t>小野　雄稀</t>
  </si>
  <si>
    <t>土居　蒔詩</t>
  </si>
  <si>
    <t>ドイ　マキシ</t>
  </si>
  <si>
    <t>南部　莞志</t>
  </si>
  <si>
    <t>ナンブ　カンジ</t>
  </si>
  <si>
    <t>平野　拓馬</t>
  </si>
  <si>
    <t>ヒラノ　タクマ</t>
  </si>
  <si>
    <t>中澤　愛</t>
  </si>
  <si>
    <t>ナカザワ　アイ</t>
  </si>
  <si>
    <t>日名子　隼弥</t>
  </si>
  <si>
    <t>ヒナゴ　シュンヤ</t>
  </si>
  <si>
    <t>矢治　颯馬</t>
  </si>
  <si>
    <t>ヤジ　ソウマ</t>
  </si>
  <si>
    <t>福本　明衣</t>
  </si>
  <si>
    <t>フクモト　メイ</t>
  </si>
  <si>
    <t>山田　翔太</t>
  </si>
  <si>
    <t>ヤマダ　ショウタ</t>
  </si>
  <si>
    <t>中澤　幹翔</t>
  </si>
  <si>
    <t>ナカザワ　ミキト</t>
  </si>
  <si>
    <t>大関　樹</t>
  </si>
  <si>
    <t>オオゼキ　タツキ</t>
  </si>
  <si>
    <t>深浦　杏奈</t>
  </si>
  <si>
    <t>フカウラ　アンナ</t>
  </si>
  <si>
    <t>横飛　歩</t>
  </si>
  <si>
    <t>ヨコトビ　アユム</t>
  </si>
  <si>
    <t>前田　麟</t>
  </si>
  <si>
    <t>マエダ　リン</t>
  </si>
  <si>
    <t>平松　篤仁</t>
  </si>
  <si>
    <t>ヒラマツ　アツヒト</t>
  </si>
  <si>
    <t>岡田　蒼央</t>
  </si>
  <si>
    <t>オカダ　アオ</t>
  </si>
  <si>
    <t>杉本　航聖</t>
  </si>
  <si>
    <t>スギモト　コウセイ</t>
  </si>
  <si>
    <t>松尾　颯磨</t>
  </si>
  <si>
    <t>荒金　ひより</t>
  </si>
  <si>
    <t>アラカネ　ヒヨリ</t>
  </si>
  <si>
    <t>加藤　海光</t>
  </si>
  <si>
    <t>カトウ　カイリ</t>
  </si>
  <si>
    <t>河野　凌駕</t>
  </si>
  <si>
    <t>カワノ　リョウガ</t>
  </si>
  <si>
    <t>江藤　蒼介</t>
  </si>
  <si>
    <t>エトウ　ソウスケ</t>
  </si>
  <si>
    <t>三村　英人</t>
  </si>
  <si>
    <t>ミムラ　エイト</t>
  </si>
  <si>
    <t>倉方　颯杜</t>
  </si>
  <si>
    <t>クラカタ　ハヤト</t>
  </si>
  <si>
    <t>江口　佳樹</t>
  </si>
  <si>
    <t>エグチ　ヨシキ</t>
  </si>
  <si>
    <t>小野田　楓真</t>
  </si>
  <si>
    <t>オノダ　フウマ</t>
  </si>
  <si>
    <t>吉田　陽日冬</t>
  </si>
  <si>
    <t>ヨシダ　ヒビト</t>
  </si>
  <si>
    <t>岩渕　大陸</t>
  </si>
  <si>
    <t>イワブチ　タイリク</t>
  </si>
  <si>
    <t>山崎　歩夢</t>
  </si>
  <si>
    <t>ヤマサキ　アユム</t>
  </si>
  <si>
    <t>岩尾　岳東</t>
  </si>
  <si>
    <t>イワオ　ガクト</t>
  </si>
  <si>
    <t>元木　来哉</t>
  </si>
  <si>
    <t>モトキ　ライヤ</t>
  </si>
  <si>
    <t>堀内　瑛嗣</t>
  </si>
  <si>
    <t>ホリウチ　エイシ</t>
  </si>
  <si>
    <t>岩田　千諒</t>
  </si>
  <si>
    <t>イワタ　チアキ</t>
  </si>
  <si>
    <t>平山　聖佳</t>
  </si>
  <si>
    <t>ヒラヤマ　キヨカ</t>
  </si>
  <si>
    <t>松尾　耕成</t>
  </si>
  <si>
    <t>マツオ　コウセイ</t>
  </si>
  <si>
    <t>森本　峻太</t>
  </si>
  <si>
    <t>モリモト　シュンタ</t>
  </si>
  <si>
    <t>近砂　宏信</t>
  </si>
  <si>
    <t>チカスナ　ヒロノブ</t>
  </si>
  <si>
    <t>宮崎　敦寛</t>
  </si>
  <si>
    <t>ミヤザキ　アツヒロ</t>
  </si>
  <si>
    <t>菅野　悠翔</t>
  </si>
  <si>
    <t>スガノ　ユウト</t>
  </si>
  <si>
    <t>末廣　敬斗</t>
  </si>
  <si>
    <t>スエヒロ　ケイト</t>
  </si>
  <si>
    <t>古谷　柚季奈</t>
  </si>
  <si>
    <t>フルヤ　ユキナ</t>
  </si>
  <si>
    <t>秋吉　太耀</t>
  </si>
  <si>
    <t>アキヨシ　タイヨウ</t>
  </si>
  <si>
    <t>飯干　響</t>
  </si>
  <si>
    <t>イイホシ　ヒビキ</t>
  </si>
  <si>
    <t>タナカ　ユウスケ</t>
  </si>
  <si>
    <t>白石　大翔</t>
  </si>
  <si>
    <t>シライシ　ヒロト</t>
  </si>
  <si>
    <t>守口　輝哉</t>
  </si>
  <si>
    <t>モリグチ　ライヤ</t>
  </si>
  <si>
    <t>笠原　惇希</t>
  </si>
  <si>
    <t>カサハラ　アツキ</t>
  </si>
  <si>
    <t>小崎　大翔</t>
  </si>
  <si>
    <t>コザキ　ヒロト</t>
  </si>
  <si>
    <t>農上　一護</t>
  </si>
  <si>
    <t>ノウガミ　イチゴ</t>
  </si>
  <si>
    <t>阿南　柊人</t>
  </si>
  <si>
    <t>アナン　シュウト</t>
  </si>
  <si>
    <t>小野　由翔</t>
  </si>
  <si>
    <t>オノ　ユイト</t>
  </si>
  <si>
    <t>秋月　大河</t>
  </si>
  <si>
    <t>アキヅキ　タイガ</t>
  </si>
  <si>
    <t>島田　京弥</t>
  </si>
  <si>
    <t>シマダ　キョウヤ</t>
  </si>
  <si>
    <t>中津留　蓮飛</t>
  </si>
  <si>
    <t>ナカツル　レント</t>
  </si>
  <si>
    <t>小手川　海人</t>
  </si>
  <si>
    <t>コテガワ　カイト</t>
  </si>
  <si>
    <t>上田　晄斗</t>
  </si>
  <si>
    <t>ウエダ　アキト</t>
  </si>
  <si>
    <t>八藤　晴那</t>
  </si>
  <si>
    <t>ヤフジ　セナ</t>
  </si>
  <si>
    <t>甲斐　煌大</t>
  </si>
  <si>
    <t>カイ　キラト</t>
  </si>
  <si>
    <t>安部　千輝</t>
  </si>
  <si>
    <t>アベ　カズキ</t>
  </si>
  <si>
    <t>梶西　惺凪</t>
  </si>
  <si>
    <t>カジニシ　セナ</t>
  </si>
  <si>
    <t>塩月　宗右</t>
  </si>
  <si>
    <t>シオツキ　ソウ</t>
  </si>
  <si>
    <t>小川　颯介</t>
  </si>
  <si>
    <t>オガワ　ソウスケ</t>
  </si>
  <si>
    <t>清家　世良</t>
  </si>
  <si>
    <t>セイケ　セラ</t>
  </si>
  <si>
    <t>渡邉　雅功</t>
  </si>
  <si>
    <t>ワタナベ　ガク</t>
  </si>
  <si>
    <t>黒岩　伴次</t>
  </si>
  <si>
    <t>クロイワ　ハンジ</t>
  </si>
  <si>
    <t>橋井　航</t>
  </si>
  <si>
    <t>ハシイ　ワタル</t>
  </si>
  <si>
    <t>江藤　陽</t>
  </si>
  <si>
    <t>エトウ　ヒナタ</t>
  </si>
  <si>
    <t>福泉　蓮介</t>
  </si>
  <si>
    <t>フクイズミ　レンスケ</t>
  </si>
  <si>
    <t>工藤　栄伸</t>
  </si>
  <si>
    <t>クドウ　シゲノブ</t>
  </si>
  <si>
    <t>小野　平良</t>
  </si>
  <si>
    <t>オノ　タイラ</t>
  </si>
  <si>
    <t>末永　廉</t>
  </si>
  <si>
    <t>スエナガ　レン</t>
  </si>
  <si>
    <t>安達　嘉人</t>
  </si>
  <si>
    <t>アダチ　ヨシト</t>
  </si>
  <si>
    <t>柴田　柚希</t>
  </si>
  <si>
    <t>シバタ　ユズキ</t>
  </si>
  <si>
    <t>大島　湊</t>
  </si>
  <si>
    <t>オオシマ　ミナト</t>
  </si>
  <si>
    <t>塩月　悠叶</t>
  </si>
  <si>
    <t>シオツキ　ユウト</t>
  </si>
  <si>
    <t>小花　遥陽</t>
  </si>
  <si>
    <t>オバナ　ハルヒ</t>
  </si>
  <si>
    <t>矢野　海斗</t>
  </si>
  <si>
    <t>ヤノ　カイト</t>
  </si>
  <si>
    <t>津田　楓翔</t>
  </si>
  <si>
    <t>ツダ　フウト</t>
  </si>
  <si>
    <t>新納　偉央</t>
  </si>
  <si>
    <t>新納　聡真</t>
  </si>
  <si>
    <t>本田　一葵</t>
  </si>
  <si>
    <t>ホンダ　イツキ</t>
  </si>
  <si>
    <t>児玉　冴徠</t>
  </si>
  <si>
    <t>コダマ　サク</t>
  </si>
  <si>
    <t>河野　結人</t>
  </si>
  <si>
    <t>カワノ　ユイト</t>
  </si>
  <si>
    <t>塚田　英翔</t>
  </si>
  <si>
    <t>ツカダ　アルト</t>
  </si>
  <si>
    <t>大村　直人</t>
  </si>
  <si>
    <t>オオムラ　ナオト</t>
  </si>
  <si>
    <t>馬﨑　隆世</t>
  </si>
  <si>
    <t>マサキ　リュウセイ</t>
  </si>
  <si>
    <t>坂本　海晟</t>
  </si>
  <si>
    <t>サカモト　カイセイ</t>
  </si>
  <si>
    <t>小嶋　蓮</t>
  </si>
  <si>
    <t>コジマ　レン</t>
  </si>
  <si>
    <t>佐藤　蓮</t>
  </si>
  <si>
    <t>サトウ　レン</t>
  </si>
  <si>
    <t>染矢　悠吾</t>
  </si>
  <si>
    <t>ソメヤ　ユウゴ</t>
  </si>
  <si>
    <t>ヒライ　コウキ</t>
  </si>
  <si>
    <t>須川　彪雅</t>
  </si>
  <si>
    <t>スガワ　ヒュウガ</t>
  </si>
  <si>
    <t>後藤　颯斗</t>
  </si>
  <si>
    <t>ゴトウ　ハヤト</t>
  </si>
  <si>
    <t>須藤　来希</t>
  </si>
  <si>
    <t>スドウ　ライキ</t>
  </si>
  <si>
    <t>菱川　暁翔</t>
  </si>
  <si>
    <t>ヒシカワ　アキト</t>
  </si>
  <si>
    <t>ゴトウ　ヒビキ</t>
  </si>
  <si>
    <t>金嶽　璃空</t>
  </si>
  <si>
    <t>カネタケ　リク</t>
  </si>
  <si>
    <t>カワノ　ソラ</t>
  </si>
  <si>
    <t>有村　泰史郎</t>
  </si>
  <si>
    <t>アリムラ　タイシロウ</t>
  </si>
  <si>
    <t>伊勢　虎斗</t>
  </si>
  <si>
    <t>イセ　タケト</t>
  </si>
  <si>
    <t>楢橋　拓斗</t>
  </si>
  <si>
    <t>ナラハシ　タクト</t>
  </si>
  <si>
    <t>宮脇　黄鈴</t>
  </si>
  <si>
    <t>ミヤワキ　キリン</t>
  </si>
  <si>
    <t>阿部　覇亜斗</t>
  </si>
  <si>
    <t>アベ　ハアト</t>
  </si>
  <si>
    <t>岩村　貫吾</t>
  </si>
  <si>
    <t>イワムラ　カンゴ</t>
  </si>
  <si>
    <t>村山　陽詩</t>
  </si>
  <si>
    <t>ムラヤマ　ヒナタ</t>
  </si>
  <si>
    <t>ムラカミ　ハルト</t>
  </si>
  <si>
    <t>天﨑　圭太朗</t>
  </si>
  <si>
    <t>アマザキ　ケイタロウ</t>
  </si>
  <si>
    <t>岩尾　賢尚</t>
  </si>
  <si>
    <t>イワオ　タカヒサ</t>
  </si>
  <si>
    <t>矢﨑　大地</t>
  </si>
  <si>
    <t>ヤザキ　ダイチ</t>
  </si>
  <si>
    <t>尾崎　亘</t>
  </si>
  <si>
    <t>オザキ　ワタル</t>
  </si>
  <si>
    <t>安藤　結人</t>
  </si>
  <si>
    <t>アンドウ　ユイト</t>
  </si>
  <si>
    <t>中邑　景太郎</t>
  </si>
  <si>
    <t>ナカムラ　キョウタロウ</t>
  </si>
  <si>
    <t>古庄　櫂士</t>
  </si>
  <si>
    <t>コショウ　カイト</t>
  </si>
  <si>
    <t>ホンダ　ソウヤ</t>
  </si>
  <si>
    <t>佐藤　大地</t>
  </si>
  <si>
    <t>サトウ　ダイチ</t>
  </si>
  <si>
    <t>安部　雄翔</t>
  </si>
  <si>
    <t>アベ　ユウト</t>
  </si>
  <si>
    <t>河野　安璃</t>
  </si>
  <si>
    <t>カワノ　アンリ</t>
  </si>
  <si>
    <t>安部　栞奈</t>
  </si>
  <si>
    <t>アベ　カンナ</t>
  </si>
  <si>
    <t>日野　結翔</t>
  </si>
  <si>
    <t>ヒノ　ユイト</t>
  </si>
  <si>
    <t>髙木　翔央</t>
  </si>
  <si>
    <t>タカギ　ショウ</t>
  </si>
  <si>
    <t>阿部　唯信</t>
  </si>
  <si>
    <t>アベ　ユイシン</t>
  </si>
  <si>
    <t>平野　聖樹</t>
  </si>
  <si>
    <t>ヒラノ　イブキ</t>
  </si>
  <si>
    <t>元島　拓海</t>
  </si>
  <si>
    <t>モトシマ　タクミ</t>
  </si>
  <si>
    <t>高山　蓮</t>
  </si>
  <si>
    <t>タカヤマ　レン</t>
  </si>
  <si>
    <t>齊木　康太</t>
  </si>
  <si>
    <t>サイキ　コウタ</t>
  </si>
  <si>
    <t>清田　蒼介</t>
  </si>
  <si>
    <t>キヨタ　ソウスケ</t>
  </si>
  <si>
    <t>三代　葉</t>
  </si>
  <si>
    <t>ミシロ　ヨウ</t>
  </si>
  <si>
    <t>磯部　輝</t>
  </si>
  <si>
    <t>イソベ　ヒカル</t>
  </si>
  <si>
    <t>丸石　奏多</t>
  </si>
  <si>
    <t>マルイシ　カナタ</t>
  </si>
  <si>
    <t>古川　絋平</t>
  </si>
  <si>
    <t>フルカワ　コウヘイ</t>
  </si>
  <si>
    <t>山田　芽依</t>
  </si>
  <si>
    <t>ヤマダ　メイ</t>
  </si>
  <si>
    <t>久保田　龍之介</t>
  </si>
  <si>
    <t>クボタ　リュウノスケ</t>
  </si>
  <si>
    <t>加藤　咲妃</t>
  </si>
  <si>
    <t>カトウ　サキ</t>
  </si>
  <si>
    <t>朝倉　宏天</t>
  </si>
  <si>
    <t>アサクラ　ヒロタカ</t>
  </si>
  <si>
    <t>宮﨑　風牙</t>
  </si>
  <si>
    <t>ミヤザキ　フウガ</t>
  </si>
  <si>
    <t>後藤　拓海</t>
  </si>
  <si>
    <t>ゴトウ　タクミ</t>
  </si>
  <si>
    <t>武田　陸人</t>
  </si>
  <si>
    <t>タケダ　リクト</t>
  </si>
  <si>
    <t>林　雄誠</t>
  </si>
  <si>
    <t>ハヤシ　ユウマ</t>
  </si>
  <si>
    <t>山中　凜太郎</t>
  </si>
  <si>
    <t>ヤマナカ　リンタロウ</t>
  </si>
  <si>
    <t>帶刀　真太朗</t>
  </si>
  <si>
    <t>タテワキ　シンタロウ</t>
  </si>
  <si>
    <t>宮川　司</t>
  </si>
  <si>
    <t>ミヤガワ　ツカサ</t>
  </si>
  <si>
    <t>都築　秀太郎</t>
  </si>
  <si>
    <t>ツヅキ　シュウタロウ</t>
  </si>
  <si>
    <t>甲斐　海南斗</t>
  </si>
  <si>
    <t>カイ　ミナト</t>
  </si>
  <si>
    <t>後藤　優成</t>
  </si>
  <si>
    <t>名古屋　碧斗</t>
  </si>
  <si>
    <t>ナゴヤ　リクト</t>
  </si>
  <si>
    <t>後藤　渚玖</t>
  </si>
  <si>
    <t>ゴトウ　サク</t>
  </si>
  <si>
    <t>伊達　毅</t>
  </si>
  <si>
    <t>ダテ　ツヨシ</t>
  </si>
  <si>
    <t>斎藤　暖太</t>
  </si>
  <si>
    <t>サイトウ　ヒナタ</t>
  </si>
  <si>
    <t>太田　望夢</t>
  </si>
  <si>
    <t>オオタ　ノゾム</t>
  </si>
  <si>
    <t>佐藤　礼佳</t>
  </si>
  <si>
    <t>サトウ　ライカ</t>
  </si>
  <si>
    <t>宮脇　百合愛</t>
  </si>
  <si>
    <t>ミヤワキ　リリア</t>
  </si>
  <si>
    <t>廣瀬　開</t>
  </si>
  <si>
    <t>ヒロセ　カイ</t>
  </si>
  <si>
    <t>工藤　竜也</t>
  </si>
  <si>
    <t>クドウ　タツヤ</t>
  </si>
  <si>
    <t>廣瀬　圭</t>
  </si>
  <si>
    <t>ヒロセ　ケイ</t>
  </si>
  <si>
    <t>福田　翼</t>
  </si>
  <si>
    <t>フクダ　ツバサ</t>
  </si>
  <si>
    <t>河野　蘭心</t>
  </si>
  <si>
    <t>カワノ　ラン</t>
  </si>
  <si>
    <t>伊東　空我</t>
  </si>
  <si>
    <t>イトウ　クウガ</t>
  </si>
  <si>
    <t>池田　匠</t>
  </si>
  <si>
    <t>イケダ　タクミ</t>
  </si>
  <si>
    <t>佐藤　叶羽</t>
  </si>
  <si>
    <t>サトウ　トワ</t>
  </si>
  <si>
    <t>小田　遥杏</t>
  </si>
  <si>
    <t>オダ　ハルア</t>
  </si>
  <si>
    <t>小栗　佑斗</t>
  </si>
  <si>
    <t>オグリ　ユウト</t>
  </si>
  <si>
    <t>加藤　劉星</t>
  </si>
  <si>
    <t>カトウ　リュウセイ</t>
  </si>
  <si>
    <t>堀　萌々華</t>
  </si>
  <si>
    <t>ホリ　モモカ</t>
  </si>
  <si>
    <t>宮川　葵</t>
  </si>
  <si>
    <t>ミヤガワ　アオイ</t>
  </si>
  <si>
    <t>前田　隆之介</t>
  </si>
  <si>
    <t>マエダ　リュウノスケ</t>
  </si>
  <si>
    <t>土谷　兼世</t>
  </si>
  <si>
    <t>ツチヤ　ケンセイ</t>
  </si>
  <si>
    <t>友永　大翔</t>
  </si>
  <si>
    <t>トモナガ　ヒロト</t>
  </si>
  <si>
    <t>植田　琉海</t>
  </si>
  <si>
    <t>矢野　凛空</t>
  </si>
  <si>
    <t>ヤノ　リク</t>
  </si>
  <si>
    <t>野尻　風羽</t>
  </si>
  <si>
    <t>ノジリ　フウ</t>
  </si>
  <si>
    <t>内田　麟太朗</t>
  </si>
  <si>
    <t>ウチダ　リンタロウ</t>
  </si>
  <si>
    <t>山室　青空</t>
  </si>
  <si>
    <t>ヤマムロ　ソウ</t>
  </si>
  <si>
    <t>木本　悠太</t>
  </si>
  <si>
    <t>キモト　ユウタ</t>
  </si>
  <si>
    <t>林　紘太</t>
  </si>
  <si>
    <t>ハヤシ　コウタ</t>
  </si>
  <si>
    <t>釘宮　康人</t>
  </si>
  <si>
    <t>クギミヤ　コウト</t>
  </si>
  <si>
    <t>大橋　歩生</t>
  </si>
  <si>
    <t>オオハシ　アユム</t>
  </si>
  <si>
    <t>南　絢斗</t>
  </si>
  <si>
    <t>シマヅ　コハク</t>
  </si>
  <si>
    <t>南　怜</t>
  </si>
  <si>
    <t>ミナミ　レイ</t>
  </si>
  <si>
    <t>堀　晴翔</t>
  </si>
  <si>
    <t>ホリ　ハルト</t>
  </si>
  <si>
    <t>首藤　舞空</t>
  </si>
  <si>
    <t>シュトウ　マソラ</t>
  </si>
  <si>
    <t>足立　陸</t>
  </si>
  <si>
    <t>古川　雄惺</t>
  </si>
  <si>
    <t>フルカワ　ユウセイ</t>
  </si>
  <si>
    <t>髙浪　遼馬</t>
  </si>
  <si>
    <t>タカナミ　リョウマ</t>
  </si>
  <si>
    <t>加藤　隆将</t>
  </si>
  <si>
    <t>カトウ　タカマサ</t>
  </si>
  <si>
    <t>吉成　優誠</t>
  </si>
  <si>
    <t>ヨシナリ　ユウセイ</t>
  </si>
  <si>
    <t>松本　透空</t>
  </si>
  <si>
    <t>マツモト　トア</t>
  </si>
  <si>
    <t>中村　龍星</t>
  </si>
  <si>
    <t>ナカムラ　リュウセイ</t>
  </si>
  <si>
    <t>河辺　冬伍</t>
  </si>
  <si>
    <t>カワベ　トウゴ</t>
  </si>
  <si>
    <t>安東　周平</t>
  </si>
  <si>
    <t>アンドウ　シュウヘイ</t>
  </si>
  <si>
    <t>牧野　寛大</t>
  </si>
  <si>
    <t>マキノ　カンタ</t>
  </si>
  <si>
    <t>阿部　聡介</t>
  </si>
  <si>
    <t>アベ　ソウスケ</t>
  </si>
  <si>
    <t>中山　蓮珠</t>
  </si>
  <si>
    <t>ナカヤマ　レンジュ</t>
  </si>
  <si>
    <t>阿部　陽琥</t>
  </si>
  <si>
    <t>アベ　ハルク</t>
  </si>
  <si>
    <t>荒金　陵平</t>
  </si>
  <si>
    <t>アラカネ　リョウヘイ</t>
  </si>
  <si>
    <t>青柳　陽貴</t>
  </si>
  <si>
    <t>アオヤギ　ハルキ</t>
  </si>
  <si>
    <t>小川　湊斗</t>
  </si>
  <si>
    <t>オガワ　ミナト</t>
  </si>
  <si>
    <t>後藤　翔琉</t>
  </si>
  <si>
    <t>ゴトウ　カイリ</t>
  </si>
  <si>
    <t>後藤　叶翔</t>
  </si>
  <si>
    <t>ゴトウ　トア</t>
  </si>
  <si>
    <t>諌山　心空</t>
  </si>
  <si>
    <t>イサヤマ　コア</t>
  </si>
  <si>
    <t>匹田　心絆</t>
  </si>
  <si>
    <t>ヒキタ　ココナ</t>
  </si>
  <si>
    <t>河原　岳</t>
  </si>
  <si>
    <t>カワハラ　ガク</t>
  </si>
  <si>
    <t>野上　瑛太</t>
  </si>
  <si>
    <t>ノガミ　エイタ</t>
  </si>
  <si>
    <t>松木　海耀</t>
  </si>
  <si>
    <t>マツキ　カイヨウ</t>
  </si>
  <si>
    <t>岡部　友咲</t>
  </si>
  <si>
    <t>オカベ　ユウサク</t>
  </si>
  <si>
    <t>江藤　大稀</t>
  </si>
  <si>
    <t>エトウ　ダイキ</t>
  </si>
  <si>
    <t>小山　新太</t>
  </si>
  <si>
    <t>コヤマ　アラタ</t>
  </si>
  <si>
    <t>富来　奏多</t>
  </si>
  <si>
    <t>トミク　ソウタ</t>
  </si>
  <si>
    <t>前田　知希</t>
  </si>
  <si>
    <t>マエダ　トモキ</t>
  </si>
  <si>
    <t>日高　颯真</t>
  </si>
  <si>
    <t>ヒダカ　ソウマ</t>
  </si>
  <si>
    <t>牧　凛生</t>
  </si>
  <si>
    <t>マキ　リオウ</t>
  </si>
  <si>
    <t>太田　陽斗</t>
  </si>
  <si>
    <t>オオタ　ハルト</t>
  </si>
  <si>
    <t>弦本　康太</t>
  </si>
  <si>
    <t>ツルモト　コウタ</t>
  </si>
  <si>
    <t>弦本　雄太</t>
  </si>
  <si>
    <t>ツルモト　ユウタ</t>
  </si>
  <si>
    <t>敷嶋　健翔</t>
  </si>
  <si>
    <t>シキシマ　タケル</t>
  </si>
  <si>
    <t>釘宮　悠</t>
  </si>
  <si>
    <t>クギミヤ　ハル</t>
  </si>
  <si>
    <t>佐藤　蓮斗</t>
  </si>
  <si>
    <t>サトウ　レント</t>
  </si>
  <si>
    <t>衛本　翔</t>
  </si>
  <si>
    <t>エモト　ショウ</t>
  </si>
  <si>
    <t>田﨑　蒼</t>
  </si>
  <si>
    <t>タサキ　アオイ</t>
  </si>
  <si>
    <t>高橋　和希</t>
  </si>
  <si>
    <t>タカハシ　カズキ</t>
  </si>
  <si>
    <t>小畠　健</t>
  </si>
  <si>
    <t>オバタ　タケル</t>
  </si>
  <si>
    <t>三浦　悠生</t>
  </si>
  <si>
    <t>ミウラ　ハルキ</t>
  </si>
  <si>
    <t>岩本　乙花</t>
  </si>
  <si>
    <t>イワモト　オトカ</t>
  </si>
  <si>
    <t>竹内　新汰</t>
  </si>
  <si>
    <t>タケウチ　アラタ</t>
  </si>
  <si>
    <t>黒木　竣太</t>
  </si>
  <si>
    <t>クロキ　シュンタ</t>
  </si>
  <si>
    <t>高月　海真</t>
  </si>
  <si>
    <t>タカツキ　カイシン</t>
  </si>
  <si>
    <t>田口　心彩</t>
  </si>
  <si>
    <t>タグチ　ココロ</t>
  </si>
  <si>
    <t>三浦　丈瑠</t>
  </si>
  <si>
    <t>三浦　龍星</t>
  </si>
  <si>
    <t>ミウラ　リュウセイ</t>
  </si>
  <si>
    <t>岩本　悠希</t>
  </si>
  <si>
    <t>イワモト　ハルキ</t>
  </si>
  <si>
    <t>谷　廉太郎</t>
  </si>
  <si>
    <t>タニ　レンタロウ</t>
  </si>
  <si>
    <t>岩尾　康祐</t>
  </si>
  <si>
    <t>松尾　瑛人</t>
  </si>
  <si>
    <t>マツオ　エイト</t>
  </si>
  <si>
    <t>手嶋　功士郎</t>
  </si>
  <si>
    <t>テシマ　コウシロウ</t>
  </si>
  <si>
    <t>江藤　大央</t>
  </si>
  <si>
    <t>エトウ　タオ</t>
  </si>
  <si>
    <t>小野　太誠</t>
  </si>
  <si>
    <t>オノ　タイセイ</t>
  </si>
  <si>
    <t>今山　俊ノ助</t>
  </si>
  <si>
    <t>イマヤマ　シュンノスケ</t>
  </si>
  <si>
    <t>秋吉　侃太</t>
  </si>
  <si>
    <t>アキヨシ　カンタ</t>
  </si>
  <si>
    <t>大野　拓翔</t>
  </si>
  <si>
    <t>オオノ　タクト</t>
  </si>
  <si>
    <t>山本　勘太</t>
  </si>
  <si>
    <t>ヤマゾト　カンタ</t>
  </si>
  <si>
    <t>イワナガ　ヒロト</t>
  </si>
  <si>
    <t>山田　唯</t>
  </si>
  <si>
    <t>ヤマダ　ユイ</t>
  </si>
  <si>
    <t>秋田　大和</t>
  </si>
  <si>
    <t>アキタ　ヤマト</t>
  </si>
  <si>
    <t>後藤　蒼真</t>
  </si>
  <si>
    <t>野田　尚吾</t>
  </si>
  <si>
    <t>ノダ　ショウゴ</t>
  </si>
  <si>
    <t>江口　蓮樹</t>
  </si>
  <si>
    <t>エグチ　レンキ</t>
  </si>
  <si>
    <t>青山　大志</t>
  </si>
  <si>
    <t>アオヤマ　ダイシ</t>
  </si>
  <si>
    <t>明石　汐心</t>
  </si>
  <si>
    <t>アカイシシ　ユウシン</t>
  </si>
  <si>
    <t>岩永　光琉</t>
  </si>
  <si>
    <t>佐田　悠斗</t>
  </si>
  <si>
    <t>サダ　ハルト</t>
  </si>
  <si>
    <t>成田　怜</t>
  </si>
  <si>
    <t>ナリタ　レイ</t>
  </si>
  <si>
    <t>瓜生　姫七夕</t>
  </si>
  <si>
    <t>ウリウ　ヒナタ</t>
  </si>
  <si>
    <t>渡邊　光稀</t>
  </si>
  <si>
    <t>ワタナベ　ミツキ</t>
  </si>
  <si>
    <t>羽田野　陸</t>
  </si>
  <si>
    <t>ハダノ　リク</t>
  </si>
  <si>
    <t>南立石サッカースポーツ少年団</t>
  </si>
  <si>
    <t>上田　一護</t>
  </si>
  <si>
    <t>ウエダ　イチゴ</t>
  </si>
  <si>
    <t>後藤　大夢</t>
  </si>
  <si>
    <t>ゴトウ　ヒロム</t>
  </si>
  <si>
    <t>有村　一翔</t>
  </si>
  <si>
    <t>アリムラ　カズト</t>
  </si>
  <si>
    <t>澤井　衣愛</t>
  </si>
  <si>
    <t>サワイ　イチカ</t>
  </si>
  <si>
    <t>工藤　大空</t>
  </si>
  <si>
    <t>クドウ　ツバサ</t>
  </si>
  <si>
    <t>廣田　瑠依</t>
  </si>
  <si>
    <t>ヒロタ　ルイ</t>
  </si>
  <si>
    <t>澤井　司聡</t>
  </si>
  <si>
    <t>サワイ　ツカサ</t>
  </si>
  <si>
    <t>藤原　翔斗</t>
  </si>
  <si>
    <t>フジワラ　ソラト</t>
  </si>
  <si>
    <t>松浦　幸輝</t>
  </si>
  <si>
    <t>マツウラ　コウキ</t>
  </si>
  <si>
    <t>釘宮　旭希</t>
  </si>
  <si>
    <t>クギミヤ　アサキ</t>
  </si>
  <si>
    <t>大久保　孝紀</t>
  </si>
  <si>
    <t>オオクボ　コウキ</t>
  </si>
  <si>
    <t>井上　晴人</t>
  </si>
  <si>
    <t>イノウエ　ハルト</t>
  </si>
  <si>
    <t>佐藤　譲治</t>
  </si>
  <si>
    <t>サトウ　ジョウジ</t>
  </si>
  <si>
    <t>川瀬　晴斗</t>
  </si>
  <si>
    <t>カワセ　ハルト</t>
  </si>
  <si>
    <t>原田　智弘</t>
  </si>
  <si>
    <t>ハラダ　トモヒロ</t>
  </si>
  <si>
    <t>西江　真翔</t>
  </si>
  <si>
    <t>ニシエ　マナト</t>
  </si>
  <si>
    <t>池田　蒼梧</t>
  </si>
  <si>
    <t>イケダ　ソウゴ</t>
  </si>
  <si>
    <t>木村　琳一</t>
  </si>
  <si>
    <t>キムラ　リヒト</t>
  </si>
  <si>
    <t>中鶴　悠翔</t>
  </si>
  <si>
    <t>ナカツル　ユウト</t>
  </si>
  <si>
    <t>岩田　遥斗</t>
  </si>
  <si>
    <t>イワタ　ハルト</t>
  </si>
  <si>
    <t>石田　頼樹</t>
  </si>
  <si>
    <t>イシダ　ライキ</t>
  </si>
  <si>
    <t>椎葉　琉稀</t>
  </si>
  <si>
    <t>シイバ　ルキ</t>
  </si>
  <si>
    <t>阿孫　悠琉</t>
  </si>
  <si>
    <t>アソン　ハル</t>
  </si>
  <si>
    <t>政村　春瑠</t>
  </si>
  <si>
    <t>マサムラ　ハル</t>
  </si>
  <si>
    <t>安部　伍輝</t>
  </si>
  <si>
    <t>アベ　イツキ</t>
  </si>
  <si>
    <t>河合　康太朗</t>
  </si>
  <si>
    <t>カワイ　コウタロウ</t>
  </si>
  <si>
    <t>木全　晃大</t>
  </si>
  <si>
    <t>キマタ　コウダイ</t>
  </si>
  <si>
    <t>児玉　遥翔</t>
  </si>
  <si>
    <t>コダマ　ハルカ</t>
  </si>
  <si>
    <t>桑田　優辰</t>
  </si>
  <si>
    <t>クワタ　ユウシン</t>
  </si>
  <si>
    <t>田中　進太郎</t>
  </si>
  <si>
    <t>タナカ　シンタロウ</t>
  </si>
  <si>
    <t>佐藤　大和</t>
  </si>
  <si>
    <t>サトウ　ヤマト</t>
  </si>
  <si>
    <t>長野　玲汰</t>
  </si>
  <si>
    <t>ナガノ　レイタ</t>
  </si>
  <si>
    <t>阿部　颯馬</t>
  </si>
  <si>
    <t>アベ　ソウマ</t>
  </si>
  <si>
    <t>箸尾　行真</t>
  </si>
  <si>
    <t>ハシオ　イクマ</t>
  </si>
  <si>
    <t>仲島　光嵐</t>
  </si>
  <si>
    <t>ナカシマ　ミラン</t>
  </si>
  <si>
    <t>安部　蔵乃介</t>
  </si>
  <si>
    <t>アベ　クラノスケ</t>
  </si>
  <si>
    <t>薬師寺　洵翔</t>
  </si>
  <si>
    <t>ヤクシジ　シュント</t>
  </si>
  <si>
    <t>大戸　隆成</t>
  </si>
  <si>
    <t>ネギ　リュウセイ</t>
  </si>
  <si>
    <t>芥川　勇翔</t>
  </si>
  <si>
    <t>アクタガワ　ユウト</t>
  </si>
  <si>
    <t>椎原　颯哉</t>
  </si>
  <si>
    <t>シイハラ　ソウヤ</t>
  </si>
  <si>
    <t>大津　航大</t>
  </si>
  <si>
    <t>オオツ　コウダイ</t>
  </si>
  <si>
    <t>林　悠羽</t>
  </si>
  <si>
    <t>ハヤシ　ユウワ</t>
  </si>
  <si>
    <t>山本　教介</t>
  </si>
  <si>
    <t>ヤマモト　キョウスケ</t>
  </si>
  <si>
    <t>参　優太朗</t>
  </si>
  <si>
    <t>サン　ユウタロウ</t>
  </si>
  <si>
    <t>勝見　悠樹</t>
  </si>
  <si>
    <t>カツミ　ユウキ</t>
  </si>
  <si>
    <t>木村　夢歩</t>
  </si>
  <si>
    <t>キムラ　ユア</t>
  </si>
  <si>
    <t>吉良　蒼祐</t>
  </si>
  <si>
    <t>キラ　ソウスケ</t>
  </si>
  <si>
    <t>山﨑　耕大</t>
  </si>
  <si>
    <t>ヤマサキ　コウダイ</t>
  </si>
  <si>
    <t>西山　龍之介</t>
  </si>
  <si>
    <t>ニシヤマ　リュウノスケ</t>
  </si>
  <si>
    <t>河野　蒼空</t>
  </si>
  <si>
    <t>河野　朔</t>
  </si>
  <si>
    <t>カワノ　サク</t>
  </si>
  <si>
    <t>南　祐輔</t>
  </si>
  <si>
    <t>ミナミ　ユウスケ</t>
  </si>
  <si>
    <t>佐藤　拓馬</t>
  </si>
  <si>
    <t>サトウ　タクマ</t>
  </si>
  <si>
    <t>カティオーラフットボールクラブＵ－１２　Ｎｅｘｔ</t>
  </si>
  <si>
    <t>安部　優衣</t>
  </si>
  <si>
    <t>アベ　ユイ</t>
  </si>
  <si>
    <t>宮本　歩真</t>
  </si>
  <si>
    <t>ミヤモト　アルマ</t>
  </si>
  <si>
    <t>軸丸　ゆな</t>
  </si>
  <si>
    <t>ジクマル　ユナ</t>
  </si>
  <si>
    <t>帆足　太陽</t>
  </si>
  <si>
    <t>ホアシ　タイヨウ</t>
  </si>
  <si>
    <t>石﨑　美羽</t>
  </si>
  <si>
    <t>イシザキ　ミハネ</t>
  </si>
  <si>
    <t>小野　剛瑠</t>
  </si>
  <si>
    <t>オノ　タケル</t>
  </si>
  <si>
    <t>カティオーラフットボールクラブＵ－１２　Ｆｕｔｕｒｅ</t>
  </si>
  <si>
    <t>石﨑　愛音</t>
  </si>
  <si>
    <t>イシザキ　アイネ</t>
  </si>
  <si>
    <t>ゴトウ　リュウキ</t>
  </si>
  <si>
    <t>菅　健琉</t>
  </si>
  <si>
    <t>スガ　タケル</t>
  </si>
  <si>
    <t>小川　瑛翔</t>
  </si>
  <si>
    <t>オガワ　エイト</t>
  </si>
  <si>
    <t>亀井　楓</t>
  </si>
  <si>
    <t>カメイ　カエデ</t>
  </si>
  <si>
    <t>丸山　裕月</t>
  </si>
  <si>
    <t>マルヤマ　ユヅキ</t>
  </si>
  <si>
    <t>首藤　彰斗</t>
  </si>
  <si>
    <t>シュトウ　アキト</t>
  </si>
  <si>
    <t>後藤　恵大</t>
  </si>
  <si>
    <t>ゴトウ　ケイタ</t>
  </si>
  <si>
    <t>上野　透瑚</t>
  </si>
  <si>
    <t>ウエノ　トウゴ</t>
  </si>
  <si>
    <t>鶴岡　晃汰</t>
  </si>
  <si>
    <t>ツルオカ　コウタ</t>
  </si>
  <si>
    <t>村中　俊太</t>
  </si>
  <si>
    <t>ムラナカ　シュンタ</t>
  </si>
  <si>
    <t>安部　悠真</t>
  </si>
  <si>
    <t>アベ　ユウマ</t>
  </si>
  <si>
    <t>池永　煌一朗</t>
  </si>
  <si>
    <t>イケナガ　コウイチロウ</t>
  </si>
  <si>
    <t>タカハシ　コウタ</t>
  </si>
  <si>
    <t>北山　春斗</t>
  </si>
  <si>
    <t>キタヤマ　ハルト</t>
  </si>
  <si>
    <t>井上　陽太</t>
  </si>
  <si>
    <t>イノウエ　ハルタ</t>
  </si>
  <si>
    <t>宮田　柊真</t>
  </si>
  <si>
    <t>ミヤタ　トウマ</t>
  </si>
  <si>
    <t>亀井　嘉人</t>
  </si>
  <si>
    <t>カメイ　ヨシト</t>
  </si>
  <si>
    <t>下瀬　魁莉</t>
  </si>
  <si>
    <t>シモセ　カイリ</t>
  </si>
  <si>
    <t>横山　成毅</t>
  </si>
  <si>
    <t>ヨコヤマ　ナルキ</t>
  </si>
  <si>
    <t>間　隆成</t>
  </si>
  <si>
    <t>ハサマ　リュウセイ</t>
  </si>
  <si>
    <t>後藤　響己</t>
  </si>
  <si>
    <t>郡田　匠</t>
  </si>
  <si>
    <t>コオリダ　タクミ</t>
  </si>
  <si>
    <t>小倉　瑠隼</t>
  </si>
  <si>
    <t>オグラ　ルイト</t>
  </si>
  <si>
    <t>小野　陽斗</t>
  </si>
  <si>
    <t>オノ　ハルト</t>
  </si>
  <si>
    <t>小野　琢磨</t>
  </si>
  <si>
    <t>オノ　タクマ</t>
  </si>
  <si>
    <t>深田　吏都</t>
  </si>
  <si>
    <t>向　一志</t>
  </si>
  <si>
    <t>ムコウ　ヒトシ</t>
  </si>
  <si>
    <t>田口　椋雅</t>
  </si>
  <si>
    <t>タグチ　リョウガ</t>
  </si>
  <si>
    <t>甲斐　凛太郎</t>
  </si>
  <si>
    <t>カイ　リンタロウ</t>
  </si>
  <si>
    <t>足達　蒼介</t>
  </si>
  <si>
    <t>アダチ　ソウスケ</t>
  </si>
  <si>
    <t>平山　洸太</t>
  </si>
  <si>
    <t>松田　慶人</t>
  </si>
  <si>
    <t>マツダ　ケイト</t>
  </si>
  <si>
    <t>河野　斗真</t>
  </si>
  <si>
    <t>コウノ　トウマ</t>
  </si>
  <si>
    <t>前田　陽向</t>
  </si>
  <si>
    <t>マエダ　ヒナタ</t>
  </si>
  <si>
    <t>福良　のぞみ</t>
  </si>
  <si>
    <t>フクラ　ノゾミ</t>
  </si>
  <si>
    <t>流　大智</t>
  </si>
  <si>
    <t>ミズユキ　ダイチ</t>
  </si>
  <si>
    <t>岡部　悠李</t>
  </si>
  <si>
    <t>オカベ　ユウリ</t>
  </si>
  <si>
    <t>平　光ノ介</t>
  </si>
  <si>
    <t>ヒラ　コウノスケ</t>
  </si>
  <si>
    <t>川野　秀弥</t>
  </si>
  <si>
    <t>カワノ　シュウヤ</t>
  </si>
  <si>
    <t>平山　旭</t>
  </si>
  <si>
    <t>ヒラヤマ　アサヒ</t>
  </si>
  <si>
    <t>松垣　龍空</t>
  </si>
  <si>
    <t>マツガキ　リク</t>
  </si>
  <si>
    <t>工藤　快翔</t>
  </si>
  <si>
    <t>江戸　翔哉</t>
  </si>
  <si>
    <t>エド　ショウヤ</t>
  </si>
  <si>
    <t>井上　楓斗</t>
  </si>
  <si>
    <t>イノウエ　カイト</t>
  </si>
  <si>
    <t>竹尾　麟太朗</t>
  </si>
  <si>
    <t>タケオ　リンタロウ</t>
  </si>
  <si>
    <t>長田　莉旺</t>
  </si>
  <si>
    <t>ナガタ　リオ</t>
  </si>
  <si>
    <t>足立　朔太郎</t>
  </si>
  <si>
    <t>アダチ　サクタロウ</t>
  </si>
  <si>
    <t>神崎　蓮人</t>
  </si>
  <si>
    <t>カンザキ　レント</t>
  </si>
  <si>
    <t>堺　彩実</t>
  </si>
  <si>
    <t>サカイ　アヤミ</t>
  </si>
  <si>
    <t>乗富　璃星</t>
  </si>
  <si>
    <t>ノリドミ　リセイ</t>
  </si>
  <si>
    <t>伊東　俊紀</t>
  </si>
  <si>
    <t>イトウ　トシキ</t>
  </si>
  <si>
    <t>小林　央宜</t>
  </si>
  <si>
    <t>コバヤシ　オウキ</t>
  </si>
  <si>
    <t>岩﨑　惺大</t>
  </si>
  <si>
    <t>イワサキ　セイダイ</t>
  </si>
  <si>
    <t>田島　勇波</t>
  </si>
  <si>
    <t>タシマ　イサナ</t>
  </si>
  <si>
    <t>諏訪　要</t>
  </si>
  <si>
    <t>スワ　カナメ</t>
  </si>
  <si>
    <t>佐藤　空也</t>
  </si>
  <si>
    <t>サトウ　ソラ</t>
  </si>
  <si>
    <t>後藤　和貴</t>
  </si>
  <si>
    <t>ゴトウ　カズキ</t>
  </si>
  <si>
    <t>後藤　蒼翔</t>
  </si>
  <si>
    <t>木下　凌佑</t>
  </si>
  <si>
    <t>キノシタ　リョウスケ</t>
  </si>
  <si>
    <t>河野　祐生</t>
  </si>
  <si>
    <t>カワノ　ユウ</t>
  </si>
  <si>
    <t>小平　翔空</t>
  </si>
  <si>
    <t>コダイラ　トア</t>
  </si>
  <si>
    <t>碇山　大貴</t>
  </si>
  <si>
    <t>イカリヤマ　ダイキ</t>
  </si>
  <si>
    <t>甲斐　陸人</t>
  </si>
  <si>
    <t>カイ　リクト</t>
  </si>
  <si>
    <t>佐々木　颯汰</t>
  </si>
  <si>
    <t>ササキ　フウタ</t>
  </si>
  <si>
    <t>池田　春翔</t>
  </si>
  <si>
    <t>イケダ　ハルト</t>
  </si>
  <si>
    <t>佐藤　瞬将</t>
  </si>
  <si>
    <t>サトウ　シュンスケ</t>
  </si>
  <si>
    <t>岡山　湊</t>
  </si>
  <si>
    <t>オカヤマ　ミナト</t>
  </si>
  <si>
    <t>矢野　海美</t>
  </si>
  <si>
    <t>ヤノ　ウミ</t>
  </si>
  <si>
    <t>矢野　美虹</t>
  </si>
  <si>
    <t>ヤノ　ミコ</t>
  </si>
  <si>
    <t>稲葉　悠貴</t>
  </si>
  <si>
    <t>イナバ　ユウキ</t>
  </si>
  <si>
    <t>上原　有然</t>
  </si>
  <si>
    <t>ウエハラ　ユウゼン</t>
  </si>
  <si>
    <t>髙村　陽太</t>
  </si>
  <si>
    <t>タカムラ　ヨウタ</t>
  </si>
  <si>
    <t>江田　瑛翔</t>
  </si>
  <si>
    <t>コウダ　エイト</t>
  </si>
  <si>
    <t>矢幡　陸</t>
  </si>
  <si>
    <t>ヤハタ　リク</t>
  </si>
  <si>
    <t>坂本　帆那</t>
  </si>
  <si>
    <t>サカモト　ハンナ</t>
  </si>
  <si>
    <t>中尾　栄都</t>
  </si>
  <si>
    <t>ナカオ　ハルト</t>
  </si>
  <si>
    <t>山本　涼介</t>
  </si>
  <si>
    <t>ヤマモト　リョウスケ</t>
  </si>
  <si>
    <t>大曲　一颯</t>
  </si>
  <si>
    <t>オオマガリ　イッサ</t>
  </si>
  <si>
    <t>千原　仁斗</t>
  </si>
  <si>
    <t>チハラ　ジント</t>
  </si>
  <si>
    <t>立花　煉</t>
  </si>
  <si>
    <t>タチバナ　レン</t>
  </si>
  <si>
    <t>足立　皇清</t>
  </si>
  <si>
    <t>アダチ　コウセイ</t>
  </si>
  <si>
    <t>小石　花奈</t>
  </si>
  <si>
    <t>コイシ　ハナ</t>
  </si>
  <si>
    <t>吉田　圭吾</t>
  </si>
  <si>
    <t>ヨシダ　ケイゴ</t>
  </si>
  <si>
    <t>後藤　竜成</t>
  </si>
  <si>
    <t>ゴトウ　リュウセイ</t>
  </si>
  <si>
    <t>河野　智咲</t>
  </si>
  <si>
    <t>カワノ　チサキ</t>
  </si>
  <si>
    <t>高山　尚大</t>
  </si>
  <si>
    <t>タカヤマ　ナオヒロ</t>
  </si>
  <si>
    <t>河野　蒼祐</t>
  </si>
  <si>
    <t>河野　真幸</t>
  </si>
  <si>
    <t>コウノ　サネユキ</t>
  </si>
  <si>
    <t>高倉　怜臣</t>
  </si>
  <si>
    <t>タカクラ　レオ</t>
  </si>
  <si>
    <t>西山　支庵</t>
  </si>
  <si>
    <t>ニシヤマ　ジアン</t>
  </si>
  <si>
    <t>田尻　真路</t>
  </si>
  <si>
    <t>タジリ　マサミチ</t>
  </si>
  <si>
    <t>川野　有翔</t>
  </si>
  <si>
    <t>カワノ　ユウショウ</t>
  </si>
  <si>
    <t>橋本　竜人</t>
  </si>
  <si>
    <t>ハシモト　リュウト</t>
  </si>
  <si>
    <t>大茂　蓮人</t>
  </si>
  <si>
    <t>オオシゲ　レント</t>
  </si>
  <si>
    <t>平川　怜</t>
  </si>
  <si>
    <t>ヒラカワ　レイ</t>
  </si>
  <si>
    <t>河野　優斗</t>
  </si>
  <si>
    <t>コウノ　ユウト</t>
  </si>
  <si>
    <t>吉水　小夏</t>
  </si>
  <si>
    <t>ヨシミズ　コナツ</t>
  </si>
  <si>
    <t>清水　遼</t>
  </si>
  <si>
    <t>シミズ　リョウ</t>
  </si>
  <si>
    <t>加藤　慶悟</t>
  </si>
  <si>
    <t>カトウ　ケイゴ</t>
  </si>
  <si>
    <t>壇　智大</t>
  </si>
  <si>
    <t>ダン　チヒロ</t>
  </si>
  <si>
    <t>鈴木田　憲志</t>
  </si>
  <si>
    <t>スズキダ　ケンシ</t>
  </si>
  <si>
    <t>成重　光琉</t>
  </si>
  <si>
    <t>ナリシゲ　ヒカル</t>
  </si>
  <si>
    <t>宮本　喜平</t>
  </si>
  <si>
    <t>ミヤモト　キッペイ</t>
  </si>
  <si>
    <t>朝光　愛絆</t>
  </si>
  <si>
    <t>アサミツ　アズナ</t>
  </si>
  <si>
    <t>安部　拳志郎</t>
  </si>
  <si>
    <t>アベ　ケンシロウ</t>
  </si>
  <si>
    <t>山本　優吾</t>
  </si>
  <si>
    <t>ヤマモト　ユウゴ</t>
  </si>
  <si>
    <t>山崎　ノア</t>
  </si>
  <si>
    <t>ヤマザキ　ノア</t>
  </si>
  <si>
    <t>河津　夏樹</t>
  </si>
  <si>
    <t>カワヅ　ナツキ</t>
  </si>
  <si>
    <t>石田　怜士</t>
  </si>
  <si>
    <t>イシダ　レイジ</t>
  </si>
  <si>
    <t>稲積　健太</t>
  </si>
  <si>
    <t>イナヅミ　ケンタ</t>
  </si>
  <si>
    <t>庄部　銀造</t>
  </si>
  <si>
    <t>ショウブ　ギンゾウ</t>
  </si>
  <si>
    <t>小野　倫平</t>
  </si>
  <si>
    <t>オノ　リンペイ</t>
  </si>
  <si>
    <t>原田　一瑳</t>
  </si>
  <si>
    <t>ハラダ　イッサ</t>
  </si>
  <si>
    <t>中村　神童</t>
  </si>
  <si>
    <t>ナカムラ　シュウト</t>
  </si>
  <si>
    <t>西岡　蒼真</t>
  </si>
  <si>
    <t>ニシオカ　ソウマ</t>
  </si>
  <si>
    <t>苑田　龍弥</t>
  </si>
  <si>
    <t>ソノダ　リュウヤ</t>
  </si>
  <si>
    <t>黒木　陸叶</t>
  </si>
  <si>
    <t>クロキ　リクト</t>
  </si>
  <si>
    <t>二宮　勇志</t>
  </si>
  <si>
    <t>R010598060</t>
  </si>
  <si>
    <t>安藤　真輝</t>
  </si>
  <si>
    <t>R010599585</t>
  </si>
  <si>
    <t>池崎　聖矢</t>
  </si>
  <si>
    <t>石橋　眞和</t>
  </si>
  <si>
    <t>R010067178</t>
  </si>
  <si>
    <t>伊藤　慧斗</t>
  </si>
  <si>
    <t>R010579071</t>
  </si>
  <si>
    <t>芋岡　克征</t>
  </si>
  <si>
    <t>R010613632</t>
  </si>
  <si>
    <t>上原　成貴</t>
  </si>
  <si>
    <t>R010576529</t>
  </si>
  <si>
    <t>大山　純一郎</t>
  </si>
  <si>
    <t>R006647584</t>
  </si>
  <si>
    <t>岡松　伸弥</t>
  </si>
  <si>
    <t>R010613629</t>
  </si>
  <si>
    <t>木城　健太</t>
  </si>
  <si>
    <t>R010576530</t>
  </si>
  <si>
    <t>琴尾　敬太</t>
  </si>
  <si>
    <t>R010613637</t>
  </si>
  <si>
    <t>齋藤　優</t>
  </si>
  <si>
    <t>R010576358</t>
  </si>
  <si>
    <t>坂本　和哉</t>
  </si>
  <si>
    <t>R010613616</t>
  </si>
  <si>
    <t>下田　拓哉</t>
  </si>
  <si>
    <t>R010613609</t>
  </si>
  <si>
    <t>髙橋　航介</t>
  </si>
  <si>
    <t>R010581160</t>
  </si>
  <si>
    <t>富山　保</t>
  </si>
  <si>
    <t>R010613591</t>
  </si>
  <si>
    <t>西村　崇</t>
  </si>
  <si>
    <t>R010599588</t>
  </si>
  <si>
    <t>花崎　宏</t>
  </si>
  <si>
    <t>R010613592</t>
  </si>
  <si>
    <t>速水　佑輔</t>
  </si>
  <si>
    <t>R010581181</t>
  </si>
  <si>
    <t>日野　由香里</t>
  </si>
  <si>
    <t>R007798672</t>
  </si>
  <si>
    <t>森本　将司</t>
  </si>
  <si>
    <t>R010613607</t>
  </si>
  <si>
    <t>八坂　龍之介</t>
  </si>
  <si>
    <t>R010599590</t>
  </si>
  <si>
    <t>横山　大悟</t>
  </si>
  <si>
    <t>R010583777</t>
  </si>
  <si>
    <t>藍澤　祐人</t>
  </si>
  <si>
    <t>R010576521</t>
  </si>
  <si>
    <t>青木　翔大</t>
  </si>
  <si>
    <t>R010638080</t>
  </si>
  <si>
    <t>赤坂　佳菜</t>
  </si>
  <si>
    <t>R010599603</t>
  </si>
  <si>
    <t>赤嶺　智輝</t>
  </si>
  <si>
    <t>R010475632</t>
  </si>
  <si>
    <t>秋本　廉斗</t>
  </si>
  <si>
    <t>R010579103</t>
  </si>
  <si>
    <t>秋吉　真怜</t>
  </si>
  <si>
    <t>R010583774</t>
  </si>
  <si>
    <t>麻川　琉真</t>
  </si>
  <si>
    <t>R010593967</t>
  </si>
  <si>
    <t>麻生　庵</t>
  </si>
  <si>
    <t>R010653156</t>
  </si>
  <si>
    <t>麻生　なるみ</t>
  </si>
  <si>
    <t>R010653587</t>
  </si>
  <si>
    <t>R010604781</t>
  </si>
  <si>
    <t>麻生　侑希</t>
  </si>
  <si>
    <t>R010588865</t>
  </si>
  <si>
    <t>足立　暖和</t>
  </si>
  <si>
    <t>R010635513</t>
  </si>
  <si>
    <t>足立　緋由</t>
  </si>
  <si>
    <t>R010579110</t>
  </si>
  <si>
    <t>阿地　優斗</t>
  </si>
  <si>
    <t>R010601884</t>
  </si>
  <si>
    <t>阿南　統胡</t>
  </si>
  <si>
    <t>R010613603</t>
  </si>
  <si>
    <t>阿部　啓</t>
  </si>
  <si>
    <t>R010613612</t>
  </si>
  <si>
    <t>阿部　健介</t>
  </si>
  <si>
    <t>R010581169</t>
  </si>
  <si>
    <t>安部　幸一</t>
  </si>
  <si>
    <t>R010638089</t>
  </si>
  <si>
    <t>安部　修平</t>
  </si>
  <si>
    <t>R010576373</t>
  </si>
  <si>
    <t>安部　奏輝</t>
  </si>
  <si>
    <t>R010604089</t>
  </si>
  <si>
    <t>安部　遥陽</t>
  </si>
  <si>
    <t>R010599188</t>
  </si>
  <si>
    <t>安部　広樹</t>
  </si>
  <si>
    <t>R010613594</t>
  </si>
  <si>
    <t>安部　裕樹</t>
  </si>
  <si>
    <t>R010604783</t>
  </si>
  <si>
    <t>阿部　祐斗</t>
  </si>
  <si>
    <t>R010638076</t>
  </si>
  <si>
    <t>阿部　優磨</t>
  </si>
  <si>
    <t>R010579109</t>
  </si>
  <si>
    <t>阿部　竜樹</t>
  </si>
  <si>
    <t>R010653578</t>
  </si>
  <si>
    <t>R010604091</t>
  </si>
  <si>
    <t>天辰　歩睦</t>
  </si>
  <si>
    <t>R010588881</t>
  </si>
  <si>
    <t>天野　俊</t>
  </si>
  <si>
    <t>R010638047</t>
  </si>
  <si>
    <t>荒金　拓臣</t>
  </si>
  <si>
    <t>R010638053</t>
  </si>
  <si>
    <t>荒牧　聡</t>
  </si>
  <si>
    <t>R010604096</t>
  </si>
  <si>
    <t>有永　咲</t>
  </si>
  <si>
    <t>R010579124</t>
  </si>
  <si>
    <t>安東　聖輝</t>
  </si>
  <si>
    <t>R010638058</t>
  </si>
  <si>
    <t>安藤　和明</t>
  </si>
  <si>
    <t>R010642049</t>
  </si>
  <si>
    <t>安東　佑剛</t>
  </si>
  <si>
    <t>R010601886</t>
  </si>
  <si>
    <t>安藤　律來</t>
  </si>
  <si>
    <t>R010586301</t>
  </si>
  <si>
    <t>安部　颯</t>
  </si>
  <si>
    <t>R010604773</t>
  </si>
  <si>
    <t>井伊　利大</t>
  </si>
  <si>
    <t>R010642067</t>
  </si>
  <si>
    <t>池田　優斗</t>
  </si>
  <si>
    <t>R010586288</t>
  </si>
  <si>
    <t>池田　来輝</t>
  </si>
  <si>
    <t>R010638094</t>
  </si>
  <si>
    <t>R010653566</t>
  </si>
  <si>
    <t>池邉　結斗</t>
  </si>
  <si>
    <t>R010653565</t>
  </si>
  <si>
    <t>諌山　蒼空</t>
  </si>
  <si>
    <t>R010579087</t>
  </si>
  <si>
    <t>諌山　琉生</t>
  </si>
  <si>
    <t>R010576564</t>
  </si>
  <si>
    <t>石橋　弓斗</t>
  </si>
  <si>
    <t>R010638091</t>
  </si>
  <si>
    <t>石丸　恵登</t>
  </si>
  <si>
    <t>R010613621</t>
  </si>
  <si>
    <t>泉　丈一郎</t>
  </si>
  <si>
    <t>R010576362</t>
  </si>
  <si>
    <t>板井　航一</t>
  </si>
  <si>
    <t>R010583775</t>
  </si>
  <si>
    <t>市川　友翔</t>
  </si>
  <si>
    <t>R010656692</t>
  </si>
  <si>
    <t>一原　幸来</t>
  </si>
  <si>
    <t>R010638051</t>
  </si>
  <si>
    <t>一色　隆紀</t>
  </si>
  <si>
    <t>R010604082</t>
  </si>
  <si>
    <t>出利葉　俊太朗</t>
  </si>
  <si>
    <t>R010588856</t>
  </si>
  <si>
    <t>伊東　海星</t>
  </si>
  <si>
    <t>R010642047</t>
  </si>
  <si>
    <t>伊東　海斗</t>
  </si>
  <si>
    <t>R010656683</t>
  </si>
  <si>
    <t>R010600675</t>
  </si>
  <si>
    <t>伊東　直人</t>
  </si>
  <si>
    <t>R010656672</t>
  </si>
  <si>
    <t>R010642022</t>
  </si>
  <si>
    <t>伊藤　雅範</t>
  </si>
  <si>
    <t>R010642062</t>
  </si>
  <si>
    <t>R010579081</t>
  </si>
  <si>
    <t>伊藤　瑠</t>
  </si>
  <si>
    <t>R010586717</t>
  </si>
  <si>
    <t>井上　陽翔</t>
  </si>
  <si>
    <t>R010604766</t>
  </si>
  <si>
    <t>猪原　蒼空</t>
  </si>
  <si>
    <t>R010581163</t>
  </si>
  <si>
    <t>猪原　康弘</t>
  </si>
  <si>
    <t>R010579070</t>
  </si>
  <si>
    <t>芋岡　翼</t>
  </si>
  <si>
    <t>R010638063</t>
  </si>
  <si>
    <t>R010638066</t>
  </si>
  <si>
    <t>岩城　圭悟</t>
  </si>
  <si>
    <t>R010604080</t>
  </si>
  <si>
    <t>岩崎　煌弥</t>
  </si>
  <si>
    <t>R010599609</t>
  </si>
  <si>
    <t>岩﨑　嘉人</t>
  </si>
  <si>
    <t>R010586310</t>
  </si>
  <si>
    <t>岩﨑　蓮武</t>
  </si>
  <si>
    <t>R010601889</t>
  </si>
  <si>
    <t>岩下　琉希</t>
  </si>
  <si>
    <t>R010642050</t>
  </si>
  <si>
    <t>岩中　海璃</t>
  </si>
  <si>
    <t>R010576577</t>
  </si>
  <si>
    <t>岩村　昂政</t>
  </si>
  <si>
    <t>R010653568</t>
  </si>
  <si>
    <t>R010583770</t>
  </si>
  <si>
    <t>岩本　凌真</t>
  </si>
  <si>
    <t>R010638084</t>
  </si>
  <si>
    <t>R010601890</t>
  </si>
  <si>
    <t>上野　暉仁</t>
  </si>
  <si>
    <t>R010576555</t>
  </si>
  <si>
    <t>上野　玄貴</t>
  </si>
  <si>
    <t>R010613644</t>
  </si>
  <si>
    <t>上森　海司</t>
  </si>
  <si>
    <t>R010599587</t>
  </si>
  <si>
    <t>内田　聖人</t>
  </si>
  <si>
    <t>R010599189</t>
  </si>
  <si>
    <t>内田　孝介</t>
  </si>
  <si>
    <t>R010656693</t>
  </si>
  <si>
    <t>宇都宮　稟平</t>
  </si>
  <si>
    <t>R010586729</t>
  </si>
  <si>
    <t>梅田　尚弥</t>
  </si>
  <si>
    <t>R010586726</t>
  </si>
  <si>
    <t>梅田　侑虎</t>
  </si>
  <si>
    <t>R010600681</t>
  </si>
  <si>
    <t>漆間　泰我</t>
  </si>
  <si>
    <t>R010576560</t>
  </si>
  <si>
    <t>江川　脩斗</t>
  </si>
  <si>
    <t>R010638048</t>
  </si>
  <si>
    <t>衛藤　さすけ</t>
  </si>
  <si>
    <t>R010613634</t>
  </si>
  <si>
    <t>衞藤　勇</t>
  </si>
  <si>
    <t>R010588854</t>
  </si>
  <si>
    <t>江藤　司</t>
  </si>
  <si>
    <t>R010601873</t>
  </si>
  <si>
    <t>衞藤　遥也</t>
  </si>
  <si>
    <t>R010600680</t>
  </si>
  <si>
    <t>江藤　優希</t>
  </si>
  <si>
    <t>R010599591</t>
  </si>
  <si>
    <t>遠藤　了彩</t>
  </si>
  <si>
    <t>R010586290</t>
  </si>
  <si>
    <t>大内　隆之介</t>
  </si>
  <si>
    <t>R010604761</t>
  </si>
  <si>
    <t>大河　聡</t>
  </si>
  <si>
    <t>R010653563</t>
  </si>
  <si>
    <t>大城　悠史</t>
  </si>
  <si>
    <t>R010576570</t>
  </si>
  <si>
    <t>大久保　彩斗</t>
  </si>
  <si>
    <t>R010576382</t>
  </si>
  <si>
    <t>大久保　宙</t>
  </si>
  <si>
    <t>R010583773</t>
  </si>
  <si>
    <t>大谷　悟史</t>
  </si>
  <si>
    <t>R010599580</t>
  </si>
  <si>
    <t>R010604090</t>
  </si>
  <si>
    <t>大野　弥生</t>
  </si>
  <si>
    <t>R010586295</t>
  </si>
  <si>
    <t>大橋　凪</t>
  </si>
  <si>
    <t>R010583799</t>
  </si>
  <si>
    <t>大橋　颯</t>
  </si>
  <si>
    <t>R010586303</t>
  </si>
  <si>
    <t>大平　瑛翔</t>
  </si>
  <si>
    <t>R010638067</t>
  </si>
  <si>
    <t>岡　航太郎</t>
  </si>
  <si>
    <t>R010642025</t>
  </si>
  <si>
    <t>岡　正樹</t>
  </si>
  <si>
    <t>R010638049</t>
  </si>
  <si>
    <t>岡崎　翔弥</t>
  </si>
  <si>
    <t>R010642035</t>
  </si>
  <si>
    <t>岡部　正典</t>
  </si>
  <si>
    <t>R010604772</t>
  </si>
  <si>
    <t>岡松　愁人</t>
  </si>
  <si>
    <t>R010653607</t>
  </si>
  <si>
    <t>小川　蒼心</t>
  </si>
  <si>
    <t>R010579067</t>
  </si>
  <si>
    <t>小川　祐二</t>
  </si>
  <si>
    <t>R010653153</t>
  </si>
  <si>
    <t>荻山　明依</t>
  </si>
  <si>
    <t>R010579126</t>
  </si>
  <si>
    <t>奥田　智己</t>
  </si>
  <si>
    <t>R010613628</t>
  </si>
  <si>
    <t>小倉　優弥</t>
  </si>
  <si>
    <t>R010653606</t>
  </si>
  <si>
    <t>尾造　刻土</t>
  </si>
  <si>
    <t>R010653589</t>
  </si>
  <si>
    <t>R010656677</t>
  </si>
  <si>
    <t>R010586294</t>
  </si>
  <si>
    <t>小野　陽士</t>
  </si>
  <si>
    <t>R010579120</t>
  </si>
  <si>
    <t>小野　大斗</t>
  </si>
  <si>
    <t>R010579065</t>
  </si>
  <si>
    <t>小野　拓海</t>
  </si>
  <si>
    <t>R010656680</t>
  </si>
  <si>
    <t>R010656671</t>
  </si>
  <si>
    <t>小野　友真</t>
  </si>
  <si>
    <t>R010642034</t>
  </si>
  <si>
    <t>小原　陸</t>
  </si>
  <si>
    <t>R010586720</t>
  </si>
  <si>
    <t>小畑　歩来</t>
  </si>
  <si>
    <t>R010638044</t>
  </si>
  <si>
    <t>R010600673</t>
  </si>
  <si>
    <t>甲斐　順平</t>
  </si>
  <si>
    <t>R010579094</t>
  </si>
  <si>
    <t>甲斐　勇聖</t>
  </si>
  <si>
    <t>R010642028</t>
  </si>
  <si>
    <t>影山　慎一郎</t>
  </si>
  <si>
    <t>R010579075</t>
  </si>
  <si>
    <t>梶原　凌</t>
  </si>
  <si>
    <t>R010653567</t>
  </si>
  <si>
    <t>R010642082</t>
  </si>
  <si>
    <t>R010599172</t>
  </si>
  <si>
    <t>加藤　正雄</t>
  </si>
  <si>
    <t>R010576363</t>
  </si>
  <si>
    <t>加藤　悠汰</t>
  </si>
  <si>
    <t>R010583786</t>
  </si>
  <si>
    <t>加藤　航</t>
  </si>
  <si>
    <t>R010653592</t>
  </si>
  <si>
    <t>R010642057</t>
  </si>
  <si>
    <t>金山　将希</t>
  </si>
  <si>
    <t>R010604782</t>
  </si>
  <si>
    <t>金田　煌矢</t>
  </si>
  <si>
    <t>R010581176</t>
  </si>
  <si>
    <t>兼田　秀虎</t>
  </si>
  <si>
    <t>R010638077</t>
  </si>
  <si>
    <t>金當　悠也</t>
  </si>
  <si>
    <t>R010653603</t>
  </si>
  <si>
    <t>R010653159</t>
  </si>
  <si>
    <t>神山　葵</t>
  </si>
  <si>
    <t>R010656684</t>
  </si>
  <si>
    <t>R010656688</t>
  </si>
  <si>
    <t>R010586298</t>
  </si>
  <si>
    <t>河合　来城</t>
  </si>
  <si>
    <t>R010638050</t>
  </si>
  <si>
    <t>川越　竜馬</t>
  </si>
  <si>
    <t>R010653569</t>
  </si>
  <si>
    <t>R010604071</t>
  </si>
  <si>
    <t>川﨑　璃央</t>
  </si>
  <si>
    <t>R010583785</t>
  </si>
  <si>
    <t>川嶋　映多</t>
  </si>
  <si>
    <t>R010638041</t>
  </si>
  <si>
    <t>川副　優斗</t>
  </si>
  <si>
    <t>R010638078</t>
  </si>
  <si>
    <t>川田　裕之</t>
  </si>
  <si>
    <t>R010586721</t>
  </si>
  <si>
    <t>河津　瑛斗</t>
  </si>
  <si>
    <t>R010579079</t>
  </si>
  <si>
    <t>河津　悠星</t>
  </si>
  <si>
    <t>R010583789</t>
  </si>
  <si>
    <t>川野　公聖</t>
  </si>
  <si>
    <t>R010613602</t>
  </si>
  <si>
    <t>河野　将太郎</t>
  </si>
  <si>
    <t>R010586201</t>
  </si>
  <si>
    <t>川野　真司</t>
  </si>
  <si>
    <t>R010642045</t>
  </si>
  <si>
    <t>河野　心優菜</t>
  </si>
  <si>
    <t>R010653155</t>
  </si>
  <si>
    <t>河野　梨亜菜</t>
  </si>
  <si>
    <t>R010601871</t>
  </si>
  <si>
    <t>川邊　恒輝</t>
  </si>
  <si>
    <t>R010653586</t>
  </si>
  <si>
    <t>R010613604</t>
  </si>
  <si>
    <t>川村　悠介</t>
  </si>
  <si>
    <t>R010638083</t>
  </si>
  <si>
    <t>R010604075</t>
  </si>
  <si>
    <t>漢　翔太</t>
  </si>
  <si>
    <t>R010642083</t>
  </si>
  <si>
    <t>R010576535</t>
  </si>
  <si>
    <t>菊口　和希</t>
  </si>
  <si>
    <t>R010642044</t>
  </si>
  <si>
    <t>菊樂　和貴</t>
  </si>
  <si>
    <t>木谷　大希</t>
  </si>
  <si>
    <t>R010604086</t>
  </si>
  <si>
    <t>北林　佑心</t>
  </si>
  <si>
    <t>R010642058</t>
  </si>
  <si>
    <t>木津　翔貴</t>
  </si>
  <si>
    <t>R010576552</t>
  </si>
  <si>
    <t>木村　颯太</t>
  </si>
  <si>
    <t>R010583778</t>
  </si>
  <si>
    <t>木村　太陽</t>
  </si>
  <si>
    <t>R010638086</t>
  </si>
  <si>
    <t>木元　蒼空</t>
  </si>
  <si>
    <t>R010581166</t>
  </si>
  <si>
    <t>清末　智暉</t>
  </si>
  <si>
    <t>R010604780</t>
  </si>
  <si>
    <t>吉良　匠生</t>
  </si>
  <si>
    <t>R010653157</t>
  </si>
  <si>
    <t>R010593963</t>
  </si>
  <si>
    <t>吉良　優輝</t>
  </si>
  <si>
    <t>R010586314</t>
  </si>
  <si>
    <t>桐村　虎夢</t>
  </si>
  <si>
    <t>R010656685</t>
  </si>
  <si>
    <t>R010583761</t>
  </si>
  <si>
    <t>日下部　悠大</t>
  </si>
  <si>
    <t>R010579060</t>
  </si>
  <si>
    <t>楠野　裕也</t>
  </si>
  <si>
    <t>R010576541</t>
  </si>
  <si>
    <t>葛西　翔太</t>
  </si>
  <si>
    <t>R010576385</t>
  </si>
  <si>
    <t>工藤　大明</t>
  </si>
  <si>
    <t>R010586300</t>
  </si>
  <si>
    <t>工藤　光向太</t>
  </si>
  <si>
    <t>R010653570</t>
  </si>
  <si>
    <t>R010642052</t>
  </si>
  <si>
    <t>熊井　健人</t>
  </si>
  <si>
    <t>R010613643</t>
  </si>
  <si>
    <t>倉橋　一成</t>
  </si>
  <si>
    <t>R010613645</t>
  </si>
  <si>
    <t>倉原　貴志</t>
  </si>
  <si>
    <t>R010656675</t>
  </si>
  <si>
    <t>倉本　康汰</t>
  </si>
  <si>
    <t>R010613625</t>
  </si>
  <si>
    <t>黒田　歩</t>
  </si>
  <si>
    <t>R010576371</t>
  </si>
  <si>
    <t>桑山　元汰</t>
  </si>
  <si>
    <t>R010579119</t>
  </si>
  <si>
    <t>郡司島　樹</t>
  </si>
  <si>
    <t>R010613626</t>
  </si>
  <si>
    <t>小泉　逹邦</t>
  </si>
  <si>
    <t>R010604083</t>
  </si>
  <si>
    <t>小岩　柊大</t>
  </si>
  <si>
    <t>R010586308</t>
  </si>
  <si>
    <t>河野　一翔</t>
  </si>
  <si>
    <t>R010656695</t>
  </si>
  <si>
    <t>河埜　龍生</t>
  </si>
  <si>
    <t>R010604760</t>
  </si>
  <si>
    <t>河野　陽己</t>
  </si>
  <si>
    <t>R010579088</t>
  </si>
  <si>
    <t>古賀　貫太郎</t>
  </si>
  <si>
    <t>R010583795</t>
  </si>
  <si>
    <t>古城　帆貴</t>
  </si>
  <si>
    <t>R010579057</t>
  </si>
  <si>
    <t>児玉　敦志</t>
  </si>
  <si>
    <t>R010581156</t>
  </si>
  <si>
    <t>小寺　一廣</t>
  </si>
  <si>
    <t>R010653579</t>
  </si>
  <si>
    <t>古原　大夢</t>
  </si>
  <si>
    <t>R010642023</t>
  </si>
  <si>
    <t>小林　新明</t>
  </si>
  <si>
    <t>R010653591</t>
  </si>
  <si>
    <t>R010599583</t>
  </si>
  <si>
    <t>小林　優仁</t>
  </si>
  <si>
    <t>R010576519</t>
  </si>
  <si>
    <t>小松　弘毅</t>
  </si>
  <si>
    <t>R010653161</t>
  </si>
  <si>
    <t>是永　直人</t>
  </si>
  <si>
    <t>R010601876</t>
  </si>
  <si>
    <t>近藤　拓斗</t>
  </si>
  <si>
    <t>R010642038</t>
  </si>
  <si>
    <t>合原　直輝</t>
  </si>
  <si>
    <t>R010576369</t>
  </si>
  <si>
    <t>後藤　健伍</t>
  </si>
  <si>
    <t>R010581179</t>
  </si>
  <si>
    <t>後藤　淳哉</t>
  </si>
  <si>
    <t>R010613619</t>
  </si>
  <si>
    <t>後藤　拓人</t>
  </si>
  <si>
    <t>R010579143</t>
  </si>
  <si>
    <t>後藤　凪海</t>
  </si>
  <si>
    <t>R010604770</t>
  </si>
  <si>
    <t>後藤　暖翔</t>
  </si>
  <si>
    <t>R010586296</t>
  </si>
  <si>
    <t>後藤　優空</t>
  </si>
  <si>
    <t>R010613618</t>
  </si>
  <si>
    <t>後藤　優史</t>
  </si>
  <si>
    <t>R010653600</t>
  </si>
  <si>
    <t>R010642071</t>
  </si>
  <si>
    <t>R010604779</t>
  </si>
  <si>
    <t>後藤　竜樹</t>
  </si>
  <si>
    <t>R010613641</t>
  </si>
  <si>
    <t>後藤　塁</t>
  </si>
  <si>
    <t>R010579099</t>
  </si>
  <si>
    <t>酒井　琥士朗</t>
  </si>
  <si>
    <t>R010613639</t>
  </si>
  <si>
    <t>酒井　大空翔</t>
  </si>
  <si>
    <t>R010653163</t>
  </si>
  <si>
    <t>R010600678</t>
  </si>
  <si>
    <t>坂本　航輝</t>
  </si>
  <si>
    <t>R010653166</t>
  </si>
  <si>
    <t>坂本　翔</t>
  </si>
  <si>
    <t>R010581164</t>
  </si>
  <si>
    <t>相良　晃平</t>
  </si>
  <si>
    <t>R010642140</t>
  </si>
  <si>
    <t>櫻井　圭祐</t>
  </si>
  <si>
    <t>R010576381</t>
  </si>
  <si>
    <t>櫻木　海晴</t>
  </si>
  <si>
    <t>R010653559</t>
  </si>
  <si>
    <t>佐々井　誠也</t>
  </si>
  <si>
    <t>R010653581</t>
  </si>
  <si>
    <t>R010586324</t>
  </si>
  <si>
    <t>佐々木　陽音</t>
  </si>
  <si>
    <t>R010638090</t>
  </si>
  <si>
    <t>佐々木　英雄</t>
  </si>
  <si>
    <t>R010586315</t>
  </si>
  <si>
    <t>佐々木　大和</t>
  </si>
  <si>
    <t>R010642032</t>
  </si>
  <si>
    <t>佐藤　康太朗</t>
  </si>
  <si>
    <t>R010579095</t>
  </si>
  <si>
    <t>佐藤　修一</t>
  </si>
  <si>
    <t>R010599176</t>
  </si>
  <si>
    <t>佐藤　周平</t>
  </si>
  <si>
    <t>R010653599</t>
  </si>
  <si>
    <t>R010594942</t>
  </si>
  <si>
    <t>佐藤　直</t>
  </si>
  <si>
    <t>R010604777</t>
  </si>
  <si>
    <t>佐藤　成</t>
  </si>
  <si>
    <t>R010604776</t>
  </si>
  <si>
    <t>佐藤　悠樹</t>
  </si>
  <si>
    <t>R010599178</t>
  </si>
  <si>
    <t>R010613595</t>
  </si>
  <si>
    <t>佐藤　陽日</t>
  </si>
  <si>
    <t>R010613624</t>
  </si>
  <si>
    <t>佐藤　光浩</t>
  </si>
  <si>
    <t>R010599169</t>
  </si>
  <si>
    <t>佐藤　元気</t>
  </si>
  <si>
    <t>R010586313</t>
  </si>
  <si>
    <t>佐藤　佑樹</t>
  </si>
  <si>
    <t>R010593964</t>
  </si>
  <si>
    <t>佐藤　圭悠</t>
  </si>
  <si>
    <t>R010583788</t>
  </si>
  <si>
    <t>佐藤　凛太朗</t>
  </si>
  <si>
    <t>R010579112</t>
  </si>
  <si>
    <t>佐藤　凛乃丞</t>
  </si>
  <si>
    <t>R010588870</t>
  </si>
  <si>
    <t>佐藤　琉偉</t>
  </si>
  <si>
    <t>R010642075</t>
  </si>
  <si>
    <t>澤井　一颯</t>
  </si>
  <si>
    <t>R010653585</t>
  </si>
  <si>
    <t>R010576536</t>
  </si>
  <si>
    <t>三分一　彪斗</t>
  </si>
  <si>
    <t>R010588874</t>
  </si>
  <si>
    <t>財津　翔大</t>
  </si>
  <si>
    <t>R010604774</t>
  </si>
  <si>
    <t>椎原　吟峨</t>
  </si>
  <si>
    <t>R010642054</t>
  </si>
  <si>
    <t>椎原　圭亮</t>
  </si>
  <si>
    <t>R010642037</t>
  </si>
  <si>
    <t>塩崎　椋</t>
  </si>
  <si>
    <t>R010601891</t>
  </si>
  <si>
    <t>塩治　晴士</t>
  </si>
  <si>
    <t>R010601882</t>
  </si>
  <si>
    <t>塩治　輝</t>
  </si>
  <si>
    <t>R010642031</t>
  </si>
  <si>
    <t>汐月　達也</t>
  </si>
  <si>
    <t>R010579058</t>
  </si>
  <si>
    <t>式村　龍馬</t>
  </si>
  <si>
    <t>R010588882</t>
  </si>
  <si>
    <t>志堂寺　和之介</t>
  </si>
  <si>
    <t>R010579048</t>
  </si>
  <si>
    <t>篠田　怜央</t>
  </si>
  <si>
    <t>R010583772</t>
  </si>
  <si>
    <t>渋谷　駿</t>
  </si>
  <si>
    <t>R010613631</t>
  </si>
  <si>
    <t>島田　伊吹</t>
  </si>
  <si>
    <t>R010586719</t>
  </si>
  <si>
    <t>嶋津　慶真</t>
  </si>
  <si>
    <t>R010579105</t>
  </si>
  <si>
    <t>清水　颯太</t>
  </si>
  <si>
    <t>R010593958</t>
  </si>
  <si>
    <t>清水　瑞樹</t>
  </si>
  <si>
    <t>R010576361</t>
  </si>
  <si>
    <t>下久保　魅兎</t>
  </si>
  <si>
    <t>R010653602</t>
  </si>
  <si>
    <t>R010576515</t>
  </si>
  <si>
    <t>下畑　凜太朗</t>
  </si>
  <si>
    <t>R010642036</t>
  </si>
  <si>
    <t>下山　直也</t>
  </si>
  <si>
    <t>R010642092</t>
  </si>
  <si>
    <t>下山　凌河</t>
  </si>
  <si>
    <t>R010579135</t>
  </si>
  <si>
    <t>周藤　光輝</t>
  </si>
  <si>
    <t>R010581167</t>
  </si>
  <si>
    <t>首藤　崇浩</t>
  </si>
  <si>
    <t>R010642053</t>
  </si>
  <si>
    <t>首藤　栄暁</t>
  </si>
  <si>
    <t>R010604764</t>
  </si>
  <si>
    <t>首藤　大夢</t>
  </si>
  <si>
    <t>R010613635</t>
  </si>
  <si>
    <t>首藤　洋司</t>
  </si>
  <si>
    <t>R010656673</t>
  </si>
  <si>
    <t>首藤　諒</t>
  </si>
  <si>
    <t>R010588864</t>
  </si>
  <si>
    <t>白石　海</t>
  </si>
  <si>
    <t>R010599602</t>
  </si>
  <si>
    <t>白石　匠皇</t>
  </si>
  <si>
    <t>R010579134</t>
  </si>
  <si>
    <t>白岩　裕晟</t>
  </si>
  <si>
    <t>R010579104</t>
  </si>
  <si>
    <t>秦　涼介</t>
  </si>
  <si>
    <t>R010576525</t>
  </si>
  <si>
    <t>新立　龍真</t>
  </si>
  <si>
    <t>R010613615</t>
  </si>
  <si>
    <t>新納　信彦</t>
  </si>
  <si>
    <t>R010579086</t>
  </si>
  <si>
    <t>新原　遥翔</t>
  </si>
  <si>
    <t>R010579129</t>
  </si>
  <si>
    <t>軸丸　生己</t>
  </si>
  <si>
    <t>R010653564</t>
  </si>
  <si>
    <t>軸丸　大輝</t>
  </si>
  <si>
    <t>R010656679</t>
  </si>
  <si>
    <t>R010579073</t>
  </si>
  <si>
    <t>城野　大翔</t>
  </si>
  <si>
    <t>R010579127</t>
  </si>
  <si>
    <t>菅　陽翔</t>
  </si>
  <si>
    <t>R010599611</t>
  </si>
  <si>
    <t>R010642087</t>
  </si>
  <si>
    <t>鈴木　響</t>
  </si>
  <si>
    <t>R010576507</t>
  </si>
  <si>
    <t>清家　海佐輝</t>
  </si>
  <si>
    <t>R010613640</t>
  </si>
  <si>
    <t>曽我　昂叶</t>
  </si>
  <si>
    <t>R010638092</t>
  </si>
  <si>
    <t>曽我　大樹</t>
  </si>
  <si>
    <t>R010613606</t>
  </si>
  <si>
    <t>高崎　純之介</t>
  </si>
  <si>
    <t>R010638060</t>
  </si>
  <si>
    <t>R010642043</t>
  </si>
  <si>
    <t>髙橋　昂希</t>
  </si>
  <si>
    <t>R010579050</t>
  </si>
  <si>
    <t>髙橋　翔空</t>
  </si>
  <si>
    <t>R010583767</t>
  </si>
  <si>
    <t>高橋　晴</t>
  </si>
  <si>
    <t>R010642056</t>
  </si>
  <si>
    <t>高橋　由幸</t>
  </si>
  <si>
    <t>R010604092</t>
  </si>
  <si>
    <t>高橋　遼</t>
  </si>
  <si>
    <t>R010588869</t>
  </si>
  <si>
    <t>高松　我空</t>
  </si>
  <si>
    <t>R010576537</t>
  </si>
  <si>
    <t>高見　ゼン</t>
  </si>
  <si>
    <t>R010583798</t>
  </si>
  <si>
    <t>髙村　悠悟</t>
  </si>
  <si>
    <t>R010653152</t>
  </si>
  <si>
    <t>R010653580</t>
  </si>
  <si>
    <t>髙山　僚太</t>
  </si>
  <si>
    <t>R010642055</t>
  </si>
  <si>
    <t>瀧田　凌太</t>
  </si>
  <si>
    <t>R010642076</t>
  </si>
  <si>
    <t>武石　健裕</t>
  </si>
  <si>
    <t>R010579113</t>
  </si>
  <si>
    <t>竹内　悠力</t>
  </si>
  <si>
    <t>R010653162</t>
  </si>
  <si>
    <t>R010642021</t>
  </si>
  <si>
    <t>竹田　皓一</t>
  </si>
  <si>
    <t>R010576523</t>
  </si>
  <si>
    <t>竹谷　嵩登</t>
  </si>
  <si>
    <t>R010586322</t>
  </si>
  <si>
    <t>武田　司</t>
  </si>
  <si>
    <t>R010653574</t>
  </si>
  <si>
    <t>R010586318</t>
  </si>
  <si>
    <t>竹友　勝虎</t>
  </si>
  <si>
    <t>R010656681</t>
  </si>
  <si>
    <t>R010576549</t>
  </si>
  <si>
    <t>竹久　浩夢</t>
  </si>
  <si>
    <t>R010579045</t>
  </si>
  <si>
    <t>武久　文弥</t>
  </si>
  <si>
    <t>R010604117</t>
  </si>
  <si>
    <t>竹本　徠愛</t>
  </si>
  <si>
    <t>R010613638</t>
  </si>
  <si>
    <t>田代　真士</t>
  </si>
  <si>
    <t>R010604072</t>
  </si>
  <si>
    <t>田尻　智輝</t>
  </si>
  <si>
    <t>R010642039</t>
  </si>
  <si>
    <t>R010600676</t>
  </si>
  <si>
    <t>立川　拓樹</t>
  </si>
  <si>
    <t>R010586320</t>
  </si>
  <si>
    <t>立脇　蒼惟</t>
  </si>
  <si>
    <t>R010638069</t>
  </si>
  <si>
    <t>田中　脩翔</t>
  </si>
  <si>
    <t>R010586730</t>
  </si>
  <si>
    <t>田中　大雅</t>
  </si>
  <si>
    <t>R010638055</t>
  </si>
  <si>
    <t>田中　誠</t>
  </si>
  <si>
    <t>R010576512</t>
  </si>
  <si>
    <t>田中　優佑</t>
  </si>
  <si>
    <t>R010631820</t>
  </si>
  <si>
    <t>田中　蓮華</t>
  </si>
  <si>
    <t>R010576511</t>
  </si>
  <si>
    <t>田中　廉人</t>
  </si>
  <si>
    <t>R010653164</t>
  </si>
  <si>
    <t>R010638046</t>
  </si>
  <si>
    <t>田邉　研昇</t>
  </si>
  <si>
    <t>R010599181</t>
  </si>
  <si>
    <t>谷　竜之介</t>
  </si>
  <si>
    <t>谷口　流星心</t>
  </si>
  <si>
    <t>R010601887</t>
  </si>
  <si>
    <t>谷口　凛</t>
  </si>
  <si>
    <t>R010604095</t>
  </si>
  <si>
    <t>玉正　龍蒼</t>
  </si>
  <si>
    <t>R010600674</t>
  </si>
  <si>
    <t>玉永　史春</t>
  </si>
  <si>
    <t>R010588878</t>
  </si>
  <si>
    <t>田村　蓮人</t>
  </si>
  <si>
    <t>R010513889</t>
  </si>
  <si>
    <t>近砂　覚志</t>
  </si>
  <si>
    <t>R010579074</t>
  </si>
  <si>
    <t>千原　天聖</t>
  </si>
  <si>
    <t>R010613613</t>
  </si>
  <si>
    <t>地原　陽斗</t>
  </si>
  <si>
    <t>R010579062</t>
  </si>
  <si>
    <t>塚野　太心</t>
  </si>
  <si>
    <t>R010599174</t>
  </si>
  <si>
    <t>土屋　毅留</t>
  </si>
  <si>
    <t>R010579144</t>
  </si>
  <si>
    <t>筒井　遥斗</t>
  </si>
  <si>
    <t>R010583781</t>
  </si>
  <si>
    <t>筒井　大翔</t>
  </si>
  <si>
    <t>R010638081</t>
  </si>
  <si>
    <t>R010583763</t>
  </si>
  <si>
    <t>鶴原　大斗</t>
  </si>
  <si>
    <t>R010656674</t>
  </si>
  <si>
    <t>R010604074</t>
  </si>
  <si>
    <t>寺坂　玲人</t>
  </si>
  <si>
    <t>R010583759</t>
  </si>
  <si>
    <t>出口　湧也</t>
  </si>
  <si>
    <t>R010576538</t>
  </si>
  <si>
    <t>友永　秀哉</t>
  </si>
  <si>
    <t>R010604767</t>
  </si>
  <si>
    <t>豊田　葵</t>
  </si>
  <si>
    <t>R010583766</t>
  </si>
  <si>
    <t>豊福　泰生</t>
  </si>
  <si>
    <t>R010576557</t>
  </si>
  <si>
    <t>豊本　照仁</t>
  </si>
  <si>
    <t>R010576388</t>
  </si>
  <si>
    <t>土居　駿斗</t>
  </si>
  <si>
    <t>R010579078</t>
  </si>
  <si>
    <t>内藤　暖</t>
  </si>
  <si>
    <t>R010576389</t>
  </si>
  <si>
    <t>直野　優斗</t>
  </si>
  <si>
    <t>R010583791</t>
  </si>
  <si>
    <t>中井　薫</t>
  </si>
  <si>
    <t>R010579115</t>
  </si>
  <si>
    <t>中川　昂大</t>
  </si>
  <si>
    <t>R010583776</t>
  </si>
  <si>
    <t>中川　翔天</t>
  </si>
  <si>
    <t>R010638064</t>
  </si>
  <si>
    <t>R010613608</t>
  </si>
  <si>
    <t>中島　拓郎</t>
  </si>
  <si>
    <t>R010579136</t>
  </si>
  <si>
    <t>中城　篤也</t>
  </si>
  <si>
    <t>R010653573</t>
  </si>
  <si>
    <t>R010653572</t>
  </si>
  <si>
    <t>R010642024</t>
  </si>
  <si>
    <t>R010642072</t>
  </si>
  <si>
    <t>R010581162</t>
  </si>
  <si>
    <t>仲野　翔真</t>
  </si>
  <si>
    <t>R010586304</t>
  </si>
  <si>
    <t>中野　友晶</t>
  </si>
  <si>
    <t>R010593968</t>
  </si>
  <si>
    <t>仲野　雅貴</t>
  </si>
  <si>
    <t>R010576527</t>
  </si>
  <si>
    <t>中原　拓海</t>
  </si>
  <si>
    <t>R010642059</t>
  </si>
  <si>
    <t>R010586305</t>
  </si>
  <si>
    <t>中村　昊陽</t>
  </si>
  <si>
    <t>R010576524</t>
  </si>
  <si>
    <t>中村　尚英</t>
  </si>
  <si>
    <t>R010599608</t>
  </si>
  <si>
    <t>仲村　晃瑠</t>
  </si>
  <si>
    <t>R010586725</t>
  </si>
  <si>
    <t>長尾　俊汰</t>
  </si>
  <si>
    <t>R010642080</t>
  </si>
  <si>
    <t>R010586319</t>
  </si>
  <si>
    <t>長田　遥蒼</t>
  </si>
  <si>
    <t>R010656670</t>
  </si>
  <si>
    <t>永冨　斗</t>
  </si>
  <si>
    <t>R010642033</t>
  </si>
  <si>
    <t>長友　慶一郎</t>
  </si>
  <si>
    <t>R010653598</t>
  </si>
  <si>
    <t>R010576542</t>
  </si>
  <si>
    <t>長濵　夢希</t>
  </si>
  <si>
    <t>R010579114</t>
  </si>
  <si>
    <t>長濵　昇太朗</t>
  </si>
  <si>
    <t>R010579051</t>
  </si>
  <si>
    <t>新名　桜晟</t>
  </si>
  <si>
    <t>R010599601</t>
  </si>
  <si>
    <t>新納　彪生</t>
  </si>
  <si>
    <t>R010604765</t>
  </si>
  <si>
    <t>西　海輝</t>
  </si>
  <si>
    <t>R010599186</t>
  </si>
  <si>
    <t>西　佑太</t>
  </si>
  <si>
    <t>R010576375</t>
  </si>
  <si>
    <t>西尾　晃空</t>
  </si>
  <si>
    <t>R010653595</t>
  </si>
  <si>
    <t>R010638072</t>
  </si>
  <si>
    <t>R010581168</t>
  </si>
  <si>
    <t>西田　順</t>
  </si>
  <si>
    <t>R010653594</t>
  </si>
  <si>
    <t>R010656668</t>
  </si>
  <si>
    <t>二宮　秀一郎</t>
  </si>
  <si>
    <t>R010576379</t>
  </si>
  <si>
    <t>二宮　駿太</t>
  </si>
  <si>
    <t>R010583782</t>
  </si>
  <si>
    <t>二宮　颯春</t>
  </si>
  <si>
    <t>R010579158</t>
  </si>
  <si>
    <t>野口　彗翔</t>
  </si>
  <si>
    <t>R010579141</t>
  </si>
  <si>
    <t>野尻　憲慎</t>
  </si>
  <si>
    <t>R010638043</t>
  </si>
  <si>
    <t>野田　泰紀</t>
  </si>
  <si>
    <t>R010586722</t>
  </si>
  <si>
    <t>野田　大祐</t>
  </si>
  <si>
    <t>R010576383</t>
  </si>
  <si>
    <t>野仲　晃生</t>
  </si>
  <si>
    <t>R010653590</t>
  </si>
  <si>
    <t>R010586328</t>
  </si>
  <si>
    <t>橋本　尚</t>
  </si>
  <si>
    <t>R010656691</t>
  </si>
  <si>
    <t>R010613646</t>
  </si>
  <si>
    <t>羽田野　裕貴</t>
  </si>
  <si>
    <t>R010579137</t>
  </si>
  <si>
    <t>花宮　蓮</t>
  </si>
  <si>
    <t>R010576553</t>
  </si>
  <si>
    <t>濱浦　翔</t>
  </si>
  <si>
    <t>R010653584</t>
  </si>
  <si>
    <t>R010613636</t>
  </si>
  <si>
    <t>早見　裕基</t>
  </si>
  <si>
    <t>R010586317</t>
  </si>
  <si>
    <t>原田　煌也</t>
  </si>
  <si>
    <t>R010638093</t>
  </si>
  <si>
    <t>原田　康佑</t>
  </si>
  <si>
    <t>R010601879</t>
  </si>
  <si>
    <t>原田　滉大</t>
  </si>
  <si>
    <t>R010604070</t>
  </si>
  <si>
    <t>馬場　悠士郎</t>
  </si>
  <si>
    <t>R010601878</t>
  </si>
  <si>
    <t>日浦　慶至</t>
  </si>
  <si>
    <t>R010576572</t>
  </si>
  <si>
    <t>東　健翔</t>
  </si>
  <si>
    <t>R010613642</t>
  </si>
  <si>
    <t>東　拓史</t>
  </si>
  <si>
    <t>R010604124</t>
  </si>
  <si>
    <t>東　美月</t>
  </si>
  <si>
    <t>R010586292</t>
  </si>
  <si>
    <t>東　侑平</t>
  </si>
  <si>
    <t>R010586731</t>
  </si>
  <si>
    <t>樋口　温</t>
  </si>
  <si>
    <t>R010613630</t>
  </si>
  <si>
    <t>樋口　睦己</t>
  </si>
  <si>
    <t>R010638056</t>
  </si>
  <si>
    <t>日高　聖也</t>
  </si>
  <si>
    <t>R010576551</t>
  </si>
  <si>
    <t>日野　海土</t>
  </si>
  <si>
    <t>R010583790</t>
  </si>
  <si>
    <t>日野　天翔</t>
  </si>
  <si>
    <t>R010576367</t>
  </si>
  <si>
    <t>日野　那音</t>
  </si>
  <si>
    <t>R010642030</t>
  </si>
  <si>
    <t>姫野　浩司</t>
  </si>
  <si>
    <t>R010642077</t>
  </si>
  <si>
    <t>R010642074</t>
  </si>
  <si>
    <t>R010588867</t>
  </si>
  <si>
    <t>平石　祥梧</t>
  </si>
  <si>
    <t>R010601875</t>
  </si>
  <si>
    <t>平川　開土</t>
  </si>
  <si>
    <t>R010579066</t>
  </si>
  <si>
    <t>平川　幹大</t>
  </si>
  <si>
    <t>R010601885</t>
  </si>
  <si>
    <t>平川　結偉</t>
  </si>
  <si>
    <t>R010613605</t>
  </si>
  <si>
    <t>平島　直哉</t>
  </si>
  <si>
    <t>R010638071</t>
  </si>
  <si>
    <t>平山　龍</t>
  </si>
  <si>
    <t>R010588861</t>
  </si>
  <si>
    <t>廣川　敬太</t>
  </si>
  <si>
    <t>R010653575</t>
  </si>
  <si>
    <t>R010642068</t>
  </si>
  <si>
    <t>廣田　智納</t>
  </si>
  <si>
    <t>R010576545</t>
  </si>
  <si>
    <t>廣戸　大樹</t>
  </si>
  <si>
    <t>R010601883</t>
  </si>
  <si>
    <t>深田　航汰</t>
  </si>
  <si>
    <t>R010653608</t>
  </si>
  <si>
    <t>R010638059</t>
  </si>
  <si>
    <t>R010653597</t>
  </si>
  <si>
    <t>R010576548</t>
  </si>
  <si>
    <t>福永　楽人</t>
  </si>
  <si>
    <t>R010656686</t>
  </si>
  <si>
    <t>R010642040</t>
  </si>
  <si>
    <t>藤井　俊之</t>
  </si>
  <si>
    <t>R010599610</t>
  </si>
  <si>
    <t>藤井　智也</t>
  </si>
  <si>
    <t>R010656682</t>
  </si>
  <si>
    <t>R010638074</t>
  </si>
  <si>
    <t>藤田　淳也</t>
  </si>
  <si>
    <t>R010579139</t>
  </si>
  <si>
    <t>藤戸　瑛太</t>
  </si>
  <si>
    <t>R010613599</t>
  </si>
  <si>
    <t>藤本　貴裕</t>
  </si>
  <si>
    <t>R010642078</t>
  </si>
  <si>
    <t>R010586299</t>
  </si>
  <si>
    <t>藤原　巧惺</t>
  </si>
  <si>
    <t>R010653165</t>
  </si>
  <si>
    <t>藤原　那月</t>
  </si>
  <si>
    <t>R010599604</t>
  </si>
  <si>
    <t>淵野　日向</t>
  </si>
  <si>
    <t>R010656689</t>
  </si>
  <si>
    <t>冬田　佑輔</t>
  </si>
  <si>
    <t>R010588863</t>
  </si>
  <si>
    <t>古川　士道</t>
  </si>
  <si>
    <t>R010639576</t>
  </si>
  <si>
    <t>豊東　龍司</t>
  </si>
  <si>
    <t>R010576374</t>
  </si>
  <si>
    <t>帆足　陽向</t>
  </si>
  <si>
    <t>R010604120</t>
  </si>
  <si>
    <t>宝珠　咲羽</t>
  </si>
  <si>
    <t>R010586307</t>
  </si>
  <si>
    <t>外園　湊心</t>
  </si>
  <si>
    <t>R010579044</t>
  </si>
  <si>
    <t>外薗　澪</t>
  </si>
  <si>
    <t>R010638073</t>
  </si>
  <si>
    <t>R010653577</t>
  </si>
  <si>
    <t>R010604763</t>
  </si>
  <si>
    <t>堀田　信斗</t>
  </si>
  <si>
    <t>R010586718</t>
  </si>
  <si>
    <t>堀田　詞音</t>
  </si>
  <si>
    <t>R010586727</t>
  </si>
  <si>
    <t>堀田　姫花</t>
  </si>
  <si>
    <t>R010586293</t>
  </si>
  <si>
    <t>本田　大誠</t>
  </si>
  <si>
    <t>R010613593</t>
  </si>
  <si>
    <t>本田　光宣</t>
  </si>
  <si>
    <t>R010583758</t>
  </si>
  <si>
    <t>本田　郁恭</t>
  </si>
  <si>
    <t>R010656669</t>
  </si>
  <si>
    <t>R010657459</t>
  </si>
  <si>
    <t>牧　宗汰</t>
  </si>
  <si>
    <t>R010653601</t>
  </si>
  <si>
    <t>R010642065</t>
  </si>
  <si>
    <t>増田　和磨</t>
  </si>
  <si>
    <t>R010576539</t>
  </si>
  <si>
    <t>益田　寛治</t>
  </si>
  <si>
    <t>R010581183</t>
  </si>
  <si>
    <t>鱒村侑土　ますむらゆうと</t>
  </si>
  <si>
    <t>R010613623</t>
  </si>
  <si>
    <t>松井　悠斗</t>
  </si>
  <si>
    <t>R010601881</t>
  </si>
  <si>
    <t>松尾　彩希</t>
  </si>
  <si>
    <t>R010638085</t>
  </si>
  <si>
    <t>R010604077</t>
  </si>
  <si>
    <t>松岡　祐太</t>
  </si>
  <si>
    <t>R010604778</t>
  </si>
  <si>
    <t>松木　優飛</t>
  </si>
  <si>
    <t>R010613601</t>
  </si>
  <si>
    <t>松下　絢也</t>
  </si>
  <si>
    <t>R010583762</t>
  </si>
  <si>
    <t>松下　未来翔</t>
  </si>
  <si>
    <t>R010642066</t>
  </si>
  <si>
    <t>松下　侑矢</t>
  </si>
  <si>
    <t>R010579116</t>
  </si>
  <si>
    <t>松添　大輝</t>
  </si>
  <si>
    <t>R010604769</t>
  </si>
  <si>
    <t>松胴　煌</t>
  </si>
  <si>
    <t>R010613617</t>
  </si>
  <si>
    <t>松永　康汰</t>
  </si>
  <si>
    <t>R010642061</t>
  </si>
  <si>
    <t>R010143937</t>
  </si>
  <si>
    <t>松原　仁</t>
  </si>
  <si>
    <t>R010653154</t>
  </si>
  <si>
    <t>R010653596</t>
  </si>
  <si>
    <t>R010653582</t>
  </si>
  <si>
    <t>R010576531</t>
  </si>
  <si>
    <t>眞鍋　瑛士</t>
  </si>
  <si>
    <t>R010604768</t>
  </si>
  <si>
    <t>三浦　雅斗</t>
  </si>
  <si>
    <t>R010593961</t>
  </si>
  <si>
    <t>三浦　蒼羽</t>
  </si>
  <si>
    <t>R010638088</t>
  </si>
  <si>
    <t>三浦　優真</t>
  </si>
  <si>
    <t>R010579100</t>
  </si>
  <si>
    <t>三浦　琉誠</t>
  </si>
  <si>
    <t>R005987582</t>
  </si>
  <si>
    <t>三代　義彦</t>
  </si>
  <si>
    <t>R010613627</t>
  </si>
  <si>
    <t>水本　純平</t>
  </si>
  <si>
    <t>R010638079</t>
  </si>
  <si>
    <t>R010579098</t>
  </si>
  <si>
    <t>宮野　倖希</t>
  </si>
  <si>
    <t>R010653562</t>
  </si>
  <si>
    <t>宮本　空弥</t>
  </si>
  <si>
    <t>R010579111</t>
  </si>
  <si>
    <t>宮本　凪</t>
  </si>
  <si>
    <t>R010576508</t>
  </si>
  <si>
    <t>宮本　規央</t>
  </si>
  <si>
    <t>R010653605</t>
  </si>
  <si>
    <t>宮本　陽向</t>
  </si>
  <si>
    <t>R010576526</t>
  </si>
  <si>
    <t>牟田　風太</t>
  </si>
  <si>
    <t>R010579061</t>
  </si>
  <si>
    <t>村上　泰基</t>
  </si>
  <si>
    <t>R010642073</t>
  </si>
  <si>
    <t>R010586302</t>
  </si>
  <si>
    <t>室谷　優心</t>
  </si>
  <si>
    <t>R010576513</t>
  </si>
  <si>
    <t>本室　匠翔</t>
  </si>
  <si>
    <t>R010638087</t>
  </si>
  <si>
    <t>R010579077</t>
  </si>
  <si>
    <t>森　脩人</t>
  </si>
  <si>
    <t>R010576533</t>
  </si>
  <si>
    <t>森本　祥晃</t>
  </si>
  <si>
    <t>R010638062</t>
  </si>
  <si>
    <t>R010653588</t>
  </si>
  <si>
    <t>R010579107</t>
  </si>
  <si>
    <t>安永　瑛翔</t>
  </si>
  <si>
    <t>R010604094</t>
  </si>
  <si>
    <t>柳井　秀斗</t>
  </si>
  <si>
    <t>R010579083</t>
  </si>
  <si>
    <t>栁本　楓</t>
  </si>
  <si>
    <t>R010604775</t>
  </si>
  <si>
    <t>矢野　晃也</t>
  </si>
  <si>
    <t>R010579108</t>
  </si>
  <si>
    <t>矢野　草隼</t>
  </si>
  <si>
    <t>R010579072</t>
  </si>
  <si>
    <t>矢野　達也</t>
  </si>
  <si>
    <t>R010593959</t>
  </si>
  <si>
    <t>矢野　廉士</t>
  </si>
  <si>
    <t>R010579080</t>
  </si>
  <si>
    <t>矢羽田　大夢</t>
  </si>
  <si>
    <t>R010588855</t>
  </si>
  <si>
    <t>山岸　秀彰</t>
  </si>
  <si>
    <t>R010579106</t>
  </si>
  <si>
    <t>山﨑　櫂</t>
  </si>
  <si>
    <t>R010586728</t>
  </si>
  <si>
    <t>山﨑　康大</t>
  </si>
  <si>
    <t>R010601888</t>
  </si>
  <si>
    <t>山﨑　世大</t>
  </si>
  <si>
    <t>R010656687</t>
  </si>
  <si>
    <t>山崎　発</t>
  </si>
  <si>
    <t>R010638082</t>
  </si>
  <si>
    <t>R010579359</t>
  </si>
  <si>
    <t>山下　一浩</t>
  </si>
  <si>
    <t>R010656698</t>
  </si>
  <si>
    <t>山下　太陽</t>
  </si>
  <si>
    <t>R010653160</t>
  </si>
  <si>
    <t>R010593960</t>
  </si>
  <si>
    <t>山中　栄樟</t>
  </si>
  <si>
    <t>R010642063</t>
  </si>
  <si>
    <t>山元　幹太</t>
  </si>
  <si>
    <t>R010586723</t>
  </si>
  <si>
    <t>山本　耕平</t>
  </si>
  <si>
    <t>R010576550</t>
  </si>
  <si>
    <t>山本　祥領</t>
  </si>
  <si>
    <t>R010638061</t>
  </si>
  <si>
    <t>R010613600</t>
  </si>
  <si>
    <t>山本　光彦</t>
  </si>
  <si>
    <t>R010642093</t>
  </si>
  <si>
    <t>山本　祐翔</t>
  </si>
  <si>
    <t>R010599605</t>
  </si>
  <si>
    <t>幸　大貴</t>
  </si>
  <si>
    <t>R010638068</t>
  </si>
  <si>
    <t>R010653571</t>
  </si>
  <si>
    <t>R010604087</t>
  </si>
  <si>
    <t>幸重　頼人</t>
  </si>
  <si>
    <t>R010604068</t>
  </si>
  <si>
    <t>横井　希星</t>
  </si>
  <si>
    <t>R010576376</t>
  </si>
  <si>
    <t>横江　恒瑛</t>
  </si>
  <si>
    <t>R010586316</t>
  </si>
  <si>
    <t>横田　啓</t>
  </si>
  <si>
    <t>R010653604</t>
  </si>
  <si>
    <t>R010581157</t>
  </si>
  <si>
    <t>吉岡　佑人</t>
  </si>
  <si>
    <t>R010604088</t>
  </si>
  <si>
    <t>吉武　東里</t>
  </si>
  <si>
    <t>R010653610</t>
  </si>
  <si>
    <t>R010586323</t>
  </si>
  <si>
    <t>吉田　白夜</t>
  </si>
  <si>
    <t>R010600677</t>
  </si>
  <si>
    <t>吉永　健太郎</t>
  </si>
  <si>
    <t>R010579085</t>
  </si>
  <si>
    <t>吉野　可亜斗</t>
  </si>
  <si>
    <t>R010576360</t>
  </si>
  <si>
    <t>吉野　峨流</t>
  </si>
  <si>
    <t>R010642070</t>
  </si>
  <si>
    <t>R010579084</t>
  </si>
  <si>
    <t>吉弘　瑠唯</t>
  </si>
  <si>
    <t>R010600682</t>
  </si>
  <si>
    <t>吉松　赳士</t>
  </si>
  <si>
    <t>R010604079</t>
  </si>
  <si>
    <t>吉水　遥大</t>
  </si>
  <si>
    <t>R010642041</t>
  </si>
  <si>
    <t>吉村　心冴</t>
  </si>
  <si>
    <t>R010653609</t>
  </si>
  <si>
    <t>R010579102</t>
  </si>
  <si>
    <t>依田　勇誠</t>
  </si>
  <si>
    <t>R010599582</t>
  </si>
  <si>
    <t>米倉　佳宏</t>
  </si>
  <si>
    <t>R010653583</t>
  </si>
  <si>
    <t>米村　洸音</t>
  </si>
  <si>
    <t>R010642064</t>
  </si>
  <si>
    <t>涌井　航大</t>
  </si>
  <si>
    <t>R010638070</t>
  </si>
  <si>
    <t>R010600679</t>
  </si>
  <si>
    <t>渡辺　俊介</t>
  </si>
  <si>
    <t>R010638075</t>
  </si>
  <si>
    <t>渡辺　晶子</t>
  </si>
  <si>
    <t>R010638045</t>
  </si>
  <si>
    <t>渡邉　千博</t>
  </si>
  <si>
    <t>R010653838</t>
  </si>
  <si>
    <t>渡邉　陸斗</t>
  </si>
  <si>
    <t>R010576534</t>
  </si>
  <si>
    <t>和田　泰輝</t>
  </si>
  <si>
    <t>R010576559</t>
  </si>
  <si>
    <t>和田　道之心</t>
  </si>
  <si>
    <t>ニノミヤ　ユウシ</t>
  </si>
  <si>
    <t>アンドウ　マサキ</t>
  </si>
  <si>
    <t>イケザキ　セイヤ</t>
  </si>
  <si>
    <t>イトウ　ケイト</t>
  </si>
  <si>
    <t>イモオカ　カツユキ</t>
  </si>
  <si>
    <t>ウエハラ　ヨシキ</t>
  </si>
  <si>
    <t>オオヤマ　ジュンイチロウ</t>
  </si>
  <si>
    <t>オカマツ　シンヤ</t>
  </si>
  <si>
    <t>キシロ　ケンタ</t>
  </si>
  <si>
    <t>コトオ　ケイタ</t>
  </si>
  <si>
    <t>サイトウ　ユウ</t>
  </si>
  <si>
    <t>サカモト　カズヤ</t>
  </si>
  <si>
    <t>シモダ　タクヤ</t>
  </si>
  <si>
    <t>トミヤマ　タモツ</t>
  </si>
  <si>
    <t>ニシムラ　タカシ</t>
  </si>
  <si>
    <t>ハナサキ　ヒロシ</t>
  </si>
  <si>
    <t>ハヤミズ　ユウスケ</t>
  </si>
  <si>
    <t>ヒノ　ユカリ</t>
  </si>
  <si>
    <t>モリモト　マサシ</t>
  </si>
  <si>
    <t>ヤサカ　リュウノスケ</t>
  </si>
  <si>
    <t>ヨコヤマ　ダイゴ</t>
  </si>
  <si>
    <t>アイザワ　ユウト</t>
  </si>
  <si>
    <t>アオキ　ショウタ</t>
  </si>
  <si>
    <t>アカサカ　カナ</t>
  </si>
  <si>
    <t>アカミネ　トモキ</t>
  </si>
  <si>
    <t>アキモト　レント</t>
  </si>
  <si>
    <t>アキヨシ　マサト</t>
  </si>
  <si>
    <t>アサカワ　リュウシン</t>
  </si>
  <si>
    <t>アソウ　イオリ</t>
  </si>
  <si>
    <t>アソウ　ナルミ</t>
  </si>
  <si>
    <t>アソウ　ユウキ</t>
  </si>
  <si>
    <t>アダチ　ハルト</t>
  </si>
  <si>
    <t>アダチ　ヒヨリ</t>
  </si>
  <si>
    <t>アチ　ユウト</t>
  </si>
  <si>
    <t>アナン　トウゴ</t>
  </si>
  <si>
    <t>アベ　ケイ</t>
  </si>
  <si>
    <t>アベ　ケンスケ</t>
  </si>
  <si>
    <t>アベ　コウイチ</t>
  </si>
  <si>
    <t>アベ　シュウヘイ</t>
  </si>
  <si>
    <t>アベ　ソウキ</t>
  </si>
  <si>
    <t>アベ　ハルヒ</t>
  </si>
  <si>
    <t>アベ　ヒロキ</t>
  </si>
  <si>
    <t>アベ　リュウキ</t>
  </si>
  <si>
    <t>アマタツ　アユム</t>
  </si>
  <si>
    <t>アマノ　シュン</t>
  </si>
  <si>
    <t>アラガネ　タクミ</t>
  </si>
  <si>
    <t>アラマキ　サトシ</t>
  </si>
  <si>
    <t>アリナガ　サキ</t>
  </si>
  <si>
    <t>アンドウ　カズアキ</t>
  </si>
  <si>
    <t>アンドウ　ユウゴ</t>
  </si>
  <si>
    <t>アンドウ　リク</t>
  </si>
  <si>
    <t>アンベ　ハヤテ</t>
  </si>
  <si>
    <t>イイ　トシマス</t>
  </si>
  <si>
    <t>イケダ　ユウト</t>
  </si>
  <si>
    <t>イケダ　ライキ</t>
  </si>
  <si>
    <t>イケベ　ユイト</t>
  </si>
  <si>
    <t>イサヤマ　ソラ</t>
  </si>
  <si>
    <t>イサヤマ　ルイ</t>
  </si>
  <si>
    <t>イシバシ　ユミト</t>
  </si>
  <si>
    <t>イシマル　ケイト</t>
  </si>
  <si>
    <t>イズミ　ジョウイチロウ</t>
  </si>
  <si>
    <t>イタイ　コウイチ</t>
  </si>
  <si>
    <t>イチカワ　ユウト</t>
  </si>
  <si>
    <t>イチハラ　サク</t>
  </si>
  <si>
    <t>イッシキ　タカノリ</t>
  </si>
  <si>
    <t>イデリハ　シュンタロウ</t>
  </si>
  <si>
    <t>イトウ　カイセイ</t>
  </si>
  <si>
    <t>イトウ　カイト</t>
  </si>
  <si>
    <t>イトウ　ナオト</t>
  </si>
  <si>
    <t>イトウ　マサノリ</t>
  </si>
  <si>
    <t>イトウ　ルイ</t>
  </si>
  <si>
    <t>イノウエ　タカト</t>
  </si>
  <si>
    <t>イハラ　ソラ</t>
  </si>
  <si>
    <t>イハラ　ヤスヒロ</t>
  </si>
  <si>
    <t>イモオカ　ツバサ</t>
  </si>
  <si>
    <t>イワキ　ケイゴ</t>
  </si>
  <si>
    <t>イワサキ　コウヤ</t>
  </si>
  <si>
    <t>イワサキ　ヨシト</t>
  </si>
  <si>
    <t>イワシタ　リュウキ</t>
  </si>
  <si>
    <t>イワナカ　カイリ</t>
  </si>
  <si>
    <t>イワムラ　コウセイ</t>
  </si>
  <si>
    <t>イワモト　リョウマ</t>
  </si>
  <si>
    <t>ウエノ　アキヒト</t>
  </si>
  <si>
    <t>ウエノ　ゲンキ</t>
  </si>
  <si>
    <t>ウエモリ　カイジ</t>
  </si>
  <si>
    <t>ウチダ　キヨヒト</t>
  </si>
  <si>
    <t>ウチダ　コウスケ</t>
  </si>
  <si>
    <t>ウツノミヤ　リンペイ</t>
  </si>
  <si>
    <t>ウメダ　ショウヤ</t>
  </si>
  <si>
    <t>ウメダ　ユウト</t>
  </si>
  <si>
    <t>ウルマ　タイガ</t>
  </si>
  <si>
    <t>エガワ　シュウト</t>
  </si>
  <si>
    <t>エトウ　サスケ</t>
  </si>
  <si>
    <t>エトウ　タケル</t>
  </si>
  <si>
    <t>エトウ　ツカサ</t>
  </si>
  <si>
    <t>エトウ　ハルヤ</t>
  </si>
  <si>
    <t>エトウ　ユウキ</t>
  </si>
  <si>
    <t>エンドウ　リョウサイ</t>
  </si>
  <si>
    <t>オオウチ　リュノスケ</t>
  </si>
  <si>
    <t>オオカワ　ソウ</t>
  </si>
  <si>
    <t>オオキ　ユウシ</t>
  </si>
  <si>
    <t>オオクボ　アヤト</t>
  </si>
  <si>
    <t>オオクボ　ソラ</t>
  </si>
  <si>
    <t>オオタ　ユウト</t>
  </si>
  <si>
    <t>オオタニ　サトシ</t>
  </si>
  <si>
    <t>オオノ　ヒロキ</t>
  </si>
  <si>
    <t>オオハシ　ナギ</t>
  </si>
  <si>
    <t>オオハシ　ハヤテ</t>
  </si>
  <si>
    <t>オオヒラ　エイト</t>
  </si>
  <si>
    <t>オカ　コウタロウ</t>
  </si>
  <si>
    <t>オカ　マサキ</t>
  </si>
  <si>
    <t>オカザキ　ショウヤ</t>
  </si>
  <si>
    <t>オカベ　マサノリ</t>
  </si>
  <si>
    <t>オカマツ　シュウト</t>
  </si>
  <si>
    <t>オガワ　ソウシン</t>
  </si>
  <si>
    <t>オガワ　ユウジ</t>
  </si>
  <si>
    <t>オギヤマ　メイ</t>
  </si>
  <si>
    <t>オクダ　トモキ</t>
  </si>
  <si>
    <t>オグラ　ユウヤ</t>
  </si>
  <si>
    <t>オゾウ　コクト</t>
  </si>
  <si>
    <t>オノ　アキト</t>
  </si>
  <si>
    <t>オノ　タイト</t>
  </si>
  <si>
    <t>オノ　タクミ</t>
  </si>
  <si>
    <t>オハラ　リク</t>
  </si>
  <si>
    <t>オバタ　アルク</t>
  </si>
  <si>
    <t>カイ　ジュンペイ</t>
  </si>
  <si>
    <t>カイ　ユウセイ</t>
  </si>
  <si>
    <t>カゲヤマ　シンイチロウ</t>
  </si>
  <si>
    <t>カジワラ　リョウ</t>
  </si>
  <si>
    <t>カトウ　マサオ</t>
  </si>
  <si>
    <t>カトウ　ユウタ</t>
  </si>
  <si>
    <t>カトウ　ワタル</t>
  </si>
  <si>
    <t>カナヤマ　マサキ</t>
  </si>
  <si>
    <t>カネダ　コウシ</t>
  </si>
  <si>
    <t>カネダ　ヒデトラ</t>
  </si>
  <si>
    <t>カネトウ　ユウヤ</t>
  </si>
  <si>
    <t>カマダ　コウシロウ</t>
  </si>
  <si>
    <t>カミヤマ　アオイ</t>
  </si>
  <si>
    <t>カワイ　ライキ</t>
  </si>
  <si>
    <t>カワゴエ　リョウマ</t>
  </si>
  <si>
    <t>カワサキ　リオ</t>
  </si>
  <si>
    <t>カワシマ　エイタ</t>
  </si>
  <si>
    <t>カワソエ　ユウト</t>
  </si>
  <si>
    <t>カワタ　ヒロユキ</t>
  </si>
  <si>
    <t>カワヅ　アキト</t>
  </si>
  <si>
    <t>カワヅ　ユウヤ</t>
  </si>
  <si>
    <t>カワノ　コウセイ</t>
  </si>
  <si>
    <t>カワノ　ショウタロウ</t>
  </si>
  <si>
    <t>カワノ　シンジ</t>
  </si>
  <si>
    <t>カワノ　ヒナタ</t>
  </si>
  <si>
    <t>カワノ　ミユナ</t>
  </si>
  <si>
    <t>カワノ　リアナ</t>
  </si>
  <si>
    <t>カワベ　コウキ</t>
  </si>
  <si>
    <t>カワムラ　ユウスケ</t>
  </si>
  <si>
    <t>カン　ショウタ</t>
  </si>
  <si>
    <t>キクグチ　カズキ</t>
  </si>
  <si>
    <t>キクラク　カズキ</t>
  </si>
  <si>
    <t>キタバヤシ　ユウシン</t>
  </si>
  <si>
    <t>キヅ　ショウキ</t>
  </si>
  <si>
    <t>キムラ　ソウタ</t>
  </si>
  <si>
    <t>キムラ　タイヨウ</t>
  </si>
  <si>
    <t>キモト　ソラ</t>
  </si>
  <si>
    <t>キヨスエ　トモキ</t>
  </si>
  <si>
    <t>キラ　タクミ</t>
  </si>
  <si>
    <t>キラ　ユウキ</t>
  </si>
  <si>
    <t>キリムラ　コム</t>
  </si>
  <si>
    <t>クサカベ　ユウタ</t>
  </si>
  <si>
    <t>クスノ　ユウヤ</t>
  </si>
  <si>
    <t>クズニシ　ショウタ</t>
  </si>
  <si>
    <t>クドウ　ダイメイ</t>
  </si>
  <si>
    <t>クドウ　ヒナタ</t>
  </si>
  <si>
    <t>クマイ　ケント</t>
  </si>
  <si>
    <t>クラハシ　イッセイ</t>
  </si>
  <si>
    <t>クラハラ　キシ</t>
  </si>
  <si>
    <t>クラモト　コウタ</t>
  </si>
  <si>
    <t>クロダ　アユム</t>
  </si>
  <si>
    <t>クワヤマ　ゲンタ</t>
  </si>
  <si>
    <t>グンジシマ　タツキ</t>
  </si>
  <si>
    <t>コイズミ　タツクニ</t>
  </si>
  <si>
    <t>コイワ　シュウダイ</t>
  </si>
  <si>
    <t>コウノ　イチト</t>
  </si>
  <si>
    <t>コウノ　タツキ</t>
  </si>
  <si>
    <t>コウノ　ハルキ</t>
  </si>
  <si>
    <t>コガ　カンタロウ</t>
  </si>
  <si>
    <t>コジョウ　ホタカ</t>
  </si>
  <si>
    <t>コテラ　カズヒロ</t>
  </si>
  <si>
    <t>コハラ　ダイヤ</t>
  </si>
  <si>
    <t>コバヤシ　シンメイ</t>
  </si>
  <si>
    <t>コバヤシ　ユウト</t>
  </si>
  <si>
    <t>コマツ　ヒロキ</t>
  </si>
  <si>
    <t>コレナガ　ナオト</t>
  </si>
  <si>
    <t>コンドウ　タクト</t>
  </si>
  <si>
    <t>ゴウバル　ナオキ</t>
  </si>
  <si>
    <t>ゴトウ　アヤト</t>
  </si>
  <si>
    <t>ゴトウ　ケンゴ</t>
  </si>
  <si>
    <t>ゴトウ　ジュンヤ</t>
  </si>
  <si>
    <t>ゴトウ　タクト</t>
  </si>
  <si>
    <t>ゴトウ　ナギ</t>
  </si>
  <si>
    <t>ゴトウ　ハルト</t>
  </si>
  <si>
    <t>ゴトウ　ユウア</t>
  </si>
  <si>
    <t>ゴトウ　ユウシ</t>
  </si>
  <si>
    <t>ゴトウ　ルイ</t>
  </si>
  <si>
    <t>サカイ　コジロウ</t>
  </si>
  <si>
    <t>サカイ　タクト</t>
  </si>
  <si>
    <t>サカモト　コウキ</t>
  </si>
  <si>
    <t>サカモト　ショウ</t>
  </si>
  <si>
    <t>サガラ　コウヘイ</t>
  </si>
  <si>
    <t>サクライ　ケイスケ</t>
  </si>
  <si>
    <t>サクラギ　カイセイ</t>
  </si>
  <si>
    <t>ササイ　マサヤ</t>
  </si>
  <si>
    <t>ササキ　ハルト</t>
  </si>
  <si>
    <t>ササキ　ヒデオ</t>
  </si>
  <si>
    <t>ササキ　ヤマト</t>
  </si>
  <si>
    <t>サトウ　コウタロウ</t>
  </si>
  <si>
    <t>サトウ　シュウイチ</t>
  </si>
  <si>
    <t>サトウ　シュウヘイ</t>
  </si>
  <si>
    <t>サトウ　ナオト</t>
  </si>
  <si>
    <t>サトウ　ナル</t>
  </si>
  <si>
    <t>サトウ　ハルキ</t>
  </si>
  <si>
    <t>サトウ　ハルヒ</t>
  </si>
  <si>
    <t>サトウ　ミツヒロ</t>
  </si>
  <si>
    <t>サトウ　モトキ</t>
  </si>
  <si>
    <t>サトウ　リンタロウ</t>
  </si>
  <si>
    <t>サトウ　リンノスケ</t>
  </si>
  <si>
    <t>サトウ　ルイ</t>
  </si>
  <si>
    <t>サワイ　イブキ</t>
  </si>
  <si>
    <t>サンブイチ　タケト</t>
  </si>
  <si>
    <t>ザイツ　ショウダイ</t>
  </si>
  <si>
    <t>シイハラ　ギンガ</t>
  </si>
  <si>
    <t>シイハラ　ケイスケ</t>
  </si>
  <si>
    <t>シオサキ　リョウ</t>
  </si>
  <si>
    <t>シオジ　ハルト</t>
  </si>
  <si>
    <t>シオジ　ヒカル</t>
  </si>
  <si>
    <t>シオツキ　タツヤ</t>
  </si>
  <si>
    <t>シキムラ　リョウマ</t>
  </si>
  <si>
    <t>シドウジ　カズノスケ</t>
  </si>
  <si>
    <t>シノダ　レオ</t>
  </si>
  <si>
    <t>シブヤ　タケル</t>
  </si>
  <si>
    <t>シマダ　イブキ</t>
  </si>
  <si>
    <t>シマヅ　ケイシン</t>
  </si>
  <si>
    <t>シミズ　ソウタ</t>
  </si>
  <si>
    <t>シミズ　ミズキ</t>
  </si>
  <si>
    <t>シモクボ　ミント</t>
  </si>
  <si>
    <t>シモゴオリ　リョウヘイ</t>
  </si>
  <si>
    <t>シモハタ　リンタロウ</t>
  </si>
  <si>
    <t>シモヤマ　ナオヤ</t>
  </si>
  <si>
    <t>シモヤマ　リョウガ</t>
  </si>
  <si>
    <t>シュウトウ　ミツキ</t>
  </si>
  <si>
    <t>シュトウ　トモアキ</t>
  </si>
  <si>
    <t>シュトウ　ヒロム</t>
  </si>
  <si>
    <t>シュトウ　ヨウジ</t>
  </si>
  <si>
    <t>シュトウ　リョウ</t>
  </si>
  <si>
    <t>シライシ　カイ</t>
  </si>
  <si>
    <t>シライシ　ショウ</t>
  </si>
  <si>
    <t>シライワ　ユウセイ</t>
  </si>
  <si>
    <t>シン　リョウスケ</t>
  </si>
  <si>
    <t>シンダテ　リュウシン</t>
  </si>
  <si>
    <t>シンノウ　ノブヒコ</t>
  </si>
  <si>
    <t>シンバル　ハルト</t>
  </si>
  <si>
    <t>ジクマル　ウミ</t>
  </si>
  <si>
    <t>ジクマル　ダイキ</t>
  </si>
  <si>
    <t>ジョウノ　ヒロト</t>
  </si>
  <si>
    <t>スガ　ハルト</t>
  </si>
  <si>
    <t>スギタ　カケル</t>
  </si>
  <si>
    <t>スズキ　ヒビキ</t>
  </si>
  <si>
    <t>セイケ　ミサキ</t>
  </si>
  <si>
    <t>ソガ　タカト</t>
  </si>
  <si>
    <t>ソガ　ダイキ</t>
  </si>
  <si>
    <t>タカサキ　ジュンノスケ</t>
  </si>
  <si>
    <t>タカハシ　コウキ</t>
  </si>
  <si>
    <t>タカハシ　トア</t>
  </si>
  <si>
    <t>タカハシ　ヨシユキ</t>
  </si>
  <si>
    <t>タカハシ　リョウ</t>
  </si>
  <si>
    <t>タカマツ　ガイア</t>
  </si>
  <si>
    <t>タカミ　ゼン</t>
  </si>
  <si>
    <t>タカムラ　ユウゴ</t>
  </si>
  <si>
    <t>タキダ　リョウタ</t>
  </si>
  <si>
    <t>タケイシ　タケヒロ</t>
  </si>
  <si>
    <t>タケウチ　ユウリ</t>
  </si>
  <si>
    <t>タケタ　コウイチ</t>
  </si>
  <si>
    <t>タケタニ　シュウト</t>
  </si>
  <si>
    <t>タケダ　ツカサ</t>
  </si>
  <si>
    <t>タケトモ　カツト</t>
  </si>
  <si>
    <t>タケヒサ　ヒロム</t>
  </si>
  <si>
    <t>タケヒサ　フミヤ</t>
  </si>
  <si>
    <t>タケモト　リイナ</t>
  </si>
  <si>
    <t>タシロ　マサシ</t>
  </si>
  <si>
    <t>タジリ　トモキ</t>
  </si>
  <si>
    <t>タツカワ　ヒロキ</t>
  </si>
  <si>
    <t>タテワキ　アオイ</t>
  </si>
  <si>
    <t>タナカ　シュウト</t>
  </si>
  <si>
    <t>タナカ　タイガ</t>
  </si>
  <si>
    <t>タナカ　マコト</t>
  </si>
  <si>
    <t>タナカ　レンカ</t>
  </si>
  <si>
    <t>タナカ　レント</t>
  </si>
  <si>
    <t>タナベ　ケント</t>
  </si>
  <si>
    <t>タニ　リュウノスケ</t>
  </si>
  <si>
    <t>タニグチ　スバル</t>
  </si>
  <si>
    <t>タニグチ　リン</t>
  </si>
  <si>
    <t>タマショウ　リュウソウ</t>
  </si>
  <si>
    <t>タマナガ　フミハル</t>
  </si>
  <si>
    <t>タムラ　レント</t>
  </si>
  <si>
    <t>チカスナ　サトシ</t>
  </si>
  <si>
    <t>チハラ　テンセイ</t>
  </si>
  <si>
    <t>チハラ　ハルト</t>
  </si>
  <si>
    <t>ツカノ　タイシン</t>
  </si>
  <si>
    <t>ツチヤ　タケル</t>
  </si>
  <si>
    <t>ツツイ　ハルト</t>
  </si>
  <si>
    <t>ツルハラ　オト</t>
  </si>
  <si>
    <t>テラサカ　レオト</t>
  </si>
  <si>
    <t>デグチ　ユウヤ</t>
  </si>
  <si>
    <t>トモナガ　シュウヤ</t>
  </si>
  <si>
    <t>トヨダ　アオイ</t>
  </si>
  <si>
    <t>トヨフク　タイキ</t>
  </si>
  <si>
    <t>トヨモト　テルヒト</t>
  </si>
  <si>
    <t>ドイ　シュント</t>
  </si>
  <si>
    <t>ナイトウ　ハル</t>
  </si>
  <si>
    <t>ナオノ　ユウト</t>
  </si>
  <si>
    <t>ナカイ　カオル</t>
  </si>
  <si>
    <t>ナカガワ　コウタ</t>
  </si>
  <si>
    <t>ナカガワ　トア</t>
  </si>
  <si>
    <t>ナカシマ　タクロウ</t>
  </si>
  <si>
    <t>ナカジョウ　アツヤ</t>
  </si>
  <si>
    <t>ナカノ　ショウマ</t>
  </si>
  <si>
    <t>ナカノ　トモアキ</t>
  </si>
  <si>
    <t>ナカノ　マサキ</t>
  </si>
  <si>
    <t>ナカハラ　タクミ</t>
  </si>
  <si>
    <t>ナカムラ　コウヨウ</t>
  </si>
  <si>
    <t>ナカムラ　ショウエイ</t>
  </si>
  <si>
    <t>ナカムラ　ヒカル</t>
  </si>
  <si>
    <t>ナガオ　シュンタ</t>
  </si>
  <si>
    <t>ナガタ　トア</t>
  </si>
  <si>
    <t>ナガトミ　トワ</t>
  </si>
  <si>
    <t>ナガトモ　ケイイチロウ</t>
  </si>
  <si>
    <t>ナガハマ　イブキ</t>
  </si>
  <si>
    <t>ナガハマ　ショウタロウ</t>
  </si>
  <si>
    <t>ニイナ　オウセイ</t>
  </si>
  <si>
    <t>ニイノ　トラオ</t>
  </si>
  <si>
    <t>ニシ　カイキ</t>
  </si>
  <si>
    <t>ニシ　ユウタ</t>
  </si>
  <si>
    <t>ニシオ　コウア</t>
  </si>
  <si>
    <t>ニシダ　ジュン</t>
  </si>
  <si>
    <t>ニノミヤ　シュウイチロウ</t>
  </si>
  <si>
    <t>ニノミヤ　シュンタ</t>
  </si>
  <si>
    <t>ニノミヤ　ソウシュン</t>
  </si>
  <si>
    <t>ノグチ　ケイト</t>
  </si>
  <si>
    <t>ノジリ　ケンシン</t>
  </si>
  <si>
    <t>ノダ　タイキ</t>
  </si>
  <si>
    <t>ノダ　ダイスケ</t>
  </si>
  <si>
    <t>ノナカ　コウセイ</t>
  </si>
  <si>
    <t>ハシモト　ナオ</t>
  </si>
  <si>
    <t>ハダノ　ユウキ</t>
  </si>
  <si>
    <t>ハナミヤ　レン</t>
  </si>
  <si>
    <t>ハマウラ　ショウ</t>
  </si>
  <si>
    <t>ハヤミ　ユウキ</t>
  </si>
  <si>
    <t>ハラダ　オウヤ</t>
  </si>
  <si>
    <t>ハラダ　コウスケ</t>
  </si>
  <si>
    <t>ハラダ　コウダイ</t>
  </si>
  <si>
    <t>ババ　ユウシロウ</t>
  </si>
  <si>
    <t>ヒウラ　ケイシ</t>
  </si>
  <si>
    <t>ヒガシ　ケンショウ</t>
  </si>
  <si>
    <t>ヒガシ　ミヅキ</t>
  </si>
  <si>
    <t>ヒガシ　ユウヘイ</t>
  </si>
  <si>
    <t>ヒグチ　ハル</t>
  </si>
  <si>
    <t>ヒグチ　ムツキ</t>
  </si>
  <si>
    <t>ヒダカ　セイヤ</t>
  </si>
  <si>
    <t>ヒノ　カイト</t>
  </si>
  <si>
    <t>ヒノ　テンショウ</t>
  </si>
  <si>
    <t>ヒノ　ナオト</t>
  </si>
  <si>
    <t>ヒメノ　コウジ</t>
  </si>
  <si>
    <t>ヒラカワ　カイト</t>
  </si>
  <si>
    <t>ヒラカワ　カンタ</t>
  </si>
  <si>
    <t>ヒラカワ　ユウイ</t>
  </si>
  <si>
    <t>ヒラジマ　ナオヤ</t>
  </si>
  <si>
    <t>ヒラヤマ　リュウ</t>
  </si>
  <si>
    <t>ヒロカワ　ケイタ</t>
  </si>
  <si>
    <t>ヒロタ　トモナリ</t>
  </si>
  <si>
    <t>ヒロト　ダイキ</t>
  </si>
  <si>
    <t>フカタ　コウタ</t>
  </si>
  <si>
    <t>フクナガ　ガクト</t>
  </si>
  <si>
    <t>フジイ　トシユキ</t>
  </si>
  <si>
    <t>フジイ　トモヤ</t>
  </si>
  <si>
    <t>フジタ　ジュンヤ</t>
  </si>
  <si>
    <t>フジト　エイタ</t>
  </si>
  <si>
    <t>フジモト　タカヒロ</t>
  </si>
  <si>
    <t>フジワラ　コウセイ</t>
  </si>
  <si>
    <t>フジワラ　ナツキ</t>
  </si>
  <si>
    <t>フチノ　ヒナタ</t>
  </si>
  <si>
    <t>フユタ　ユウスケ</t>
  </si>
  <si>
    <t>フルカワ　シドウ</t>
  </si>
  <si>
    <t>ブンドウ　リュウジ</t>
  </si>
  <si>
    <t>ホアシ　ヒナタ</t>
  </si>
  <si>
    <t>ホウス　サワ</t>
  </si>
  <si>
    <t>ホカゾノ　ソウタ</t>
  </si>
  <si>
    <t>ホカゾノ　リョウ</t>
  </si>
  <si>
    <t>ホヅキ　シンジ</t>
  </si>
  <si>
    <t>ホリタ　アキト</t>
  </si>
  <si>
    <t>ホリタ　シオン</t>
  </si>
  <si>
    <t>ホリタ　ヒメカ</t>
  </si>
  <si>
    <t>ホンダ　タイセイ</t>
  </si>
  <si>
    <t>ホンダ　ミツノブ</t>
  </si>
  <si>
    <t>ホンダ　ユウスケ</t>
  </si>
  <si>
    <t>マキ　ソウタ</t>
  </si>
  <si>
    <t>マスダ　カズマ</t>
  </si>
  <si>
    <t>マスダ　カンチ</t>
  </si>
  <si>
    <t>マスムラ　ユウト</t>
  </si>
  <si>
    <t>マツイ　ユウト</t>
  </si>
  <si>
    <t>マツオ　サイキ</t>
  </si>
  <si>
    <t>マツオカ　ユウタ</t>
  </si>
  <si>
    <t>マツキ　ユウビ</t>
  </si>
  <si>
    <t>マツシタ　ジュンヤ</t>
  </si>
  <si>
    <t>マツシタ　ミクト</t>
  </si>
  <si>
    <t>マツシタ　ユウヤ</t>
  </si>
  <si>
    <t>マツゾエ　ダイキ</t>
  </si>
  <si>
    <t>マツドウ　コウ</t>
  </si>
  <si>
    <t>マツナガ　コウタ</t>
  </si>
  <si>
    <t>マツバラ　ヒトシ</t>
  </si>
  <si>
    <t>マナベ　エイシ</t>
  </si>
  <si>
    <t>ミウラ　ガクト</t>
  </si>
  <si>
    <t>ミウラ　ソウ</t>
  </si>
  <si>
    <t>ミウラ　ユウマ</t>
  </si>
  <si>
    <t>ミシロ　ヨシヒコ</t>
  </si>
  <si>
    <t>ミズモト　ジュンペイ</t>
  </si>
  <si>
    <t>ミヤノ　コウキ</t>
  </si>
  <si>
    <t>ミヤモト　クウヤ</t>
  </si>
  <si>
    <t>ミヤモト　ナギ</t>
  </si>
  <si>
    <t>ミヤモト　ノリヒロ</t>
  </si>
  <si>
    <t>ミヤモト　ヒナタ</t>
  </si>
  <si>
    <t>ムタ　フウタ</t>
  </si>
  <si>
    <t>ムラカミ　タイキ</t>
  </si>
  <si>
    <t>ムロタニ　ユウシン</t>
  </si>
  <si>
    <t>モトムロ　タクト</t>
  </si>
  <si>
    <t>モリ　シュント</t>
  </si>
  <si>
    <t>モリモト　ヨシアキ</t>
  </si>
  <si>
    <t>ヤスナガ　エイト</t>
  </si>
  <si>
    <t>ヤナイ　ヒデト</t>
  </si>
  <si>
    <t>ヤナギモト　カエデ</t>
  </si>
  <si>
    <t>ヤノ　アキヤ</t>
  </si>
  <si>
    <t>ヤノ　ソウジュン</t>
  </si>
  <si>
    <t>ヤノ　レンシ</t>
  </si>
  <si>
    <t>ヤハタ　ヒロム</t>
  </si>
  <si>
    <t>ヤマギシ　ヒデアキ</t>
  </si>
  <si>
    <t>ヤマサキ　カイ</t>
  </si>
  <si>
    <t>ヤマサキ　セオ</t>
  </si>
  <si>
    <t>ヤマシタ　カズヒロ</t>
  </si>
  <si>
    <t>ヤマシタ　タイヨウ</t>
  </si>
  <si>
    <t>ヤマナカ　エイショウ</t>
  </si>
  <si>
    <t>ヤマモト　カンタ</t>
  </si>
  <si>
    <t>ヤマモト　ショウリ</t>
  </si>
  <si>
    <t>ヤマモト　テルヒコ</t>
  </si>
  <si>
    <t>ヤマモト　ユウト</t>
  </si>
  <si>
    <t>ユキ　ダイキ</t>
  </si>
  <si>
    <t>ユキシゲ　ライト</t>
  </si>
  <si>
    <t>ヨコイ　キラ</t>
  </si>
  <si>
    <t>ヨコエ　コウヨウ</t>
  </si>
  <si>
    <t>ヨコタ　ケイ</t>
  </si>
  <si>
    <t>ヨシオカ　ユウト</t>
  </si>
  <si>
    <t>ヨシタケ　トウリ</t>
  </si>
  <si>
    <t>ヨシダ　ビャクヤ</t>
  </si>
  <si>
    <t>ヨシナガ　ケンタロウ</t>
  </si>
  <si>
    <t>ヨシノ　カアト</t>
  </si>
  <si>
    <t>ヨシノ　ガリュウ</t>
  </si>
  <si>
    <t>ヨシヒロ　ルイ</t>
  </si>
  <si>
    <t>ヨシミズ　ハルト</t>
  </si>
  <si>
    <t>ヨシムラ　シンゴ</t>
  </si>
  <si>
    <t>ヨダ　ユウセイ</t>
  </si>
  <si>
    <t>ヨネクラ　ヨシヒロ</t>
  </si>
  <si>
    <t>ヨネムラ　ヒロト</t>
  </si>
  <si>
    <t>ワクイ　コウダイ</t>
  </si>
  <si>
    <t>ワタナベ　シュンスケ</t>
  </si>
  <si>
    <t>ワタナベ　ショウコ</t>
  </si>
  <si>
    <t>ワタナベ　チヒロ</t>
  </si>
  <si>
    <t>ワダ　ヒロキ</t>
  </si>
  <si>
    <t>ワダ　ミチノシン</t>
  </si>
  <si>
    <t>佐々木　秀樹</t>
    <rPh sb="0" eb="3">
      <t>ササキ</t>
    </rPh>
    <rPh sb="4" eb="6">
      <t>ヒデキ</t>
    </rPh>
    <phoneticPr fontId="4"/>
  </si>
  <si>
    <t>河野　千恵子</t>
    <rPh sb="0" eb="2">
      <t>コウノ</t>
    </rPh>
    <rPh sb="3" eb="6">
      <t>チエコ</t>
    </rPh>
    <phoneticPr fontId="3"/>
  </si>
  <si>
    <t>岡部　司</t>
    <rPh sb="0" eb="2">
      <t>オカベ</t>
    </rPh>
    <rPh sb="3" eb="4">
      <t>ツカサ</t>
    </rPh>
    <phoneticPr fontId="3"/>
  </si>
  <si>
    <t>諌本　秀樹</t>
    <rPh sb="0" eb="2">
      <t>イサモト</t>
    </rPh>
    <rPh sb="3" eb="5">
      <t>ヒデキ</t>
    </rPh>
    <phoneticPr fontId="2"/>
  </si>
  <si>
    <t>安東　信二</t>
    <rPh sb="0" eb="2">
      <t>アンドウ</t>
    </rPh>
    <rPh sb="3" eb="5">
      <t>シンジ</t>
    </rPh>
    <phoneticPr fontId="3"/>
  </si>
  <si>
    <t xml:space="preserve">8:00
</t>
    <phoneticPr fontId="5"/>
  </si>
  <si>
    <r>
      <rPr>
        <sz val="10"/>
        <color rgb="FFFF0000"/>
        <rFont val="ＭＳ Ｐゴシック"/>
        <family val="3"/>
        <charset val="128"/>
      </rPr>
      <t>第12回</t>
    </r>
    <r>
      <rPr>
        <sz val="10"/>
        <rFont val="ＭＳ Ｐゴシック"/>
        <family val="3"/>
        <charset val="128"/>
      </rPr>
      <t xml:space="preserve"> 全日本不動産協会杯争奪U-12サッカー大会【ラビットカップ】大分県大会</t>
    </r>
    <phoneticPr fontId="64"/>
  </si>
  <si>
    <t>県協会人工芝</t>
    <rPh sb="0" eb="3">
      <t>ケンキョウカイ</t>
    </rPh>
    <rPh sb="3" eb="6">
      <t>ジンコウシバ</t>
    </rPh>
    <phoneticPr fontId="5"/>
  </si>
  <si>
    <t>2023年(令和5年) 7月1日(土)・7月2日(日)</t>
    <phoneticPr fontId="64"/>
  </si>
  <si>
    <t>大分スポーツ公園　レゾナック サッカー・ラグビー場　Bコート</t>
    <phoneticPr fontId="5"/>
  </si>
  <si>
    <t>大分県サッカー協会人工芝グラウンド</t>
  </si>
  <si>
    <t>大分スポーツ公園　レゾナック サッカー・ラグビー場　Bコート
大分県サッカー協会人工芝グラウンド</t>
    <rPh sb="0" eb="2">
      <t>オオイタ</t>
    </rPh>
    <rPh sb="6" eb="8">
      <t>コウエン</t>
    </rPh>
    <rPh sb="24" eb="25">
      <t>ジョウ</t>
    </rPh>
    <rPh sb="31" eb="33">
      <t>オオイタ</t>
    </rPh>
    <rPh sb="33" eb="34">
      <t>ケン</t>
    </rPh>
    <rPh sb="38" eb="40">
      <t>キョウカイ</t>
    </rPh>
    <rPh sb="40" eb="42">
      <t>ジンコウ</t>
    </rPh>
    <rPh sb="42" eb="43">
      <t>シバ</t>
    </rPh>
    <phoneticPr fontId="64"/>
  </si>
  <si>
    <r>
      <rPr>
        <sz val="10"/>
        <color rgb="FFFF0000"/>
        <rFont val="ＭＳ Ｐゴシック"/>
        <family val="3"/>
        <charset val="128"/>
      </rPr>
      <t>2023年(令和5年)</t>
    </r>
    <r>
      <rPr>
        <sz val="10"/>
        <rFont val="ＭＳ Ｐゴシック"/>
        <family val="3"/>
        <charset val="128"/>
      </rPr>
      <t>度大分県サッカー協会に加盟登録された各地区代表チームであること。</t>
    </r>
    <phoneticPr fontId="5"/>
  </si>
  <si>
    <r>
      <t>試合規則は、「</t>
    </r>
    <r>
      <rPr>
        <sz val="10"/>
        <color rgb="FFFF0000"/>
        <rFont val="ＭＳ Ｐゴシック"/>
        <family val="3"/>
        <charset val="128"/>
      </rPr>
      <t>2022/23</t>
    </r>
    <r>
      <rPr>
        <sz val="10"/>
        <rFont val="ＭＳ Ｐゴシック"/>
        <family val="3"/>
        <charset val="128"/>
      </rPr>
      <t>(公財)日本サッカー協会競技規則」及び「8人制サッカー競技規則」に準じる。
また、本大会の競技等に関し必要な事項は、以下のとおりとする。</t>
    </r>
    <rPh sb="47" eb="48">
      <t>ジュン</t>
    </rPh>
    <phoneticPr fontId="64"/>
  </si>
  <si>
    <r>
      <t xml:space="preserve"> KICK OFF(JFA ID)の大会(大会への参加申込)より申込願います(地区大会兼用)。
</t>
    </r>
    <r>
      <rPr>
        <sz val="10"/>
        <color rgb="FFFF0000"/>
        <rFont val="ＭＳ Ｐゴシック"/>
        <family val="3"/>
        <charset val="128"/>
      </rPr>
      <t>締め切り：4/26(水) 21:00  までに申込完了のこと。以降の変更は認めない。</t>
    </r>
    <r>
      <rPr>
        <sz val="10"/>
        <rFont val="ＭＳ Ｐゴシック"/>
        <family val="3"/>
        <charset val="128"/>
      </rPr>
      <t xml:space="preserve">
</t>
    </r>
    <r>
      <rPr>
        <b/>
        <sz val="10"/>
        <color rgb="FFFF0000"/>
        <rFont val="ＭＳ Ｐゴシック"/>
        <family val="3"/>
        <charset val="128"/>
      </rPr>
      <t>※県大会出場チームについては、6月21日(水)21:00まで変更を認める。</t>
    </r>
    <rPh sb="48" eb="49">
      <t>シ</t>
    </rPh>
    <rPh sb="50" eb="51">
      <t>キ</t>
    </rPh>
    <rPh sb="58" eb="59">
      <t>スイ</t>
    </rPh>
    <phoneticPr fontId="64"/>
  </si>
  <si>
    <t>11，000円</t>
    <phoneticPr fontId="64"/>
  </si>
  <si>
    <r>
      <t>※県大会の参加費振り込み期限は</t>
    </r>
    <r>
      <rPr>
        <sz val="10"/>
        <color rgb="FFFF0000"/>
        <rFont val="ＭＳ Ｐゴシック"/>
        <family val="3"/>
        <charset val="128"/>
      </rPr>
      <t>6/21(水)15:00</t>
    </r>
    <r>
      <rPr>
        <sz val="10"/>
        <rFont val="ＭＳ Ｐゴシック"/>
        <family val="3"/>
        <charset val="128"/>
      </rPr>
      <t>までとする</t>
    </r>
    <rPh sb="1" eb="2">
      <t>ケン</t>
    </rPh>
    <rPh sb="2" eb="4">
      <t>タイカイ</t>
    </rPh>
    <rPh sb="20" eb="21">
      <t>スイ</t>
    </rPh>
    <phoneticPr fontId="64"/>
  </si>
  <si>
    <r>
      <t>同じ選手が、違うチームで登録及び出場はできない。
移籍選手含め、</t>
    </r>
    <r>
      <rPr>
        <sz val="10"/>
        <color rgb="FFFF0000"/>
        <rFont val="ＭＳ Ｐゴシック"/>
        <family val="3"/>
        <charset val="128"/>
      </rPr>
      <t>4月26日</t>
    </r>
    <r>
      <rPr>
        <sz val="10"/>
        <rFont val="ＭＳ Ｐゴシック"/>
        <family val="3"/>
        <charset val="128"/>
      </rPr>
      <t>までに選手登録及び移籍手続きが完了し、WEBエントリー申請ができることとする。
加えて、年間を通じて同じチームで活動するチームであることとする。</t>
    </r>
    <rPh sb="29" eb="30">
      <t>フク</t>
    </rPh>
    <rPh sb="40" eb="42">
      <t>センシュ</t>
    </rPh>
    <rPh sb="42" eb="44">
      <t>トウロク</t>
    </rPh>
    <rPh sb="44" eb="45">
      <t>オヨ</t>
    </rPh>
    <phoneticPr fontId="64"/>
  </si>
  <si>
    <t>２０２３年（令和５年）７月１日（土）・７月２日(日）</t>
    <rPh sb="6" eb="8">
      <t>レイワ</t>
    </rPh>
    <rPh sb="9" eb="10">
      <t>ネン</t>
    </rPh>
    <rPh sb="16" eb="17">
      <t>ド</t>
    </rPh>
    <phoneticPr fontId="5"/>
  </si>
  <si>
    <t xml:space="preserve">グラウンド設営
</t>
    <rPh sb="5" eb="7">
      <t>セツエイ</t>
    </rPh>
    <phoneticPr fontId="5"/>
  </si>
  <si>
    <t>レゾナック サッカー・ラグビー場　Bコート</t>
  </si>
  <si>
    <t>レゾナック サッカー・ラグビー場　Bコート</t>
    <phoneticPr fontId="5"/>
  </si>
  <si>
    <t>レゾナック サッカー・ラグビー場　Aコート</t>
    <phoneticPr fontId="5"/>
  </si>
  <si>
    <t>　予選リーグ会場：大分スポーツ公園　レゾナック サッカー・ラグビー場　Bコート【A】【B】
　　　　　　　　　大分県サッカー協会人工芝グラウンド【A】【B】</t>
    <rPh sb="1" eb="3">
      <t>ヨセン</t>
    </rPh>
    <rPh sb="6" eb="8">
      <t>カイジョウ</t>
    </rPh>
    <phoneticPr fontId="5"/>
  </si>
  <si>
    <t>　決勝トーナメント会場：大分スポーツ公園　レゾナック サッカー・ラグビー場　Bコート【A】【B】</t>
    <rPh sb="1" eb="3">
      <t>ケッショウ</t>
    </rPh>
    <phoneticPr fontId="5"/>
  </si>
  <si>
    <t>７月１日（土）</t>
    <rPh sb="1" eb="2">
      <t>ガツ</t>
    </rPh>
    <rPh sb="3" eb="4">
      <t>ニチ</t>
    </rPh>
    <rPh sb="5" eb="6">
      <t>ド</t>
    </rPh>
    <phoneticPr fontId="5"/>
  </si>
  <si>
    <t>７月２日（日）</t>
    <rPh sb="1" eb="2">
      <t>ガツ</t>
    </rPh>
    <rPh sb="3" eb="4">
      <t>ニチ</t>
    </rPh>
    <rPh sb="5" eb="6">
      <t>ニチ</t>
    </rPh>
    <phoneticPr fontId="5"/>
  </si>
  <si>
    <t>第12回
全日本不動産協会杯争奪U-12サッカー大会
【ラビットカップ】大分県大会</t>
    <rPh sb="0" eb="1">
      <t>ダイ</t>
    </rPh>
    <rPh sb="3" eb="4">
      <t>カイ</t>
    </rPh>
    <rPh sb="5" eb="8">
      <t>ゼンニホン</t>
    </rPh>
    <rPh sb="8" eb="11">
      <t>フドウサン</t>
    </rPh>
    <rPh sb="11" eb="13">
      <t>キョウカイ</t>
    </rPh>
    <rPh sb="13" eb="14">
      <t>ハイ</t>
    </rPh>
    <rPh sb="14" eb="16">
      <t>ソウダツ</t>
    </rPh>
    <rPh sb="24" eb="26">
      <t>タイカイ</t>
    </rPh>
    <rPh sb="36" eb="39">
      <t>オオイタケン</t>
    </rPh>
    <rPh sb="39" eb="41">
      <t>タイカイ</t>
    </rPh>
    <phoneticPr fontId="5"/>
  </si>
  <si>
    <t>大分スポーツ公園
レゾナック サッカー・ラグビー場
Bコート【B】</t>
    <rPh sb="0" eb="2">
      <t>オオイタ</t>
    </rPh>
    <rPh sb="6" eb="8">
      <t>コウエン</t>
    </rPh>
    <rPh sb="24" eb="25">
      <t>ジョウ</t>
    </rPh>
    <phoneticPr fontId="5"/>
  </si>
  <si>
    <t>2023年　7月2日（日）</t>
    <rPh sb="11" eb="12">
      <t>ニチ</t>
    </rPh>
    <phoneticPr fontId="5"/>
  </si>
  <si>
    <t>大会参加料について、初日から開催出来ない場合は返金を行う。</t>
    <phoneticPr fontId="5"/>
  </si>
  <si>
    <t>大会途中の場合は、試合実施の有無に関わらず返金は行わない。</t>
    <phoneticPr fontId="5"/>
  </si>
  <si>
    <t>⑭</t>
    <phoneticPr fontId="5"/>
  </si>
  <si>
    <t>寒田．敷戸ＦＣ</t>
  </si>
  <si>
    <t>ティエラフットボールクラブＵ－１２</t>
  </si>
  <si>
    <t>スマイス　セレソン　スポーツクラブＡ</t>
  </si>
  <si>
    <t>〇</t>
  </si>
  <si>
    <t>〇</t>
    <phoneticPr fontId="5"/>
  </si>
  <si>
    <t>ティエラ</t>
    <phoneticPr fontId="5"/>
  </si>
  <si>
    <t>鶴居</t>
    <phoneticPr fontId="5"/>
  </si>
  <si>
    <t>和田</t>
    <phoneticPr fontId="5"/>
  </si>
  <si>
    <t>きつき</t>
    <phoneticPr fontId="5"/>
  </si>
  <si>
    <t>国東</t>
    <phoneticPr fontId="5"/>
  </si>
  <si>
    <t>ミネルバ</t>
    <phoneticPr fontId="5"/>
  </si>
  <si>
    <t>玖珠</t>
    <phoneticPr fontId="5"/>
  </si>
  <si>
    <t>太陽大分西</t>
    <phoneticPr fontId="5"/>
  </si>
  <si>
    <t>ＷＡＹＳ</t>
    <phoneticPr fontId="5"/>
  </si>
  <si>
    <t>鶴見少年</t>
    <phoneticPr fontId="5"/>
  </si>
  <si>
    <t>竹田直入</t>
    <phoneticPr fontId="5"/>
  </si>
  <si>
    <t>臼杵</t>
    <phoneticPr fontId="5"/>
  </si>
  <si>
    <t>スマイス　スポーツＡ</t>
    <phoneticPr fontId="5"/>
  </si>
  <si>
    <t>ＫＩＮＧＳ</t>
    <phoneticPr fontId="5"/>
  </si>
  <si>
    <t>金池長浜</t>
    <phoneticPr fontId="5"/>
  </si>
  <si>
    <t>西の台</t>
    <phoneticPr fontId="5"/>
  </si>
  <si>
    <t>リノス</t>
    <phoneticPr fontId="5"/>
  </si>
  <si>
    <t>明野東</t>
    <phoneticPr fontId="5"/>
  </si>
  <si>
    <t>寒田．敷戸</t>
    <phoneticPr fontId="5"/>
  </si>
  <si>
    <t>明治</t>
    <phoneticPr fontId="5"/>
  </si>
  <si>
    <t>ドリームキッズ</t>
    <phoneticPr fontId="5"/>
  </si>
  <si>
    <t>ブルーウイング</t>
    <phoneticPr fontId="5"/>
  </si>
  <si>
    <t>カティオーラＵ－１２</t>
    <phoneticPr fontId="5"/>
  </si>
  <si>
    <t>E1</t>
    <phoneticPr fontId="5"/>
  </si>
  <si>
    <t>C1</t>
    <phoneticPr fontId="5"/>
  </si>
  <si>
    <t>A3</t>
    <phoneticPr fontId="5"/>
  </si>
  <si>
    <t>F1</t>
    <phoneticPr fontId="5"/>
  </si>
  <si>
    <t>H3</t>
    <phoneticPr fontId="5"/>
  </si>
  <si>
    <t>A1</t>
    <phoneticPr fontId="5"/>
  </si>
  <si>
    <t>E3</t>
    <phoneticPr fontId="5"/>
  </si>
  <si>
    <t>B1</t>
    <phoneticPr fontId="5"/>
  </si>
  <si>
    <t>G1</t>
    <phoneticPr fontId="5"/>
  </si>
  <si>
    <t>B3</t>
    <phoneticPr fontId="5"/>
  </si>
  <si>
    <t>D3</t>
    <phoneticPr fontId="5"/>
  </si>
  <si>
    <t>D1</t>
    <phoneticPr fontId="5"/>
  </si>
  <si>
    <t>G3</t>
    <phoneticPr fontId="5"/>
  </si>
  <si>
    <t>F3</t>
    <phoneticPr fontId="5"/>
  </si>
  <si>
    <t>H2</t>
    <phoneticPr fontId="5"/>
  </si>
  <si>
    <t>C2</t>
    <phoneticPr fontId="5"/>
  </si>
  <si>
    <t>D2</t>
    <phoneticPr fontId="5"/>
  </si>
  <si>
    <t>F2</t>
    <phoneticPr fontId="5"/>
  </si>
  <si>
    <t>A2</t>
    <phoneticPr fontId="5"/>
  </si>
  <si>
    <t>B2</t>
    <phoneticPr fontId="5"/>
  </si>
  <si>
    <t>H1</t>
    <phoneticPr fontId="5"/>
  </si>
  <si>
    <t>G2</t>
    <phoneticPr fontId="5"/>
  </si>
  <si>
    <t>C3</t>
    <phoneticPr fontId="5"/>
  </si>
  <si>
    <t>E2</t>
    <phoneticPr fontId="5"/>
  </si>
  <si>
    <t>日時:大会事務局にて組合せを決定する。</t>
    <rPh sb="3" eb="5">
      <t>タイカイ</t>
    </rPh>
    <rPh sb="5" eb="8">
      <t>ジムキョク</t>
    </rPh>
    <phoneticPr fontId="5"/>
  </si>
  <si>
    <t>コロナウイルス感染防止のため、各自で感染防止の徹底をお願いします。</t>
    <rPh sb="15" eb="17">
      <t>カクジ</t>
    </rPh>
    <rPh sb="18" eb="22">
      <t>カンセンボウシ</t>
    </rPh>
    <rPh sb="23" eb="25">
      <t>テッテイ</t>
    </rPh>
    <rPh sb="27" eb="28">
      <t>ネガ</t>
    </rPh>
    <phoneticPr fontId="5"/>
  </si>
  <si>
    <t>リノス</t>
    <phoneticPr fontId="5"/>
  </si>
  <si>
    <t>カティ</t>
    <phoneticPr fontId="5"/>
  </si>
  <si>
    <t>KINGS</t>
    <phoneticPr fontId="5"/>
  </si>
  <si>
    <t>明野東</t>
  </si>
  <si>
    <t>金池長浜</t>
  </si>
  <si>
    <t>ドリキ</t>
    <phoneticPr fontId="5"/>
  </si>
  <si>
    <t>ブルー</t>
    <phoneticPr fontId="5"/>
  </si>
  <si>
    <t>明治</t>
    <phoneticPr fontId="5"/>
  </si>
  <si>
    <t>西の台</t>
    <rPh sb="0" eb="1">
      <t>ニシ</t>
    </rPh>
    <rPh sb="2" eb="3">
      <t>ダイ</t>
    </rPh>
    <phoneticPr fontId="5"/>
  </si>
  <si>
    <t>寒田．敷戸</t>
  </si>
  <si>
    <t>スマスポ</t>
  </si>
  <si>
    <t>決勝トーナメントは３０分とし、ハーフタイムのインターバル（前半終了から後半開始まで）は原則
として５分とする。規定の競技時間内に勝敗の決しない場合、3人制のPK方式にて勝敗を決定する。
但し、決勝戦のみ１０分の延長戦を行い、それでも勝敗が決しない場合３人制のPK戦を行う。
＊インターバル＝延長戦に入る前：3分、ペナルティーキック方式に入る前：3分</t>
    <rPh sb="0" eb="2">
      <t>ケッショウ</t>
    </rPh>
    <rPh sb="93" eb="94">
      <t>タダ</t>
    </rPh>
    <phoneticPr fontId="5"/>
  </si>
  <si>
    <t>大分銀行　南支店　普通　7537028　※振込は必ずチーム名で行う　</t>
    <phoneticPr fontId="64"/>
  </si>
  <si>
    <t>安達　由維</t>
  </si>
  <si>
    <t>アダチ　ユイ</t>
  </si>
  <si>
    <t>本多　太惺</t>
  </si>
  <si>
    <t>内海　輝月</t>
  </si>
  <si>
    <t>ウツミ　ヒマル</t>
  </si>
  <si>
    <t>渡邉　弥々</t>
  </si>
  <si>
    <t>ワタナベ　ヤヤ</t>
  </si>
  <si>
    <t>千原　颯天</t>
  </si>
  <si>
    <t>チハラ　ハヤテ</t>
  </si>
  <si>
    <t>阿南　綾祐</t>
  </si>
  <si>
    <t>アナン　リョウスケ</t>
  </si>
  <si>
    <t>宮崎　大珠</t>
  </si>
  <si>
    <t>ミヤザキ　タイジュ</t>
  </si>
  <si>
    <t>堀江　優志</t>
  </si>
  <si>
    <t>ホリエ　ユウシ</t>
  </si>
  <si>
    <t>渡邉　聡典</t>
  </si>
  <si>
    <t>ワタナベ　ソウスケ</t>
  </si>
  <si>
    <t>阿南　颯磨</t>
  </si>
  <si>
    <t>アナン　ソウマ</t>
  </si>
  <si>
    <t>吉谷　海翔</t>
  </si>
  <si>
    <t>ヨシタニ　カイト</t>
  </si>
  <si>
    <t>井上　大馳</t>
  </si>
  <si>
    <t>イノウエ　タイチ</t>
  </si>
  <si>
    <t>立川　佑奈</t>
  </si>
  <si>
    <t>タツカワ　ユナ</t>
  </si>
  <si>
    <t>女子一般</t>
  </si>
  <si>
    <t>咸宜ＳＣ</t>
  </si>
  <si>
    <t>松場　優斗</t>
  </si>
  <si>
    <t>マツバ　ユウト</t>
  </si>
  <si>
    <t>三笘　叶華</t>
  </si>
  <si>
    <t>ミトマ　カノカ</t>
  </si>
  <si>
    <t>幸　龍弥</t>
  </si>
  <si>
    <t>ユキ　タツヤ</t>
  </si>
  <si>
    <t>原田　修成</t>
  </si>
  <si>
    <t>ハラダ　シュウセイ</t>
  </si>
  <si>
    <t>三苫　弥咲</t>
  </si>
  <si>
    <t>ミトマ　ミサキ</t>
  </si>
  <si>
    <t>松尾　俊輝</t>
  </si>
  <si>
    <t>マツオ　トシキ</t>
  </si>
  <si>
    <t>椎原　佑太</t>
  </si>
  <si>
    <t>河津　杏瑠</t>
  </si>
  <si>
    <t>カワヅ　アンル</t>
  </si>
  <si>
    <t>太郎良　遥翔</t>
  </si>
  <si>
    <t>タロウラ　ハルト</t>
  </si>
  <si>
    <t>松岡　瑞季</t>
  </si>
  <si>
    <t>マツオカ　ミズキ</t>
  </si>
  <si>
    <t>太田　悠仁</t>
  </si>
  <si>
    <t>平川　要</t>
  </si>
  <si>
    <t>ヒラカワ　カナメ</t>
  </si>
  <si>
    <t>山井　大成</t>
  </si>
  <si>
    <t>ヤマイ　タイセイ</t>
  </si>
  <si>
    <t>髙橋　旺太郎</t>
  </si>
  <si>
    <t>タカハシ　オウタロウ</t>
  </si>
  <si>
    <t>友松　蒼士</t>
  </si>
  <si>
    <t>トモマツ　アオシ</t>
  </si>
  <si>
    <t>梶原　志煌</t>
  </si>
  <si>
    <t>カジワラ　シオン</t>
  </si>
  <si>
    <t>江口　蒼佑</t>
  </si>
  <si>
    <t>エグチ　ソウスケ</t>
  </si>
  <si>
    <t>高野　羽琉</t>
  </si>
  <si>
    <t>タカノ　ハル</t>
  </si>
  <si>
    <t>榊原　佑心</t>
  </si>
  <si>
    <t>サカキバラ　ユウシン</t>
  </si>
  <si>
    <t>吉田　祭人</t>
  </si>
  <si>
    <t>ヨシダ　マイト</t>
  </si>
  <si>
    <t>岩男　夢大</t>
  </si>
  <si>
    <t>イワオ　ユメト</t>
  </si>
  <si>
    <t>田口　恭平</t>
  </si>
  <si>
    <t>タグチ　キョウヘイ</t>
  </si>
  <si>
    <t>山田　龍空</t>
  </si>
  <si>
    <t>ヤマダ　リュウク</t>
  </si>
  <si>
    <t>池永　千俐</t>
  </si>
  <si>
    <t>イケナガ　センリ</t>
  </si>
  <si>
    <t>和田　大里</t>
  </si>
  <si>
    <t>ワダ　ダイリ</t>
  </si>
  <si>
    <t>田村　優真</t>
  </si>
  <si>
    <t>タムラ　ユウマ</t>
  </si>
  <si>
    <t>幡手　蓮</t>
  </si>
  <si>
    <t>ハタデ　レン</t>
  </si>
  <si>
    <t>高畑　敦仁</t>
  </si>
  <si>
    <t>タカハタ　アツヒト</t>
  </si>
  <si>
    <t>権藤　羽菜</t>
  </si>
  <si>
    <t>ゴンドウ　ハナ</t>
  </si>
  <si>
    <t>蓮輪　蒼真</t>
  </si>
  <si>
    <t>ハスワ　ソウマ</t>
  </si>
  <si>
    <t>樋田　結都</t>
  </si>
  <si>
    <t>ヒダ　ユイト</t>
  </si>
  <si>
    <t>東　心音</t>
  </si>
  <si>
    <t>ヒガシ　ミオト</t>
  </si>
  <si>
    <t>三村　真史</t>
  </si>
  <si>
    <t>ミムラ　ナオフミ</t>
  </si>
  <si>
    <t>高橋　陸</t>
  </si>
  <si>
    <t>タカハシ　リク</t>
  </si>
  <si>
    <t>竹島　琉生</t>
  </si>
  <si>
    <t>タケシマ　ルイ</t>
  </si>
  <si>
    <t>高橋　なな子</t>
  </si>
  <si>
    <t>タカハシ　ナナコ</t>
  </si>
  <si>
    <t>徳永　晴菜</t>
  </si>
  <si>
    <t>トクナガ　ハルナ</t>
  </si>
  <si>
    <t>羽賀　遼太郎</t>
  </si>
  <si>
    <t>ハガ　リョウタロウ</t>
  </si>
  <si>
    <t>西園　優翔</t>
  </si>
  <si>
    <t>ニシゾノ　ユウト</t>
  </si>
  <si>
    <t>宮谷　俊輔</t>
  </si>
  <si>
    <t>ミヤタニ　シュンスケ</t>
  </si>
  <si>
    <t>佐加良　颯真</t>
  </si>
  <si>
    <t>サガラ　ソウマ</t>
  </si>
  <si>
    <t>蘆刈　結人</t>
  </si>
  <si>
    <t>アシカリ　ユイト</t>
  </si>
  <si>
    <t>合原　秀馬</t>
  </si>
  <si>
    <t>ゴウバラ　シュウマ</t>
  </si>
  <si>
    <t>量山　慶宗</t>
  </si>
  <si>
    <t>リョウザン　ヨシムネ</t>
  </si>
  <si>
    <t>荒巻　央琥</t>
  </si>
  <si>
    <t>アラマキ　オウガ</t>
  </si>
  <si>
    <t>岡　奏太</t>
  </si>
  <si>
    <t>オカ　ソウタ</t>
  </si>
  <si>
    <t>下田　萌乃果</t>
  </si>
  <si>
    <t>シモダ　ホノカ</t>
  </si>
  <si>
    <t>中野　洸希</t>
  </si>
  <si>
    <t>ナカノ　コオキ</t>
  </si>
  <si>
    <t>酒井　脩翔</t>
  </si>
  <si>
    <t>サカイ　シュウト</t>
  </si>
  <si>
    <t>永尾　凜世</t>
  </si>
  <si>
    <t>ナガオ　リンジェ</t>
  </si>
  <si>
    <t>川野　葵翔</t>
  </si>
  <si>
    <t>カワノ　アオト</t>
  </si>
  <si>
    <t>後藤　大陽</t>
  </si>
  <si>
    <t>ゴトウ　タイヨウ</t>
  </si>
  <si>
    <t>三浦　颯真</t>
  </si>
  <si>
    <t>ミウラ　ソウマ</t>
  </si>
  <si>
    <t>河野　結斗</t>
  </si>
  <si>
    <t>コウノ　ユイト</t>
  </si>
  <si>
    <t>本多　蓮雅</t>
  </si>
  <si>
    <t>ホンダ　レンマ</t>
  </si>
  <si>
    <t>阿部　結楓</t>
  </si>
  <si>
    <t>アベ　ユイカ</t>
  </si>
  <si>
    <t>今見堂　蓮人</t>
  </si>
  <si>
    <t>イマミドウ　レント</t>
  </si>
  <si>
    <t>板井　月音</t>
  </si>
  <si>
    <t>イタイ　ツキノ</t>
  </si>
  <si>
    <t>中磨　詩乃</t>
  </si>
  <si>
    <t>ナカマ　シノ</t>
  </si>
  <si>
    <t>吉田　慶知</t>
  </si>
  <si>
    <t>ヨシダ　ケイジ</t>
  </si>
  <si>
    <t>平野　亜紗妃</t>
  </si>
  <si>
    <t>ヒラノ　アサヒ</t>
  </si>
  <si>
    <t>河野　維月</t>
  </si>
  <si>
    <t>コウノ　イツキ</t>
  </si>
  <si>
    <t>宮本　成生</t>
  </si>
  <si>
    <t>ミヤモト　ナルキ</t>
  </si>
  <si>
    <t>山本　大樹</t>
  </si>
  <si>
    <t>ヤマモト　ダイキ</t>
  </si>
  <si>
    <t>園　聖心龍</t>
  </si>
  <si>
    <t>ソノ　セシル</t>
  </si>
  <si>
    <t>赤尾　虎愛</t>
  </si>
  <si>
    <t>アカオ　トア</t>
  </si>
  <si>
    <t>桑原　光希</t>
  </si>
  <si>
    <t>クワバラ　ミツキ</t>
  </si>
  <si>
    <t>小谷瀬　悠</t>
  </si>
  <si>
    <t>コヤセ　ユウ</t>
  </si>
  <si>
    <t>高橋　悠太郎</t>
  </si>
  <si>
    <t>タカハシ　ユウタロウ</t>
  </si>
  <si>
    <t>松本　蒼介</t>
  </si>
  <si>
    <t>マツモト　ソウスケ</t>
  </si>
  <si>
    <t>平川　凛空</t>
  </si>
  <si>
    <t>ヒラカワ　リク</t>
  </si>
  <si>
    <t>小川　悠斗</t>
  </si>
  <si>
    <t>オガワ　ユウト</t>
  </si>
  <si>
    <t>竹山　碧人</t>
  </si>
  <si>
    <t>タケヤマ　アオト</t>
  </si>
  <si>
    <t>松掛　蓮</t>
  </si>
  <si>
    <t>マツガキ　レン</t>
  </si>
  <si>
    <t>関屋　力生</t>
  </si>
  <si>
    <t>セキヤ　リイ</t>
  </si>
  <si>
    <t>麻生　倫太</t>
  </si>
  <si>
    <t>アソウ　ミチタ</t>
  </si>
  <si>
    <t>廣瀬　芽生</t>
  </si>
  <si>
    <t>ヒロセ　メイ</t>
  </si>
  <si>
    <t>廣瀬　健支</t>
  </si>
  <si>
    <t>ヒロセ　ケンシ</t>
  </si>
  <si>
    <t>足立　昊之輔</t>
  </si>
  <si>
    <t>アダチ　コウノスケ</t>
  </si>
  <si>
    <t>足立　京士朗</t>
  </si>
  <si>
    <t>アダチ　キョウシロウ</t>
  </si>
  <si>
    <t>十時　岳功</t>
  </si>
  <si>
    <t>トトキ　ガク</t>
  </si>
  <si>
    <t>田川　咲麗</t>
  </si>
  <si>
    <t>タガワ　エレン</t>
  </si>
  <si>
    <t>後藤　優大</t>
  </si>
  <si>
    <t>ゴトウ　ユウダイ</t>
  </si>
  <si>
    <t>足立　輝</t>
  </si>
  <si>
    <t>アダチ　ライト</t>
  </si>
  <si>
    <t>黒田　陸</t>
  </si>
  <si>
    <t>クロダ　リク</t>
  </si>
  <si>
    <t>坂田　琉仁</t>
  </si>
  <si>
    <t>サカタ　リュウト</t>
  </si>
  <si>
    <t>田原　颯冴</t>
  </si>
  <si>
    <t>タハラ　ソウゴ</t>
  </si>
  <si>
    <t>杉本　開聖</t>
  </si>
  <si>
    <t>スギモト　カイセイ</t>
  </si>
  <si>
    <t>ジョーンズ　賀生</t>
  </si>
  <si>
    <t>ジョーンズ　カイ</t>
  </si>
  <si>
    <t>能瀬　力輝斗</t>
  </si>
  <si>
    <t>ノセ　リキト</t>
  </si>
  <si>
    <t>岩谷　羽琉</t>
  </si>
  <si>
    <t>イワヤ　ハル</t>
  </si>
  <si>
    <t>田中　修斗</t>
  </si>
  <si>
    <t>東　玲來</t>
  </si>
  <si>
    <t>ヒガシ　レイナ</t>
  </si>
  <si>
    <t>山田　晴香</t>
  </si>
  <si>
    <t>ヤマダ　ハルカ</t>
  </si>
  <si>
    <t>三原　琉誠</t>
  </si>
  <si>
    <t>ミハラ　リュウセイ</t>
  </si>
  <si>
    <t>山本　拓真</t>
  </si>
  <si>
    <t>ヤマモト　タクマ</t>
  </si>
  <si>
    <t>田中　遥翔</t>
  </si>
  <si>
    <t>タナカ　ハルト</t>
  </si>
  <si>
    <t>清水　琉季士</t>
  </si>
  <si>
    <t>シミズ　ルキト</t>
  </si>
  <si>
    <t>小原　晴太</t>
  </si>
  <si>
    <t>コハラ　ハルタ</t>
  </si>
  <si>
    <t>山本　悠誠</t>
  </si>
  <si>
    <t>ヤマモト　ユウセイ</t>
  </si>
  <si>
    <t>東　蒼太</t>
  </si>
  <si>
    <t>ヒガシ　ソウタ</t>
  </si>
  <si>
    <t>鈴木　勇羅</t>
  </si>
  <si>
    <t>スズキ　ユウラ</t>
  </si>
  <si>
    <t>堤　竜之介</t>
  </si>
  <si>
    <t>ツツミ　リュウノスケ</t>
  </si>
  <si>
    <t>和間　凛翔</t>
  </si>
  <si>
    <t>ワマ　リクト</t>
  </si>
  <si>
    <t>貞許　辰巳</t>
  </si>
  <si>
    <t>サダモト　タツミ</t>
  </si>
  <si>
    <t>前田　悠翔</t>
  </si>
  <si>
    <t>マエダ　ユウト</t>
  </si>
  <si>
    <t>古間地　悠愛</t>
  </si>
  <si>
    <t>フルマジ　ユウア</t>
  </si>
  <si>
    <t>伊東　琉彩</t>
  </si>
  <si>
    <t>イトウ　リュウア</t>
  </si>
  <si>
    <t>畑辺　杏</t>
  </si>
  <si>
    <t>ハタベ　アン</t>
  </si>
  <si>
    <t>岩尾　奈瑞菜</t>
  </si>
  <si>
    <t>イワオ　ナズナ</t>
  </si>
  <si>
    <t>元木　蓮哉</t>
  </si>
  <si>
    <t>モトキ　レンヤ</t>
  </si>
  <si>
    <t>岡山　銀臣</t>
  </si>
  <si>
    <t>オカヤマ　ギンジ</t>
  </si>
  <si>
    <t>塔元　想弥</t>
  </si>
  <si>
    <t>トウモト　ソウヤ</t>
  </si>
  <si>
    <t>堀内　琥嗣</t>
  </si>
  <si>
    <t>ホリウチ　コウシ</t>
  </si>
  <si>
    <t>林　稜久</t>
  </si>
  <si>
    <t>ハヤシ　リク</t>
  </si>
  <si>
    <t>小松　未来</t>
  </si>
  <si>
    <t>コマツ　ミキ</t>
  </si>
  <si>
    <t>川野　智大</t>
  </si>
  <si>
    <t>カワノ　トモヒロ</t>
  </si>
  <si>
    <t>蔵本　蒼空</t>
  </si>
  <si>
    <t>クラモト　ソラ</t>
  </si>
  <si>
    <t>卯花　慶太</t>
  </si>
  <si>
    <t>ウノハナ　ケイト</t>
  </si>
  <si>
    <t>田中　怜旺</t>
  </si>
  <si>
    <t>タナカ　レオ</t>
  </si>
  <si>
    <t>藤丸　敦毅</t>
  </si>
  <si>
    <t>フジマル　アツキ</t>
  </si>
  <si>
    <t>植山　碧</t>
  </si>
  <si>
    <t>ウエヤマ　アオイ</t>
  </si>
  <si>
    <t>栗山　夕弦</t>
  </si>
  <si>
    <t>クリヤマ　ユヅル</t>
  </si>
  <si>
    <t>井手　奏太</t>
  </si>
  <si>
    <t>イデ　カナタ</t>
  </si>
  <si>
    <t>笹原　結愛</t>
  </si>
  <si>
    <t>ササハラ　ユア</t>
  </si>
  <si>
    <t>坂田　聡哉</t>
  </si>
  <si>
    <t>サカタ　ソウヤ</t>
  </si>
  <si>
    <t>福田　星那</t>
  </si>
  <si>
    <t>フクダ　セナ</t>
  </si>
  <si>
    <t>三枝　勇斗</t>
  </si>
  <si>
    <t>ミエダ　ユウト</t>
  </si>
  <si>
    <t>加藤　悠真</t>
  </si>
  <si>
    <t>カトウ　ユウマ</t>
  </si>
  <si>
    <t>利光　世有</t>
  </si>
  <si>
    <t>トシミツ　セア</t>
  </si>
  <si>
    <t>設楽　有哩</t>
  </si>
  <si>
    <t>シダラ　ユウリ</t>
  </si>
  <si>
    <t>阿南　結人</t>
  </si>
  <si>
    <t>アナン　ユイト</t>
  </si>
  <si>
    <t>秋月　快斗</t>
  </si>
  <si>
    <t>アキヅキ　カイト</t>
  </si>
  <si>
    <t>村上　颯真</t>
  </si>
  <si>
    <t>ムラカミ　ソウマ</t>
  </si>
  <si>
    <t>伊賀上　智竣</t>
  </si>
  <si>
    <t>イガウエ　チハヤ</t>
  </si>
  <si>
    <t>上田　真絆斗</t>
  </si>
  <si>
    <t>ウエダ　マナト</t>
  </si>
  <si>
    <t>有永　睦基</t>
  </si>
  <si>
    <t>アリナガ　ムツキ</t>
  </si>
  <si>
    <t>金野　勇人</t>
  </si>
  <si>
    <t>カネノ　ユウト</t>
  </si>
  <si>
    <t>矢石　皇惺</t>
  </si>
  <si>
    <t>ヤイシ　コウセイ</t>
  </si>
  <si>
    <t>川田　侑</t>
  </si>
  <si>
    <t>カワタ　アツム</t>
  </si>
  <si>
    <t>三浦　健太朗</t>
  </si>
  <si>
    <t>宗　孝志郎</t>
  </si>
  <si>
    <t>ソウ　コウシロウ</t>
  </si>
  <si>
    <t>武田　七生</t>
  </si>
  <si>
    <t>タケダ　ナナオ</t>
  </si>
  <si>
    <t>横山　玲志</t>
  </si>
  <si>
    <t>ヨコヤマ　レイシ</t>
  </si>
  <si>
    <t>市原　綾人</t>
  </si>
  <si>
    <t>イチハラ　リョウト</t>
  </si>
  <si>
    <t>伊東　隼汰</t>
  </si>
  <si>
    <t>イトウ　シュンタ</t>
  </si>
  <si>
    <t>小野　蕾星</t>
  </si>
  <si>
    <t>オノ　ライセイ</t>
  </si>
  <si>
    <t>小野　哲平</t>
  </si>
  <si>
    <t>オノ　テッペイ</t>
  </si>
  <si>
    <t>吉野内　歩真</t>
  </si>
  <si>
    <t>ヨシノウチ　アユマ</t>
  </si>
  <si>
    <t>ニイノ　ソウマ</t>
  </si>
  <si>
    <t>石上　智也</t>
  </si>
  <si>
    <t>イシガミ　トモヤ</t>
  </si>
  <si>
    <t>日吉　獅恩</t>
  </si>
  <si>
    <t>ヒヨシ　シオン</t>
  </si>
  <si>
    <t>上野　杏莉</t>
  </si>
  <si>
    <t>ウエノ　アンリ</t>
  </si>
  <si>
    <t>藤本　大粋</t>
  </si>
  <si>
    <t>フジモト　タイキ</t>
  </si>
  <si>
    <t>西林　昴輝</t>
  </si>
  <si>
    <t>ニシバヤシ　コウキ</t>
  </si>
  <si>
    <t>加藤　葵登</t>
  </si>
  <si>
    <t>カトウ　アオト</t>
  </si>
  <si>
    <t>和田　みなみ</t>
  </si>
  <si>
    <t>ワダ　ミナミ</t>
  </si>
  <si>
    <t>小石　遥斗</t>
  </si>
  <si>
    <t>コイシ　ハルト</t>
  </si>
  <si>
    <t>古賀　結景</t>
  </si>
  <si>
    <t>コガ　ユウケイ</t>
  </si>
  <si>
    <t>溝部　隼斗</t>
  </si>
  <si>
    <t>ミゾベ　シュント</t>
  </si>
  <si>
    <t>増田　理久</t>
  </si>
  <si>
    <t>マスダ　リク</t>
  </si>
  <si>
    <t>佐藤　嗣翔</t>
  </si>
  <si>
    <t>サトウ　ツグト</t>
  </si>
  <si>
    <t>西　寛太郎</t>
  </si>
  <si>
    <t>ニシ　カンタロウ</t>
  </si>
  <si>
    <t>山下　葵斗</t>
  </si>
  <si>
    <t>ヤマシタ　アオト</t>
  </si>
  <si>
    <t>坂本　圭之輔</t>
  </si>
  <si>
    <t>サカモト　ケイノスケ</t>
  </si>
  <si>
    <t>徳田　伶王真</t>
  </si>
  <si>
    <t>トクダ　レオマ</t>
  </si>
  <si>
    <t>庄司　幸平</t>
  </si>
  <si>
    <t>ショウジ　コウヘイ</t>
  </si>
  <si>
    <t>岩尾　結夏</t>
  </si>
  <si>
    <t>イワオ　ユイナ</t>
  </si>
  <si>
    <t>市原　旦陽</t>
  </si>
  <si>
    <t>イチハラ　アサヒ</t>
  </si>
  <si>
    <t>岩尾　幸芽</t>
  </si>
  <si>
    <t>イワオ　コウメ</t>
  </si>
  <si>
    <t>森　篤志</t>
  </si>
  <si>
    <t>モリ　アツシ</t>
  </si>
  <si>
    <t>平井　澄昂</t>
  </si>
  <si>
    <t>ヒライ　キヨタカ</t>
  </si>
  <si>
    <t>小野　めい</t>
  </si>
  <si>
    <t>オノ　メイ</t>
  </si>
  <si>
    <t>北村　竜月</t>
  </si>
  <si>
    <t>キタムラ　タツキ</t>
  </si>
  <si>
    <t>藤下　悠惺</t>
  </si>
  <si>
    <t>フジシタ　ユウセイ</t>
  </si>
  <si>
    <t>平井　晃暉</t>
  </si>
  <si>
    <t>湯之原　旺輔</t>
  </si>
  <si>
    <t>ユノハラ　オウスケ</t>
  </si>
  <si>
    <t>髙橋　和真</t>
  </si>
  <si>
    <t>タカハシ　カズマ</t>
  </si>
  <si>
    <t>橋本　万璃</t>
  </si>
  <si>
    <t>ハシモト　バンリ</t>
  </si>
  <si>
    <t>野上　翔太郎</t>
  </si>
  <si>
    <t>ノカミ　ショウタロウ</t>
  </si>
  <si>
    <t>藤原　頼翔</t>
  </si>
  <si>
    <t>フジワラ　ライト</t>
  </si>
  <si>
    <t>木許　賀琥</t>
  </si>
  <si>
    <t>キモト　ガク</t>
  </si>
  <si>
    <t>高橋　新ノ介</t>
  </si>
  <si>
    <t>タカハシ　シンノスケ</t>
  </si>
  <si>
    <t>山﨑　凱斗</t>
  </si>
  <si>
    <t>ヤマザキ　カイト</t>
  </si>
  <si>
    <t>北田　汰佑</t>
  </si>
  <si>
    <t>キタダ　タイスケ</t>
  </si>
  <si>
    <t>上杉　結希</t>
  </si>
  <si>
    <t>ウエスギ　ユウキ</t>
  </si>
  <si>
    <t>松永　透空</t>
  </si>
  <si>
    <t>マツナガ　トア</t>
  </si>
  <si>
    <t>小林　咲翔</t>
  </si>
  <si>
    <t>コバヤシ　サクト</t>
  </si>
  <si>
    <t>田金　晴葵</t>
  </si>
  <si>
    <t>タガネ　ハルキ</t>
  </si>
  <si>
    <t>黒木　颯馬</t>
  </si>
  <si>
    <t>クロキ　ソウマ</t>
  </si>
  <si>
    <t>西村　翔舞</t>
  </si>
  <si>
    <t>ニシムラ　ショウマ</t>
  </si>
  <si>
    <t>久冨　かりん</t>
  </si>
  <si>
    <t>ヒサトミ　カリン</t>
  </si>
  <si>
    <t>安部　咲</t>
  </si>
  <si>
    <t>アベ　サキ</t>
  </si>
  <si>
    <t>竹内　順之丞</t>
  </si>
  <si>
    <t>タケウチ　ジュンノスケ</t>
  </si>
  <si>
    <t>村上　遙飛</t>
  </si>
  <si>
    <t>汐月　春斗</t>
  </si>
  <si>
    <t>シオツキ　ハルト</t>
  </si>
  <si>
    <t>佐藤　友柊</t>
  </si>
  <si>
    <t>サトウ　ユウヒ</t>
  </si>
  <si>
    <t>岩村　周真</t>
  </si>
  <si>
    <t>イワムラ　シュウマ</t>
  </si>
  <si>
    <t>江藤　友優</t>
  </si>
  <si>
    <t>エトウ　ユウマ</t>
  </si>
  <si>
    <t>江藤　翼</t>
  </si>
  <si>
    <t>エトウ　ツバサ</t>
  </si>
  <si>
    <t>本多　莊弥</t>
  </si>
  <si>
    <t>岩田　日佳理</t>
  </si>
  <si>
    <t>イワタ　ヒヨリ</t>
  </si>
  <si>
    <t>安藤　綾人</t>
  </si>
  <si>
    <t>アンドウ　アヤト</t>
  </si>
  <si>
    <t>園田　和</t>
  </si>
  <si>
    <t>ソノダ　ヤマト</t>
  </si>
  <si>
    <t>岩　ひかり</t>
  </si>
  <si>
    <t>イワ　ヒカリ</t>
  </si>
  <si>
    <t>菊地　壮輔</t>
  </si>
  <si>
    <t>キクチ　ソウスケ</t>
  </si>
  <si>
    <t>和田　考史</t>
  </si>
  <si>
    <t>ワダ　コウシ</t>
  </si>
  <si>
    <t>首藤　晴</t>
  </si>
  <si>
    <t>シュトウ　ハル</t>
  </si>
  <si>
    <t>山﨑　碧真</t>
  </si>
  <si>
    <t>ヤマサキ　アオマ</t>
  </si>
  <si>
    <t>大塚　柚乃</t>
  </si>
  <si>
    <t>オオツカ　ユノ</t>
  </si>
  <si>
    <t>山﨑　颯真</t>
  </si>
  <si>
    <t>ヤマサキ　ソウマ</t>
  </si>
  <si>
    <t>小野　豹雅</t>
  </si>
  <si>
    <t>オノ　ヒョウガ</t>
  </si>
  <si>
    <t>小野　烈魁</t>
  </si>
  <si>
    <t>オノ　レッカ</t>
  </si>
  <si>
    <t>伊藤　瑞</t>
  </si>
  <si>
    <t>イトウ　ミズキ</t>
  </si>
  <si>
    <t>草野　煌太</t>
  </si>
  <si>
    <t>クサノ　コウタ</t>
  </si>
  <si>
    <t>岡原　瑞月</t>
  </si>
  <si>
    <t>オカハラ　ミヅキ</t>
  </si>
  <si>
    <t>二ノ宮　颯太</t>
  </si>
  <si>
    <t>ニノミヤ　ソウタ</t>
  </si>
  <si>
    <t>森下　葵翔</t>
  </si>
  <si>
    <t>モリシタ　アオト</t>
  </si>
  <si>
    <t>別府　幸星</t>
  </si>
  <si>
    <t>ベップ　コウセイ</t>
  </si>
  <si>
    <t>和田　湊樹</t>
  </si>
  <si>
    <t>ワダ　ソウキ</t>
  </si>
  <si>
    <t>三澤　碧空</t>
  </si>
  <si>
    <t>ミサワ　ソラ</t>
  </si>
  <si>
    <t>松下　新</t>
  </si>
  <si>
    <t>マツシタ　アラタ</t>
  </si>
  <si>
    <t>仁部屋　友希</t>
  </si>
  <si>
    <t>ニブヤ　ユウキ</t>
  </si>
  <si>
    <t>財津　凱吏</t>
  </si>
  <si>
    <t>ザイツ　カイリ</t>
  </si>
  <si>
    <t>吉永　虎太郎</t>
  </si>
  <si>
    <t>ヨシナガ　コタロウ</t>
  </si>
  <si>
    <t>三浦　颯斗</t>
  </si>
  <si>
    <t>荻本　圭</t>
  </si>
  <si>
    <t>オギモト　ケイ</t>
  </si>
  <si>
    <t>玉井　翔太</t>
  </si>
  <si>
    <t>タマイ　ショウタ</t>
  </si>
  <si>
    <t>石田　航太郎</t>
  </si>
  <si>
    <t>イシダ　コウタロウ</t>
  </si>
  <si>
    <t>衛藤　大輝</t>
  </si>
  <si>
    <t>エトウ　ヒロキ</t>
  </si>
  <si>
    <t>楠　由希</t>
  </si>
  <si>
    <t>クスノキ　ユキ</t>
  </si>
  <si>
    <t>平山　幸歩</t>
  </si>
  <si>
    <t>ヒラヤマ　ユキホ</t>
  </si>
  <si>
    <t>小川　英志</t>
  </si>
  <si>
    <t>オガワ　エイジ</t>
  </si>
  <si>
    <t>衞藤　光佑</t>
  </si>
  <si>
    <t>後藤　龍太</t>
  </si>
  <si>
    <t>ゴトウ　リュウタ</t>
  </si>
  <si>
    <t>佐藤　快奏</t>
  </si>
  <si>
    <t>サトウ　カナデ</t>
  </si>
  <si>
    <t>佐藤　弘人</t>
  </si>
  <si>
    <t>サトウ　ヒロト</t>
  </si>
  <si>
    <t>一万田　蓮</t>
  </si>
  <si>
    <t>イチマンダ　レン</t>
  </si>
  <si>
    <t>井上　椋太</t>
  </si>
  <si>
    <t>石黒　大智</t>
  </si>
  <si>
    <t>イシグロ　ダイチ</t>
  </si>
  <si>
    <t>高橋　英斗</t>
  </si>
  <si>
    <t>タカハシ　エイト</t>
  </si>
  <si>
    <t>西村　央</t>
  </si>
  <si>
    <t>ニシムラ　オウ</t>
  </si>
  <si>
    <t>長野　廉</t>
  </si>
  <si>
    <t>ナガノ　レン</t>
  </si>
  <si>
    <t>中村　一心</t>
  </si>
  <si>
    <t>ナカムラ　イッシン</t>
  </si>
  <si>
    <t>森田　亘英</t>
  </si>
  <si>
    <t>モリタ　ノブヒデ</t>
  </si>
  <si>
    <t>小野　央士郞</t>
  </si>
  <si>
    <t>オノ　オウシロウ</t>
  </si>
  <si>
    <t>佐藤　魁音</t>
  </si>
  <si>
    <t>甲斐　錬介</t>
  </si>
  <si>
    <t>カイ　レンスケ</t>
  </si>
  <si>
    <t>櫛間　椿</t>
  </si>
  <si>
    <t>クシマ　ツバキ</t>
  </si>
  <si>
    <t>岩尾　彩華</t>
  </si>
  <si>
    <t>イワオ　アヤカ</t>
  </si>
  <si>
    <t>太田　宗佑</t>
  </si>
  <si>
    <t>オオタ　ソウスケ</t>
  </si>
  <si>
    <t>清原　睦貴</t>
  </si>
  <si>
    <t>キヨハラ　ムツキ</t>
  </si>
  <si>
    <t>武田　歩睦</t>
  </si>
  <si>
    <t>タケダ　アユム</t>
  </si>
  <si>
    <t>豊田　亘</t>
  </si>
  <si>
    <t>トヨダ　ワタル</t>
  </si>
  <si>
    <t>益子　隼</t>
  </si>
  <si>
    <t>マシコ　ハヤト</t>
  </si>
  <si>
    <t>浦田　侑孝</t>
  </si>
  <si>
    <t>ウラタ　ユタカ</t>
  </si>
  <si>
    <t>石井　智也</t>
  </si>
  <si>
    <t>イシイ　トモヤ</t>
  </si>
  <si>
    <t>益子　航</t>
  </si>
  <si>
    <t>マシコ　ワタル</t>
  </si>
  <si>
    <t>橋本　拓弥</t>
  </si>
  <si>
    <t>ハシモト　タクヤ</t>
  </si>
  <si>
    <t>二宮　渉</t>
  </si>
  <si>
    <t>ニノミヤ　ワタル</t>
  </si>
  <si>
    <t>佐藤　想真</t>
  </si>
  <si>
    <t>サトウ　ソウマ</t>
  </si>
  <si>
    <t>帶刀　春馬</t>
  </si>
  <si>
    <t>タテワキ　ハルマ</t>
  </si>
  <si>
    <t>岐部　樹希</t>
  </si>
  <si>
    <t>キベ　タツキ</t>
  </si>
  <si>
    <t>後藤　煌靖</t>
  </si>
  <si>
    <t>ゴトウ　コウセイ</t>
  </si>
  <si>
    <t>首藤　彪</t>
  </si>
  <si>
    <t>シュトウ　ヒョウ</t>
  </si>
  <si>
    <t>菊地　弘人</t>
  </si>
  <si>
    <t>キクチ　ヒロト</t>
  </si>
  <si>
    <t>福田　翔</t>
  </si>
  <si>
    <t>フクダ　ショウ</t>
  </si>
  <si>
    <t>江良　逞</t>
  </si>
  <si>
    <t>エラ　タクマ</t>
  </si>
  <si>
    <t>井　成生</t>
  </si>
  <si>
    <t>イ　ナルキ</t>
  </si>
  <si>
    <t>遠藤　悟志</t>
  </si>
  <si>
    <t>エンドウ　サトシ</t>
  </si>
  <si>
    <t>小野　航大朗</t>
  </si>
  <si>
    <t>オノ　コウタロウ</t>
  </si>
  <si>
    <t>松崎　叶大</t>
  </si>
  <si>
    <t>マツザキ　カナタ</t>
  </si>
  <si>
    <t>浜田　倫太郎</t>
  </si>
  <si>
    <t>ハマダ　リンタロウ</t>
  </si>
  <si>
    <t>木田　翔大郎</t>
  </si>
  <si>
    <t>キダ　ショウタロウ</t>
  </si>
  <si>
    <t>大野　広翔</t>
  </si>
  <si>
    <t>オオノ　ヒロト</t>
  </si>
  <si>
    <t>笠木　拓翔</t>
  </si>
  <si>
    <t>カサギ　タクト</t>
  </si>
  <si>
    <t>桑原　唯人</t>
  </si>
  <si>
    <t>クワハラ　ユイト</t>
  </si>
  <si>
    <t>安部　瑞生</t>
  </si>
  <si>
    <t>九鬼丸　あいり</t>
  </si>
  <si>
    <t>クキマル　アイリ</t>
  </si>
  <si>
    <t>坂本　仁之丞</t>
  </si>
  <si>
    <t>サカモト　ジンノスケ</t>
  </si>
  <si>
    <t>森　悠太</t>
  </si>
  <si>
    <t>モリ　ユウタ</t>
  </si>
  <si>
    <t>小石　蓮</t>
  </si>
  <si>
    <t>コイシ　レン</t>
  </si>
  <si>
    <t>九鬼丸　拓光</t>
  </si>
  <si>
    <t>クキマル　タクミ</t>
  </si>
  <si>
    <t>加藤　達稀</t>
  </si>
  <si>
    <t>カトウ　タツキ</t>
  </si>
  <si>
    <t>薬師寺　輝仁</t>
  </si>
  <si>
    <t>ヤクシジ　キヒト</t>
  </si>
  <si>
    <t>船田　侑生</t>
  </si>
  <si>
    <t>フナダ　ユウ</t>
  </si>
  <si>
    <t>福澤　煌雅</t>
  </si>
  <si>
    <t>フクザワ　オウガ</t>
  </si>
  <si>
    <t>大久保　槙珀</t>
  </si>
  <si>
    <t>オオクボ　コタ</t>
  </si>
  <si>
    <t>江口　泰生</t>
  </si>
  <si>
    <t>エグチ　タイセイ</t>
  </si>
  <si>
    <t>阿部　哲大</t>
  </si>
  <si>
    <t>アベ　テツト</t>
  </si>
  <si>
    <t>片上　湊介</t>
  </si>
  <si>
    <t>カタガミ　ソウスケ</t>
  </si>
  <si>
    <t>永井　蓮斗</t>
  </si>
  <si>
    <t>ナガイ　レント</t>
  </si>
  <si>
    <t>大庭　将暉</t>
  </si>
  <si>
    <t>オオバ　マサキ</t>
  </si>
  <si>
    <t>樋渡　ひかる</t>
  </si>
  <si>
    <t>ヒワタシ　ヒカル</t>
  </si>
  <si>
    <t>喜多　陽喜</t>
  </si>
  <si>
    <t>キタ　ハルキ</t>
  </si>
  <si>
    <t>井上　篤志</t>
  </si>
  <si>
    <t>イノウエ　アツシ</t>
  </si>
  <si>
    <t>長澤　友輝</t>
  </si>
  <si>
    <t>ナガサワ　トモキ</t>
  </si>
  <si>
    <t>小野　湊人</t>
  </si>
  <si>
    <t>オノ　ミナト</t>
  </si>
  <si>
    <t>後藤　壮志</t>
  </si>
  <si>
    <t>ゴトウ　ソウシ</t>
  </si>
  <si>
    <t>佐藤　樹</t>
  </si>
  <si>
    <t>サトウ　イツキ</t>
  </si>
  <si>
    <t>西藤　顕吾</t>
  </si>
  <si>
    <t>サイトウ　ケンゴ</t>
  </si>
  <si>
    <t>山上　大智</t>
  </si>
  <si>
    <t>ヤマウエ　ダイチ</t>
  </si>
  <si>
    <t>丸田　恵也</t>
  </si>
  <si>
    <t>マルタ　ケイヤ</t>
  </si>
  <si>
    <t>牛野　瑛太</t>
  </si>
  <si>
    <t>ウシノ　エイタ</t>
  </si>
  <si>
    <t>三ノ宮　作太郎</t>
  </si>
  <si>
    <t>サンノミヤ　サクタロウ</t>
  </si>
  <si>
    <t>荒金　総志</t>
  </si>
  <si>
    <t>アラカネ　ソウシ</t>
  </si>
  <si>
    <t>坂本　麟太郎</t>
  </si>
  <si>
    <t>井之上　奏</t>
  </si>
  <si>
    <t>イノウエ　カナデ</t>
  </si>
  <si>
    <t>衞藤　優太</t>
  </si>
  <si>
    <t>エトウ　ユウタ</t>
  </si>
  <si>
    <t>髙畠　蒼太</t>
  </si>
  <si>
    <t>タカハタ　ソウタ</t>
  </si>
  <si>
    <t>髙畠　結翔</t>
  </si>
  <si>
    <t>タカハタ　ユイト</t>
  </si>
  <si>
    <t>野上　航太</t>
  </si>
  <si>
    <t>ノガミ　コウタ</t>
  </si>
  <si>
    <t>是永　啓助</t>
  </si>
  <si>
    <t>コレナガ　ケイタ</t>
  </si>
  <si>
    <t>加藤　匠也</t>
  </si>
  <si>
    <t>カトウ　ショウヤ</t>
  </si>
  <si>
    <t>佐藤　太陽</t>
  </si>
  <si>
    <t>サトウ　テルヒ</t>
  </si>
  <si>
    <t>畑上　湊</t>
  </si>
  <si>
    <t>ハタガミ　ミナト</t>
  </si>
  <si>
    <t>小原　勇人</t>
  </si>
  <si>
    <t>コハラ　タケト</t>
  </si>
  <si>
    <t>立川　風太</t>
  </si>
  <si>
    <t>タツカワ　フウタ</t>
  </si>
  <si>
    <t>澤谷　理来</t>
  </si>
  <si>
    <t>サワヤ　リク</t>
  </si>
  <si>
    <t>宮野　裕人</t>
  </si>
  <si>
    <t>ミヤノ　ヒロト</t>
  </si>
  <si>
    <t>高倉　丈</t>
  </si>
  <si>
    <t>タカクラ　ジョウ</t>
  </si>
  <si>
    <t>奈須　翔</t>
  </si>
  <si>
    <t>ナス　カケル</t>
  </si>
  <si>
    <t>高橋　桜将</t>
  </si>
  <si>
    <t>タカハシ　オウスケ</t>
  </si>
  <si>
    <t>二宮　藍斗</t>
  </si>
  <si>
    <t>ニノミヤ　アイト</t>
  </si>
  <si>
    <t>了戒　蒼空</t>
  </si>
  <si>
    <t>リョウカイ　ソラ</t>
  </si>
  <si>
    <t>安野　七音</t>
  </si>
  <si>
    <t>ヤスノ　ナオト</t>
  </si>
  <si>
    <t>宮野　嘉人</t>
  </si>
  <si>
    <t>ミヤノ　ヨシト</t>
  </si>
  <si>
    <t>川邊　蒼大</t>
  </si>
  <si>
    <t>カワベ　ソウタ</t>
  </si>
  <si>
    <t>篠田　健太</t>
  </si>
  <si>
    <t>シノダ　ケンタ</t>
  </si>
  <si>
    <t>板井　道忠</t>
  </si>
  <si>
    <t>イタイ　ミチタダ</t>
  </si>
  <si>
    <t>藤澤　心優</t>
  </si>
  <si>
    <t>フジサワ　ミユウ</t>
  </si>
  <si>
    <t>大嶋　智敬</t>
  </si>
  <si>
    <t>オオシマ　トモノリ</t>
  </si>
  <si>
    <t>小野　遥翔</t>
  </si>
  <si>
    <t>田尻サッカースポーツ少年団</t>
  </si>
  <si>
    <t>原田　蒼汰</t>
  </si>
  <si>
    <t>ハラダ　ソウタ</t>
  </si>
  <si>
    <t>石崎　寧々</t>
  </si>
  <si>
    <t>イシザキ　ネネ</t>
  </si>
  <si>
    <t>後藤　生翔</t>
  </si>
  <si>
    <t>ゴトウ　イクト</t>
  </si>
  <si>
    <t>萱田　桜凰</t>
  </si>
  <si>
    <t>カヤタ　レオ</t>
  </si>
  <si>
    <t>ゴトウ　アオバ</t>
  </si>
  <si>
    <t>下元　脩希</t>
  </si>
  <si>
    <t>シモモト　ハルキ</t>
  </si>
  <si>
    <t>油布　壮太郎</t>
  </si>
  <si>
    <t>ユフ　ソウタロウ</t>
  </si>
  <si>
    <t>小曽根　育太</t>
  </si>
  <si>
    <t>コゾネ　イクタ</t>
  </si>
  <si>
    <t>植木　大地</t>
  </si>
  <si>
    <t>ウエキ　ダイチ</t>
  </si>
  <si>
    <t>和田　彩人</t>
  </si>
  <si>
    <t>ワダ　アヤト</t>
  </si>
  <si>
    <t>山崎　璃道</t>
  </si>
  <si>
    <t>ヤマサキ　リドウ</t>
  </si>
  <si>
    <t>後藤　絢人</t>
  </si>
  <si>
    <t>村山　ことね</t>
  </si>
  <si>
    <t>ムラヤマ　コトネ</t>
  </si>
  <si>
    <t>後藤　大翔</t>
  </si>
  <si>
    <t>ゴトウ　タイガ</t>
  </si>
  <si>
    <t>泉　琉希</t>
  </si>
  <si>
    <t>イズミ　リュウキ</t>
  </si>
  <si>
    <t>伊藤　春輝</t>
  </si>
  <si>
    <t>イトウ　ハルキ</t>
  </si>
  <si>
    <t>長岡　武留</t>
  </si>
  <si>
    <t>ナガオカ　タケル</t>
  </si>
  <si>
    <t>阿部　璃來</t>
  </si>
  <si>
    <t>アベ　リコ</t>
  </si>
  <si>
    <t>匹田　太喜</t>
  </si>
  <si>
    <t>ヒキタ　タイキ</t>
  </si>
  <si>
    <t>馬場　栄汰</t>
  </si>
  <si>
    <t>ババ　エイタ</t>
  </si>
  <si>
    <t>竜田　蓮</t>
  </si>
  <si>
    <t>リュウタ　レン</t>
  </si>
  <si>
    <t>匹田　太祐</t>
  </si>
  <si>
    <t>ヒキタ　タイユウ</t>
  </si>
  <si>
    <t>野崎　佑斗</t>
  </si>
  <si>
    <t>ノザキ　ユウト</t>
  </si>
  <si>
    <t>神田　統真</t>
  </si>
  <si>
    <t>カンダ　トウマ</t>
  </si>
  <si>
    <t>高井　琉雅</t>
  </si>
  <si>
    <t>タカイ　リュウガ</t>
  </si>
  <si>
    <t>此本　晴仁</t>
  </si>
  <si>
    <t>コノモト　ハルヒト</t>
  </si>
  <si>
    <t>高井　凰雅</t>
  </si>
  <si>
    <t>タカイ　オウガ</t>
  </si>
  <si>
    <t>神田　拓海</t>
  </si>
  <si>
    <t>カンダ　タクミ</t>
  </si>
  <si>
    <t>宮崎　怜央</t>
  </si>
  <si>
    <t>ミヤザキ　レオ</t>
  </si>
  <si>
    <t>金崎　功真</t>
  </si>
  <si>
    <t>カナザキ　コウマ</t>
  </si>
  <si>
    <t>橋迫　大河</t>
  </si>
  <si>
    <t>ハシサコ　タイガ</t>
  </si>
  <si>
    <t>山本　悠真</t>
  </si>
  <si>
    <t>ヤマモト　ユウマ</t>
  </si>
  <si>
    <t>五十川　翼</t>
  </si>
  <si>
    <t>イソガワ　ツバサ</t>
  </si>
  <si>
    <t>佐々木　海斗</t>
  </si>
  <si>
    <t>ササキ　カイト</t>
  </si>
  <si>
    <t>阿南　大和</t>
  </si>
  <si>
    <t>アナミ　ヤマト</t>
  </si>
  <si>
    <t>寺一　陽向</t>
  </si>
  <si>
    <t>テライチ　ヒナタ</t>
  </si>
  <si>
    <t>安松　陽真</t>
  </si>
  <si>
    <t>ヤスマツ　ハルマ</t>
  </si>
  <si>
    <t>河野　司</t>
  </si>
  <si>
    <t>コウノ　ツカサ</t>
  </si>
  <si>
    <t>安藤　心翔</t>
  </si>
  <si>
    <t>アンドウ　マナト</t>
  </si>
  <si>
    <t>田坂　風樹</t>
  </si>
  <si>
    <t>タサカ　フウキ</t>
  </si>
  <si>
    <t>市原　琉生</t>
  </si>
  <si>
    <t>イチハラ　ルオ</t>
  </si>
  <si>
    <t>伊東　煌太</t>
  </si>
  <si>
    <t>イトウ　コウタ</t>
  </si>
  <si>
    <t>川野　陽向</t>
  </si>
  <si>
    <t>阿部　陽太郎</t>
  </si>
  <si>
    <t>アベ　ヨウタロウ</t>
  </si>
  <si>
    <t>森　煌太郎</t>
  </si>
  <si>
    <t>モリ　コウタロウ</t>
  </si>
  <si>
    <t>土屋　澄怜</t>
  </si>
  <si>
    <t>ツチヤ　スミレ</t>
  </si>
  <si>
    <t>田村　鷹雪</t>
  </si>
  <si>
    <t>タムラ　タカユキ</t>
  </si>
  <si>
    <t>佐田　稜祐</t>
  </si>
  <si>
    <t>サダ　リョウスケ</t>
  </si>
  <si>
    <t>村上　真威人</t>
  </si>
  <si>
    <t>ムラカミ　マイト</t>
  </si>
  <si>
    <t>本田　光</t>
  </si>
  <si>
    <t>ホンダ　レイ</t>
  </si>
  <si>
    <t>三浦　良信</t>
  </si>
  <si>
    <t>ミウラ　ヨシノブ</t>
  </si>
  <si>
    <t>高井　陽斗</t>
  </si>
  <si>
    <t>タカイ　ハルト</t>
  </si>
  <si>
    <t>椎原　健太</t>
  </si>
  <si>
    <t>シイハラ　ケンタ</t>
  </si>
  <si>
    <t>田村　奏翔</t>
  </si>
  <si>
    <t>タムラ　カナト</t>
  </si>
  <si>
    <t>甲斐　朔人</t>
  </si>
  <si>
    <t>カイ　サクト</t>
  </si>
  <si>
    <t>上野　蒼佑</t>
  </si>
  <si>
    <t>ウエノ　ソウスケ</t>
  </si>
  <si>
    <t>相沢　空鷹</t>
  </si>
  <si>
    <t>アイザワ　アキタカ</t>
  </si>
  <si>
    <t>廣見　優雅</t>
  </si>
  <si>
    <t>ヒロミ　ユウガ</t>
  </si>
  <si>
    <t>井餘田　琉稀</t>
  </si>
  <si>
    <t>イヨダ　リュウキ</t>
  </si>
  <si>
    <t>児玉　颯汰</t>
  </si>
  <si>
    <t>コダマ　ソウタ</t>
  </si>
  <si>
    <t>花川　龍生</t>
  </si>
  <si>
    <t>ハナカワ　リュウセイ</t>
  </si>
  <si>
    <t>鹿内　叶蹴</t>
  </si>
  <si>
    <t>シカナイ　カケル</t>
  </si>
  <si>
    <t>松本　優志</t>
  </si>
  <si>
    <t>マツモト　ユウシ</t>
  </si>
  <si>
    <t>渡邉　真統</t>
  </si>
  <si>
    <t>ワタナベ　マサムネ</t>
  </si>
  <si>
    <t>岩野　斗哉</t>
  </si>
  <si>
    <t>イワノ　トウヤ</t>
  </si>
  <si>
    <t>小松　直輝</t>
  </si>
  <si>
    <t>コマツ　ナオキ</t>
  </si>
  <si>
    <t>山本　京次郎</t>
  </si>
  <si>
    <t>ヤマモト　キョウジロウ</t>
  </si>
  <si>
    <t>釜堀　廉士</t>
  </si>
  <si>
    <t>カマホリ　レント</t>
  </si>
  <si>
    <t>玉井　海斗</t>
  </si>
  <si>
    <t>タマイ　カイト</t>
  </si>
  <si>
    <t>髙野　泰輔</t>
  </si>
  <si>
    <t>タカノ　ソウスケ</t>
  </si>
  <si>
    <t>薬師寺　涼平</t>
  </si>
  <si>
    <t>ヤクシジ　リョウヘイ</t>
  </si>
  <si>
    <t>眞庭　航</t>
  </si>
  <si>
    <t>マニワ　コウ</t>
  </si>
  <si>
    <t>南　竜太郎</t>
  </si>
  <si>
    <t>ミナミ　リュウタロウ</t>
  </si>
  <si>
    <t>眞部　隼</t>
  </si>
  <si>
    <t>マナベ　シュン</t>
  </si>
  <si>
    <t>久本　歩</t>
  </si>
  <si>
    <t>ヒサモト　アユム</t>
  </si>
  <si>
    <t>伊東　武流</t>
  </si>
  <si>
    <t>イトウ　タケル</t>
  </si>
  <si>
    <t>芦刈　仁</t>
  </si>
  <si>
    <t>アシカリ　ジン</t>
  </si>
  <si>
    <t>松下　詩音</t>
  </si>
  <si>
    <t>マツシタ　シオン</t>
  </si>
  <si>
    <t>藤原　颯大</t>
  </si>
  <si>
    <t>フジワラ　ソウタ</t>
  </si>
  <si>
    <t>橋本　拓翔</t>
  </si>
  <si>
    <t>ハシモト　タクト</t>
  </si>
  <si>
    <t>依田　侑大</t>
  </si>
  <si>
    <t>ヨダ　ユウダイ</t>
  </si>
  <si>
    <t>山本　康人</t>
  </si>
  <si>
    <t>ヤマモト　ヤスヒト</t>
  </si>
  <si>
    <t>護得久　咲人</t>
  </si>
  <si>
    <t>ゴエク　サキト</t>
  </si>
  <si>
    <t>佐藤　湊斗</t>
  </si>
  <si>
    <t>サトウ　ミナト</t>
  </si>
  <si>
    <t>佐藤　永祐</t>
  </si>
  <si>
    <t>サトウ　エイスケ</t>
  </si>
  <si>
    <t>後藤　玖瑠</t>
  </si>
  <si>
    <t>ゴトウ　キイル</t>
  </si>
  <si>
    <t>志摩　圭一郎</t>
  </si>
  <si>
    <t>シマ　ケイイチロウ</t>
  </si>
  <si>
    <t>護得久　晴紀</t>
  </si>
  <si>
    <t>ゴエク　ハルキ</t>
  </si>
  <si>
    <t>酒井　菜月</t>
  </si>
  <si>
    <t>サカイ　ナツキ</t>
  </si>
  <si>
    <t>廣峯　奏良</t>
  </si>
  <si>
    <t>ヒロミネ　ソラ</t>
  </si>
  <si>
    <t>服部　澪央</t>
  </si>
  <si>
    <t>ハットリ　レオ</t>
  </si>
  <si>
    <t>矢野　拓己</t>
  </si>
  <si>
    <t>ヤノ　タクミ</t>
  </si>
  <si>
    <t>橋本　理央</t>
  </si>
  <si>
    <t>ハシモト　リオ</t>
  </si>
  <si>
    <t>横田　真輝</t>
  </si>
  <si>
    <t>ヨコタ　マキ</t>
  </si>
  <si>
    <t>向　倫誠</t>
  </si>
  <si>
    <t>ムカイ　ノリトモ</t>
  </si>
  <si>
    <t>桒野　董士</t>
  </si>
  <si>
    <t>クワノ　トウジ</t>
  </si>
  <si>
    <t>一丸　慶悟</t>
  </si>
  <si>
    <t>イチマル　ケイゴ</t>
  </si>
  <si>
    <t>齊藤　蒼大</t>
  </si>
  <si>
    <t>サイトウ　ソウダイ</t>
  </si>
  <si>
    <t>桒野　ゆりな</t>
  </si>
  <si>
    <t>クワノ　ユリナ</t>
  </si>
  <si>
    <t>松田　煌</t>
  </si>
  <si>
    <t>マツダ　コウ</t>
  </si>
  <si>
    <t>桐村　永遠</t>
  </si>
  <si>
    <t>キリムラ　トワ</t>
  </si>
  <si>
    <t>松本　優理</t>
  </si>
  <si>
    <t>マツモト　ユウリ</t>
  </si>
  <si>
    <t>廣松　聖大郎</t>
  </si>
  <si>
    <t>ヒロマツ　セイタロウ</t>
  </si>
  <si>
    <t>石垣　天</t>
  </si>
  <si>
    <t>イシガキ　ソラ</t>
  </si>
  <si>
    <t>萱島　奏太</t>
  </si>
  <si>
    <t>カヤシマ　ソウタ</t>
  </si>
  <si>
    <t>田中　煌晟</t>
  </si>
  <si>
    <t>タナカ　コウセイ</t>
  </si>
  <si>
    <t>堀　晴道</t>
  </si>
  <si>
    <t>ホリ　ハルミチ</t>
  </si>
  <si>
    <t>三崎　陸翔</t>
  </si>
  <si>
    <t>ミサキ　リクト</t>
  </si>
  <si>
    <t>夏井　陸</t>
  </si>
  <si>
    <t>ナツイ　リク</t>
  </si>
  <si>
    <t>池田　龍之介</t>
  </si>
  <si>
    <t>イケダ　リュウノスケ</t>
  </si>
  <si>
    <t>毛利　浬</t>
  </si>
  <si>
    <t>モウリ　カイリ</t>
  </si>
  <si>
    <t>杉野　多聞</t>
  </si>
  <si>
    <t>スギノ　タモン</t>
  </si>
  <si>
    <t>宮本　稜大</t>
  </si>
  <si>
    <t>ミヤモト　リョウタ</t>
  </si>
  <si>
    <t>松尾　羽恭</t>
  </si>
  <si>
    <t>マツオ　ウキョウ</t>
  </si>
  <si>
    <t>花宮　慶</t>
  </si>
  <si>
    <t>ハナミヤ　ケイ</t>
  </si>
  <si>
    <t>西島　颯佑</t>
  </si>
  <si>
    <t>ニシジマ　ソウスケ</t>
  </si>
  <si>
    <t>須賀　雄大</t>
  </si>
  <si>
    <t>スガ　ユウダイ</t>
  </si>
  <si>
    <t>岩永　燈和</t>
  </si>
  <si>
    <t>イワナガ　トワ</t>
  </si>
  <si>
    <t>園　智尋</t>
  </si>
  <si>
    <t>ソノ　チヒロ</t>
  </si>
  <si>
    <t>横尾　優空</t>
  </si>
  <si>
    <t>ヨコオ　ソラ</t>
  </si>
  <si>
    <t>麻生　健心</t>
  </si>
  <si>
    <t>アソウ　ケンシン</t>
  </si>
  <si>
    <t>猪原　秀哉</t>
  </si>
  <si>
    <t>イハラ　シュウヤ</t>
  </si>
  <si>
    <t>實方　萌莉</t>
  </si>
  <si>
    <t>ジツカタ　メリ</t>
  </si>
  <si>
    <t>志村　聖</t>
  </si>
  <si>
    <t>シムラ　ヒジリ</t>
  </si>
  <si>
    <t>吉田　幸生</t>
  </si>
  <si>
    <t>ヨシダ　コウセイ</t>
  </si>
  <si>
    <t>御手洗　仁心</t>
  </si>
  <si>
    <t>ミタライ　ジン</t>
  </si>
  <si>
    <t>森　琉惺</t>
  </si>
  <si>
    <t>モリ　リュウセイ</t>
  </si>
  <si>
    <t>戸髙　真翔</t>
  </si>
  <si>
    <t>トダカ　マナト</t>
  </si>
  <si>
    <t>阿南　幸助</t>
  </si>
  <si>
    <t>アナン　コウスケ</t>
  </si>
  <si>
    <t>川野　優斗</t>
  </si>
  <si>
    <t>小手川　智紀</t>
  </si>
  <si>
    <t>大松　怜矢</t>
  </si>
  <si>
    <t>オオマツ　レイヤ</t>
  </si>
  <si>
    <t>武田　悠伸</t>
  </si>
  <si>
    <t>タケダ　ユウシン</t>
  </si>
  <si>
    <t>安藤　拓郎</t>
  </si>
  <si>
    <t>アンドウ　タクロウ</t>
  </si>
  <si>
    <t>野尻　慎大郎</t>
  </si>
  <si>
    <t>ノジリ　シンタロウ</t>
  </si>
  <si>
    <t>岩城　春寿</t>
  </si>
  <si>
    <t>イワキ　ハルナガ</t>
  </si>
  <si>
    <t>牧　泰佑</t>
  </si>
  <si>
    <t>マキ　タイスケ</t>
  </si>
  <si>
    <t>若林　颯大</t>
  </si>
  <si>
    <t>ワカバヤシ　ソウタ</t>
  </si>
  <si>
    <t>高橋　悠人</t>
  </si>
  <si>
    <t>山田　悠真</t>
  </si>
  <si>
    <t>ヤマダ　ハルマ</t>
  </si>
  <si>
    <t>早見　龍希</t>
  </si>
  <si>
    <t>ハヤミ　タツキ</t>
  </si>
  <si>
    <t>土屋　樹平</t>
  </si>
  <si>
    <t>ツチヤ　キッペイ</t>
  </si>
  <si>
    <t>山﨑　楓</t>
  </si>
  <si>
    <t>ヤマサキ　カエデ</t>
  </si>
  <si>
    <t>梶取　風太</t>
  </si>
  <si>
    <t>カジトリ　フウタ</t>
  </si>
  <si>
    <t>佐田　優心</t>
  </si>
  <si>
    <t>サダ　ユウシン</t>
  </si>
  <si>
    <t>佐藤　祐翔</t>
  </si>
  <si>
    <t>大塚　遥希</t>
  </si>
  <si>
    <t>オオツカ　ハルキ</t>
  </si>
  <si>
    <t>本田　撞維</t>
  </si>
  <si>
    <t>ホンダ　トウイ</t>
  </si>
  <si>
    <t>麻生　明秀</t>
  </si>
  <si>
    <t>アソウ　アキヒデ</t>
  </si>
  <si>
    <t>安部　恭吾</t>
  </si>
  <si>
    <t>アベ　キョウゴ</t>
  </si>
  <si>
    <t>岩尾　藍輝</t>
  </si>
  <si>
    <t>イワオ　アイキ</t>
  </si>
  <si>
    <t>平岡　双志</t>
  </si>
  <si>
    <t>ヒラオカ　ソウシ</t>
  </si>
  <si>
    <t>桑原　匡輝</t>
  </si>
  <si>
    <t>クワバラ　コウキ</t>
  </si>
  <si>
    <t>平川　雄惺</t>
  </si>
  <si>
    <t>ヒラカワ　ユウセイ</t>
  </si>
  <si>
    <t>山本　大海</t>
  </si>
  <si>
    <t>ヤマモト　タイガ</t>
  </si>
  <si>
    <t>得丸　裕我</t>
  </si>
  <si>
    <t>トクマル　ユウガ</t>
  </si>
  <si>
    <t>廣瀬　彩杜</t>
  </si>
  <si>
    <t>ヒロセ　アヤト</t>
  </si>
  <si>
    <t>宮崎　遼</t>
  </si>
  <si>
    <t>ミヤザキ　リョウ</t>
  </si>
  <si>
    <t>塚本　優心</t>
  </si>
  <si>
    <t>ツカモト　ユウシン</t>
  </si>
  <si>
    <t>三原　怜己</t>
  </si>
  <si>
    <t>ミハラ　レイ</t>
  </si>
  <si>
    <t>スマイスＦＣ</t>
  </si>
  <si>
    <t>廣岡　悠翔</t>
  </si>
  <si>
    <t>ヒロオカ　ユウト</t>
  </si>
  <si>
    <t>猪尾　聡晴</t>
  </si>
  <si>
    <t>イノオ　ソウセイ</t>
  </si>
  <si>
    <t>洲﨑　大愛</t>
  </si>
  <si>
    <t>スサキ　ダイア</t>
  </si>
  <si>
    <t>前原　徹生</t>
  </si>
  <si>
    <t>マエハラ　テッショウ</t>
  </si>
  <si>
    <t>赤嶺　幸咲</t>
  </si>
  <si>
    <t>アカミネ　コウサク</t>
  </si>
  <si>
    <t>工藤　海惺</t>
  </si>
  <si>
    <t>クドウ　カイセイ</t>
  </si>
  <si>
    <t>山田　桂司</t>
  </si>
  <si>
    <t>ヤマダ　ケイジ</t>
  </si>
  <si>
    <t>大野　一翔</t>
  </si>
  <si>
    <t>オオノ　カズト</t>
  </si>
  <si>
    <t>後藤　ユリシスモンディゴ</t>
  </si>
  <si>
    <t>ゴトウ　ユリシスモンディゴ</t>
  </si>
  <si>
    <t>塩穴　耕太</t>
  </si>
  <si>
    <t>シオナ　コウタ</t>
  </si>
  <si>
    <t>高橋　奏太</t>
  </si>
  <si>
    <t>中本　愛輝</t>
  </si>
  <si>
    <t>ナカモト　アイキ</t>
  </si>
  <si>
    <t>山口　蓮斗</t>
  </si>
  <si>
    <t>ヤマグチ　レント</t>
  </si>
  <si>
    <t>三ヶ尻　光徳</t>
  </si>
  <si>
    <t>ミカジリ　コウトク</t>
  </si>
  <si>
    <t>矢野　遥陽</t>
  </si>
  <si>
    <t>ヤノ　ハルヒ</t>
  </si>
  <si>
    <t>松谷　和龍</t>
  </si>
  <si>
    <t>マツタニ　リョウ</t>
  </si>
  <si>
    <t>梶原　有翔</t>
  </si>
  <si>
    <t>カジワラ　ユウト</t>
  </si>
  <si>
    <t>三城　碧葉</t>
  </si>
  <si>
    <t>ミシロ　アオバ</t>
  </si>
  <si>
    <t>三浦　航雅</t>
  </si>
  <si>
    <t>ミウラ　コウガ</t>
  </si>
  <si>
    <t>井澤　楽</t>
  </si>
  <si>
    <t>イザワ　ガク</t>
  </si>
  <si>
    <t>板井　一花</t>
  </si>
  <si>
    <t>イタイ　イチカ</t>
  </si>
  <si>
    <t>俵　和寿</t>
  </si>
  <si>
    <t>タワラ　カズトシ</t>
  </si>
  <si>
    <t>白井　陽愛</t>
  </si>
  <si>
    <t>シライ　ヒナリ</t>
  </si>
  <si>
    <t>萱嶋　真侑</t>
  </si>
  <si>
    <t>カヤシマ　マユ</t>
  </si>
  <si>
    <t>板井　穂樺</t>
  </si>
  <si>
    <t>イタイ　ホノカ</t>
  </si>
  <si>
    <t>幸　駿翔</t>
  </si>
  <si>
    <t>ユキ　ハヤト</t>
  </si>
  <si>
    <t>吉良　太輝</t>
  </si>
  <si>
    <t>キラ　タイキ</t>
  </si>
  <si>
    <t>東　定臣</t>
  </si>
  <si>
    <t>ヒガシ　サダオミ</t>
  </si>
  <si>
    <t>城井　翔梧</t>
  </si>
  <si>
    <t>キイ　ショウゴ</t>
  </si>
  <si>
    <t>杉　逞斗</t>
  </si>
  <si>
    <t>スギ　タク</t>
  </si>
  <si>
    <t>藤原　力希空</t>
  </si>
  <si>
    <t>フジワラ　リキア</t>
  </si>
  <si>
    <t>森山　悠人</t>
  </si>
  <si>
    <t>モリヤマ　ユウト</t>
  </si>
  <si>
    <t>森田　彩加</t>
  </si>
  <si>
    <t>モリタ　アヤカ</t>
  </si>
  <si>
    <t>狭間　陽奈太</t>
  </si>
  <si>
    <t>ハザマ　ヒナタ</t>
  </si>
  <si>
    <t>田崎　裕之助</t>
  </si>
  <si>
    <t>タサキ　ユウノスケ</t>
  </si>
  <si>
    <t>安元　伊月</t>
  </si>
  <si>
    <t>ヤスモト　イツキ</t>
  </si>
  <si>
    <t>竹尾　蓮司</t>
  </si>
  <si>
    <t>タケオ　レンジ</t>
  </si>
  <si>
    <t>田羽多　利希亜</t>
  </si>
  <si>
    <t>タバタ　リキア</t>
  </si>
  <si>
    <t>秋月　太一</t>
  </si>
  <si>
    <t>アキヅキ　タイチ</t>
  </si>
  <si>
    <t>梅尾　俊介</t>
  </si>
  <si>
    <t>ウメオ　シュンスケ</t>
  </si>
  <si>
    <t>篠原　朝來</t>
  </si>
  <si>
    <t>シノハラ　サク</t>
  </si>
  <si>
    <t>田邉　結大</t>
  </si>
  <si>
    <t>タナベ　ユウダイ</t>
  </si>
  <si>
    <t>佐々木　陸</t>
  </si>
  <si>
    <t>ササキ　リク</t>
  </si>
  <si>
    <t>岩本　蒼</t>
  </si>
  <si>
    <t>イワモト　アオイ</t>
  </si>
  <si>
    <t>遠藤　楓牙</t>
  </si>
  <si>
    <t>エンドウ　フウガ</t>
  </si>
  <si>
    <t>小野　琥太郎</t>
  </si>
  <si>
    <t>オノ　コタロウ</t>
  </si>
  <si>
    <t>宮本　歩夢</t>
  </si>
  <si>
    <t>ミヤモト　アユム</t>
  </si>
  <si>
    <t>黒田　琉生</t>
  </si>
  <si>
    <t>クロダ　リュウキ</t>
  </si>
  <si>
    <t>幸長　淳斗</t>
  </si>
  <si>
    <t>ユキナガ　アツト</t>
  </si>
  <si>
    <t>宮下　陽真</t>
  </si>
  <si>
    <t>ミヤシタ　ハルマ</t>
  </si>
  <si>
    <t>中野　由菜</t>
  </si>
  <si>
    <t>ナカノ　ユナ</t>
  </si>
  <si>
    <t>松田　花</t>
  </si>
  <si>
    <t>マツダ　ハナ</t>
  </si>
  <si>
    <t>幸長　梨央</t>
  </si>
  <si>
    <t>ユキナガ　リオ</t>
  </si>
  <si>
    <t>流　敬信</t>
  </si>
  <si>
    <t>ミズユキ　ケイシン</t>
  </si>
  <si>
    <t>岩永　綾人</t>
  </si>
  <si>
    <t>イワナガ　アヤト</t>
  </si>
  <si>
    <t>柳井　壱冴</t>
  </si>
  <si>
    <t>ヤナイ　イチゴ</t>
  </si>
  <si>
    <t>フカダ　リツ</t>
  </si>
  <si>
    <t>工藤　陽斗</t>
  </si>
  <si>
    <t>クドウ　ハルト</t>
  </si>
  <si>
    <t>河野　陽斗</t>
  </si>
  <si>
    <t>コウノ　ハルト</t>
  </si>
  <si>
    <t>日野　真治</t>
  </si>
  <si>
    <t>ヒノ　シンジ</t>
  </si>
  <si>
    <t>三浦　遥輝</t>
  </si>
  <si>
    <t>工藤　悠真</t>
  </si>
  <si>
    <t>クドウ　ユウマ</t>
  </si>
  <si>
    <t>西野　天翔</t>
  </si>
  <si>
    <t>ニシノ　タカト</t>
  </si>
  <si>
    <t>堤　一心</t>
  </si>
  <si>
    <t>ツツミ　イッシン</t>
  </si>
  <si>
    <t>井上　寿莉</t>
  </si>
  <si>
    <t>イノウエ　ジュリ</t>
  </si>
  <si>
    <t>野呂　心人</t>
  </si>
  <si>
    <t>ノロ　ムネト</t>
  </si>
  <si>
    <t>上野　輝翔</t>
  </si>
  <si>
    <t>ウエノ　ライト</t>
  </si>
  <si>
    <t>江戸　瞬太</t>
  </si>
  <si>
    <t>エド　シュンタ</t>
  </si>
  <si>
    <t>加藤　慶大</t>
  </si>
  <si>
    <t>カトウ　ケイタ</t>
  </si>
  <si>
    <t>矢野　陽希</t>
  </si>
  <si>
    <t>ヤノ　ハルキ</t>
  </si>
  <si>
    <t>甲斐　夕禅</t>
  </si>
  <si>
    <t>カイ　ユウゼン</t>
  </si>
  <si>
    <t>首藤　幸輝</t>
  </si>
  <si>
    <t>シュトウ　コウキ</t>
  </si>
  <si>
    <t>横山　奏真</t>
  </si>
  <si>
    <t>ヨコヤマ　ソウマ</t>
  </si>
  <si>
    <t>大分トリニータタートルズ</t>
  </si>
  <si>
    <t>仲野　陽稀</t>
  </si>
  <si>
    <t>ナカノ　ハルキ</t>
  </si>
  <si>
    <t>日高　祐仁</t>
  </si>
  <si>
    <t>ヒダカ　ユウジン</t>
  </si>
  <si>
    <t>石川　心綺</t>
  </si>
  <si>
    <t>イシカワ　コア</t>
  </si>
  <si>
    <t>松川　暉</t>
  </si>
  <si>
    <t>マツカワ　ヒカル</t>
  </si>
  <si>
    <t>吉賀　令雄</t>
  </si>
  <si>
    <t>ヨシガ　レオ</t>
  </si>
  <si>
    <t>松山　朔也</t>
  </si>
  <si>
    <t>マツヤマ　サクヤ</t>
  </si>
  <si>
    <t>西耒路　歩夢</t>
  </si>
  <si>
    <t>サイライジ　アユム</t>
  </si>
  <si>
    <t>中村　春輝</t>
  </si>
  <si>
    <t>ナカムラ　ハルキ</t>
  </si>
  <si>
    <t>谷口　水音</t>
  </si>
  <si>
    <t>タニグチ　ミナト</t>
  </si>
  <si>
    <t>溝口　颯士</t>
  </si>
  <si>
    <t>ミゾグチ　ソウシ</t>
  </si>
  <si>
    <t>近藤　幹大</t>
  </si>
  <si>
    <t>コンドウ　カンタ</t>
  </si>
  <si>
    <t>乙女　楓太</t>
  </si>
  <si>
    <t>オトメ　フウタ</t>
  </si>
  <si>
    <t>小川　真拓</t>
  </si>
  <si>
    <t>オガワ　マサヒロ</t>
  </si>
  <si>
    <t>日高　佑晴</t>
  </si>
  <si>
    <t>ヒダカ　ユウセイ</t>
  </si>
  <si>
    <t>里脇　絆</t>
  </si>
  <si>
    <t>サトワキ　キズナ</t>
  </si>
  <si>
    <t>瀬戸　夢人</t>
  </si>
  <si>
    <t>セト　ユメト</t>
  </si>
  <si>
    <t>南　咲太郎</t>
  </si>
  <si>
    <t>ミナミ　サクタロウ</t>
  </si>
  <si>
    <t>中園　侑吾</t>
  </si>
  <si>
    <t>ナカゾノ　ユウゴ</t>
  </si>
  <si>
    <t>沖本　将吾</t>
  </si>
  <si>
    <t>オキモト　ショウゴ</t>
  </si>
  <si>
    <t>小雲　虹</t>
  </si>
  <si>
    <t>オグモ　アキラ</t>
  </si>
  <si>
    <t>園田　永愛</t>
  </si>
  <si>
    <t>ソノダ　トア</t>
  </si>
  <si>
    <t>首藤　悠人</t>
  </si>
  <si>
    <t>シュトウ　ハルト</t>
  </si>
  <si>
    <t>今川　凛香</t>
  </si>
  <si>
    <t>イマガワ　リンカ</t>
  </si>
  <si>
    <t>アスガリ　イリヤ</t>
  </si>
  <si>
    <t>羽田野　結斗</t>
  </si>
  <si>
    <t>ハダノ　ユイト</t>
  </si>
  <si>
    <t>小平　靖空</t>
  </si>
  <si>
    <t>コダイラ　セア</t>
  </si>
  <si>
    <t>川上　心平</t>
  </si>
  <si>
    <t>カワカミ　シンペイ</t>
  </si>
  <si>
    <t>渡邉　結斗</t>
  </si>
  <si>
    <t>ワタナベ　ユウト</t>
  </si>
  <si>
    <t>佐藤　由晟</t>
  </si>
  <si>
    <t>笠木　連斗</t>
  </si>
  <si>
    <t>カサギ　レント</t>
  </si>
  <si>
    <t>苅北　海心</t>
  </si>
  <si>
    <t>カリキタ　カイシン</t>
  </si>
  <si>
    <t>小野　愛冬</t>
  </si>
  <si>
    <t>オノ　マナト</t>
  </si>
  <si>
    <t>稲葉　彬人</t>
  </si>
  <si>
    <t>イナバ　アキト</t>
  </si>
  <si>
    <t>中川　瑞稀</t>
  </si>
  <si>
    <t>ナカガワ　ミズキ</t>
  </si>
  <si>
    <t>瀧口　達成</t>
  </si>
  <si>
    <t>タキグチ　タツナリ</t>
  </si>
  <si>
    <t>糸長　優斗</t>
  </si>
  <si>
    <t>イトナガ　ユウト</t>
  </si>
  <si>
    <t>矢野　聖志朗</t>
  </si>
  <si>
    <t>ヤノ　セイシロウ</t>
  </si>
  <si>
    <t>上原　光然</t>
  </si>
  <si>
    <t>ウエハラ　コウゼン</t>
  </si>
  <si>
    <t>矢野　晴</t>
  </si>
  <si>
    <t>ヤノ　ハル</t>
  </si>
  <si>
    <t>河野　翔太</t>
  </si>
  <si>
    <t>カワノ　ショウタ</t>
  </si>
  <si>
    <t>松本　晴哉</t>
  </si>
  <si>
    <t>マツモト　セイヤ</t>
  </si>
  <si>
    <t>東　駿太</t>
  </si>
  <si>
    <t>ヒガシ　シュンタ</t>
  </si>
  <si>
    <t>髙村　佳葦</t>
  </si>
  <si>
    <t>タカムラ　カイ</t>
  </si>
  <si>
    <t>幸得　鈴ノ介</t>
  </si>
  <si>
    <t>コウトク　スズノスケ</t>
  </si>
  <si>
    <t>髙倉　啓伍</t>
  </si>
  <si>
    <t>タカクラ　ケイゴ</t>
  </si>
  <si>
    <t>江藤　優成</t>
  </si>
  <si>
    <t>エトウ　ユウセイ</t>
  </si>
  <si>
    <t>江藤　夢磨</t>
  </si>
  <si>
    <t>エトウ　ユマ</t>
  </si>
  <si>
    <t>早川　旺雅</t>
  </si>
  <si>
    <t>ハヤカワ　オウマ</t>
  </si>
  <si>
    <t>工藤　雄大</t>
  </si>
  <si>
    <t>クドウ　ユウダイ</t>
  </si>
  <si>
    <t>豊川サッカークラブ</t>
  </si>
  <si>
    <t>藤原　光希</t>
  </si>
  <si>
    <t>フジワラ　コウキ</t>
  </si>
  <si>
    <t>奥　虹斗</t>
  </si>
  <si>
    <t>オク　ナナト</t>
  </si>
  <si>
    <t>今石　琥牙</t>
  </si>
  <si>
    <t>イマイシ　コウガ</t>
  </si>
  <si>
    <t>後藤　大地</t>
  </si>
  <si>
    <t>ゴトウ　リク</t>
  </si>
  <si>
    <t>川面　柾仁</t>
  </si>
  <si>
    <t>カワツラ　マサト</t>
  </si>
  <si>
    <t>片岡　正臣</t>
  </si>
  <si>
    <t>カタオカ　マサオミ</t>
  </si>
  <si>
    <t>後藤　叶向</t>
  </si>
  <si>
    <t>ゴトウ　カナタ</t>
  </si>
  <si>
    <t>他</t>
  </si>
  <si>
    <t>平原　圭晋</t>
  </si>
  <si>
    <t>ヒラバル　ケイシン</t>
  </si>
  <si>
    <t>藤原　寧々</t>
  </si>
  <si>
    <t>フジワラ　ネネ</t>
  </si>
  <si>
    <t>井ノ口　菫</t>
  </si>
  <si>
    <t>イノクチ　スミレ</t>
  </si>
  <si>
    <t>堀　裕翔</t>
  </si>
  <si>
    <t>ホリ　ヒロト</t>
  </si>
  <si>
    <t>片岡　功正</t>
  </si>
  <si>
    <t>カタオカ　コウセイ</t>
  </si>
  <si>
    <t>藤原　奈々</t>
  </si>
  <si>
    <t>フジワラ　ナナ</t>
  </si>
  <si>
    <t>山中　銀時</t>
  </si>
  <si>
    <t>ヤマナカ　ギンジ</t>
  </si>
  <si>
    <t>尾林　秀哉</t>
  </si>
  <si>
    <t>オバヤシ　シュウヤ</t>
  </si>
  <si>
    <t>今里　遙希</t>
  </si>
  <si>
    <t>イマザト　ハルキ</t>
  </si>
  <si>
    <t>廣瀨　玲央</t>
  </si>
  <si>
    <t>ヒロセ　レオ</t>
  </si>
  <si>
    <t>森山　龍</t>
  </si>
  <si>
    <t>モリヤマ　リュウ</t>
  </si>
  <si>
    <t>戎藤　翔哉</t>
  </si>
  <si>
    <t>エビスフジ　ショウヤ</t>
  </si>
  <si>
    <t>安藤　由翔</t>
  </si>
  <si>
    <t>アンドウ　ナオト</t>
  </si>
  <si>
    <t>勘崎　優衣</t>
  </si>
  <si>
    <t>カンザキ　ユイ</t>
  </si>
  <si>
    <t>花木　晴守</t>
  </si>
  <si>
    <t>ハナキ　ハルマ</t>
  </si>
  <si>
    <t>中山田　憲寛</t>
  </si>
  <si>
    <t>ナカヤマダ　ノリヒロ</t>
  </si>
  <si>
    <t>甲斐　翔惺</t>
  </si>
  <si>
    <t>カイ　ショウセイ</t>
  </si>
  <si>
    <t>立花　由弥</t>
  </si>
  <si>
    <t>タチバナ　ユイヤ</t>
  </si>
  <si>
    <t>立山　心詠</t>
  </si>
  <si>
    <t>タテヤマ　コウ</t>
  </si>
  <si>
    <t>倉富　奏大</t>
  </si>
  <si>
    <t>クラトミ　カナタ</t>
  </si>
  <si>
    <t>河野　快音</t>
  </si>
  <si>
    <t>カワノ　カイト</t>
  </si>
  <si>
    <t>古屋　俊洋</t>
  </si>
  <si>
    <t>コヤ　トシヒロ</t>
  </si>
  <si>
    <t>谷口　友哉</t>
  </si>
  <si>
    <t>タニグチ　ユウヤ</t>
  </si>
  <si>
    <t>川野　颯斗</t>
  </si>
  <si>
    <t>清原　大絆</t>
  </si>
  <si>
    <t>キヨハラ　タイキ</t>
  </si>
  <si>
    <t>首藤　洸明</t>
  </si>
  <si>
    <t>シュトウ　コウメイ</t>
  </si>
  <si>
    <t>桑原　一護</t>
  </si>
  <si>
    <t>クワハラ　イチゴ</t>
  </si>
  <si>
    <t>首藤　清愛</t>
  </si>
  <si>
    <t>シュトウ　キヨチカ</t>
  </si>
  <si>
    <t>久保　琥太郎</t>
  </si>
  <si>
    <t>クボ　コタロウ</t>
  </si>
  <si>
    <t>佐藤　永音</t>
  </si>
  <si>
    <t>サトウ　エイト</t>
  </si>
  <si>
    <t>松前　明日斗</t>
  </si>
  <si>
    <t>マツマエ　アスト</t>
  </si>
  <si>
    <t>スマイス　セレソン　スポーツクラブＢ</t>
  </si>
  <si>
    <t>奥原　大和</t>
  </si>
  <si>
    <t>オクハラ　ヤマト</t>
  </si>
  <si>
    <t>米山　大翔</t>
  </si>
  <si>
    <t>ヨネヤマ　ヒロト</t>
  </si>
  <si>
    <t>足立　雅治</t>
  </si>
  <si>
    <t>アダチ　マサハル</t>
  </si>
  <si>
    <t>中村　碧大</t>
  </si>
  <si>
    <t>ナカムラ　アオ</t>
  </si>
  <si>
    <t>簀戸　悠斗</t>
  </si>
  <si>
    <t>スト　ユウト</t>
  </si>
  <si>
    <t>新村　眞士</t>
  </si>
  <si>
    <t>シンムラ　マサト</t>
  </si>
  <si>
    <t>三浦　朔太郎</t>
  </si>
  <si>
    <t>ミウラ　サクタロウ</t>
  </si>
  <si>
    <t>平川　悠太</t>
  </si>
  <si>
    <t>ヒラカワ　ユウタ</t>
  </si>
  <si>
    <t>綿貫　琉叶</t>
  </si>
  <si>
    <t>ワタヌキ　ルカ</t>
  </si>
  <si>
    <t>福島　由舞</t>
  </si>
  <si>
    <t>フクシマ　ユイマ</t>
  </si>
  <si>
    <t>西田　斗真</t>
  </si>
  <si>
    <t>ニシダ　トウマ</t>
  </si>
  <si>
    <t>羽田野　淳斗</t>
  </si>
  <si>
    <t>ハタノ　アツト</t>
  </si>
  <si>
    <t>内山　嶺弥</t>
  </si>
  <si>
    <t>ウチヤマ　レイヤ</t>
  </si>
  <si>
    <t>新村　隼士</t>
  </si>
  <si>
    <t>シンムラ　ハヤト</t>
  </si>
  <si>
    <t>衛藤　翔太</t>
  </si>
  <si>
    <t>緒方　理仁</t>
  </si>
  <si>
    <t>オガタ　リヒト</t>
  </si>
  <si>
    <t>ＦＣ　ＪＵＮＩＯＲＳ</t>
  </si>
  <si>
    <t>松尾　宗助</t>
  </si>
  <si>
    <t>マツオ　ソウスケ</t>
  </si>
  <si>
    <t>山下　栄徳</t>
  </si>
  <si>
    <t>ヤマシタ　エイト</t>
  </si>
  <si>
    <t>江藤　友輝</t>
  </si>
  <si>
    <t>エトウ　トモキ</t>
  </si>
  <si>
    <t>西　凌我</t>
  </si>
  <si>
    <t>ニシ　リョウガ</t>
  </si>
  <si>
    <t>渡辺　大空</t>
  </si>
  <si>
    <t>ワタナベ　ソラ</t>
  </si>
  <si>
    <t>柾木　陸</t>
  </si>
  <si>
    <t>マサキ　リク</t>
  </si>
  <si>
    <t>中川　昴哉</t>
  </si>
  <si>
    <t>ナカガワ　コウスケ</t>
  </si>
  <si>
    <t>穐吉　悠仁</t>
  </si>
  <si>
    <t>アキヨシ　ハルト</t>
  </si>
  <si>
    <t>原　勇斗</t>
  </si>
  <si>
    <t>ハラ　ユウト</t>
  </si>
  <si>
    <t>川村　将平</t>
  </si>
  <si>
    <t>カワムラ　ショウヘイ</t>
  </si>
  <si>
    <t>中野　玲空</t>
  </si>
  <si>
    <t>ナカノ　リク</t>
  </si>
  <si>
    <t>坪根　伊央理</t>
  </si>
  <si>
    <t>ツボネ　イオリ</t>
  </si>
  <si>
    <t>小野　創史</t>
  </si>
  <si>
    <t>オノ　ソウシ</t>
  </si>
  <si>
    <t>本多　大河</t>
  </si>
  <si>
    <t>ホンダ　タイガ</t>
  </si>
  <si>
    <t>渡辺　泰成</t>
  </si>
  <si>
    <t>ワタナベ　ヤスナリ</t>
  </si>
  <si>
    <t>後藤　賢斗</t>
  </si>
  <si>
    <t>ゴトウ　ケント</t>
  </si>
  <si>
    <t>酒迎　瑛太</t>
  </si>
  <si>
    <t>シュゲイ　エイタ</t>
  </si>
  <si>
    <t>邑本　竜慎</t>
  </si>
  <si>
    <t>ムラモト　リュウシン</t>
  </si>
  <si>
    <t>濱内　大輝</t>
  </si>
  <si>
    <t>ハマウチ　ダイキ</t>
  </si>
  <si>
    <t>橋本　蓮斗</t>
  </si>
  <si>
    <t>ハシモト　レント</t>
  </si>
  <si>
    <t>高崎　晏史</t>
  </si>
  <si>
    <t>タカサキ　アンジ</t>
  </si>
  <si>
    <t>川野　龍空</t>
  </si>
  <si>
    <t>カワノ　リク</t>
  </si>
  <si>
    <t>瀬口　元気</t>
  </si>
  <si>
    <t>セグチ　ゲンキ</t>
  </si>
  <si>
    <t>寺西　岳</t>
  </si>
  <si>
    <t>テラニシ　ガク</t>
  </si>
  <si>
    <t>小倉　彪愛</t>
  </si>
  <si>
    <t>オグラ　トア</t>
  </si>
  <si>
    <t>岩尾　薫</t>
  </si>
  <si>
    <t>イワオ　カオル</t>
  </si>
  <si>
    <t>師岡　柚衣</t>
  </si>
  <si>
    <t>モロオカ　ユイ</t>
  </si>
  <si>
    <t>中野　真葵</t>
  </si>
  <si>
    <t>前山　遼希</t>
  </si>
  <si>
    <t>マエヤマ　ハルキ</t>
  </si>
  <si>
    <t>岩﨑　里凰那</t>
  </si>
  <si>
    <t>イワサキ　リオナ</t>
  </si>
  <si>
    <t>原野　晃輔</t>
  </si>
  <si>
    <t>ハラノ　コウスケ</t>
  </si>
  <si>
    <t>三宮　大空</t>
  </si>
  <si>
    <t>サンノミヤ　ツバサ</t>
  </si>
  <si>
    <t>木城　玲覇</t>
  </si>
  <si>
    <t>キシロ　レイハ</t>
  </si>
  <si>
    <t>屋敷　莞児</t>
  </si>
  <si>
    <t>ヤシキ　カンジ</t>
  </si>
  <si>
    <t>河津　丈生</t>
  </si>
  <si>
    <t>カワヅ　ジョウ</t>
  </si>
  <si>
    <t>船津　幸矢</t>
  </si>
  <si>
    <t>フナツ　コウヤ</t>
  </si>
  <si>
    <t>藤井　夢翔</t>
  </si>
  <si>
    <t>フジイ　ユメト</t>
  </si>
  <si>
    <t>毛利　陽向</t>
  </si>
  <si>
    <t>モウリ　ヒナタ</t>
  </si>
  <si>
    <t>結城　寛太</t>
  </si>
  <si>
    <t>ユウキ　カンタ</t>
  </si>
  <si>
    <t>中村　洸翔</t>
  </si>
  <si>
    <t>ナカムラ　ヒロト</t>
  </si>
  <si>
    <t>佐藤　空和</t>
  </si>
  <si>
    <t>サトウ　ソワ</t>
  </si>
  <si>
    <t>岡見　卓飛</t>
  </si>
  <si>
    <t>オカミ　タクト</t>
  </si>
  <si>
    <t>彦陽ジュニアサッカークラブ</t>
  </si>
  <si>
    <t>福谷　晃陽</t>
  </si>
  <si>
    <t>フクタニ　コウヨウ</t>
  </si>
  <si>
    <t>菅　基親</t>
  </si>
  <si>
    <t>カン　モトチカ</t>
  </si>
  <si>
    <t>岩崎　翔太</t>
  </si>
  <si>
    <t>イワサキ　ショウタ</t>
  </si>
  <si>
    <t>染矢　獅王</t>
  </si>
  <si>
    <t>ソメヤ　レオ</t>
  </si>
  <si>
    <t>亀井　あかり</t>
  </si>
  <si>
    <t>カメイ　アカリ</t>
  </si>
  <si>
    <t>森田　蒼眞</t>
  </si>
  <si>
    <t>モリタ　アスマ</t>
  </si>
  <si>
    <t>細川　結陽</t>
  </si>
  <si>
    <t>ホソカワ　ユウヒ</t>
  </si>
  <si>
    <t>今津　タスク</t>
  </si>
  <si>
    <t>イマヅ　タスク</t>
  </si>
  <si>
    <t>野村　悠仁</t>
  </si>
  <si>
    <t>ノムラ　ハルト</t>
  </si>
  <si>
    <t>福谷　陽有</t>
  </si>
  <si>
    <t>フクタニ　ハルア</t>
  </si>
  <si>
    <t>都甲　悠太</t>
  </si>
  <si>
    <t>トゴウ　ユウタ</t>
  </si>
  <si>
    <t>池田　拓人</t>
  </si>
  <si>
    <t>イケダ　タクト</t>
  </si>
  <si>
    <t>染矢　龍徳</t>
  </si>
  <si>
    <t>ソメヤ　リュウト</t>
  </si>
  <si>
    <t>清家　彬跳</t>
  </si>
  <si>
    <t>セイケ　アルト</t>
  </si>
  <si>
    <t>細川　榛仁</t>
  </si>
  <si>
    <t>ホソカワ　ハルト</t>
  </si>
  <si>
    <t>大星　龍輝</t>
  </si>
  <si>
    <t>オオボシ　リュウキ</t>
  </si>
  <si>
    <t>Ｄｉｖｅｒｔ．ＦＣ</t>
  </si>
  <si>
    <t>清永　龍臣</t>
  </si>
  <si>
    <t>キヨナガ　タツオミ</t>
  </si>
  <si>
    <t>室　蓮翔</t>
  </si>
  <si>
    <t>ムロ　レント</t>
  </si>
  <si>
    <t>小原　絆</t>
  </si>
  <si>
    <t>コハラ　キズナ</t>
  </si>
  <si>
    <t>中原　晴生</t>
  </si>
  <si>
    <t>ナカハラ　ハルキ</t>
  </si>
  <si>
    <t>室　花凛</t>
  </si>
  <si>
    <t>ムロ　カリン</t>
  </si>
  <si>
    <t>古藤　優空</t>
  </si>
  <si>
    <t>コトウ　ソラ</t>
  </si>
  <si>
    <t>古藤　星穏</t>
  </si>
  <si>
    <t>コトウ　シオン</t>
  </si>
  <si>
    <t>岡部　聖来</t>
  </si>
  <si>
    <t>オカベ　セラ</t>
  </si>
  <si>
    <t>石掛　雅希</t>
  </si>
  <si>
    <t>イシカケ　マサキ</t>
  </si>
  <si>
    <t>小野　琉煌亜</t>
  </si>
  <si>
    <t>オノ　ルキア</t>
  </si>
  <si>
    <t>室　天翔</t>
  </si>
  <si>
    <t>ムロ　タカト</t>
  </si>
  <si>
    <t>ラフ</t>
  </si>
  <si>
    <t>後藤　寿</t>
    <rPh sb="0" eb="2">
      <t>ゴトウ</t>
    </rPh>
    <rPh sb="3" eb="4">
      <t>ヒサシ</t>
    </rPh>
    <phoneticPr fontId="4"/>
  </si>
  <si>
    <t>赤峰　桃香</t>
  </si>
  <si>
    <t>R010698128</t>
  </si>
  <si>
    <t>東　紘造</t>
  </si>
  <si>
    <t>R009072152</t>
  </si>
  <si>
    <t>麻生　葵</t>
  </si>
  <si>
    <t>R010698142</t>
  </si>
  <si>
    <t>伊藤　勇汰</t>
  </si>
  <si>
    <t>R010682456</t>
  </si>
  <si>
    <t>神崎　雅且</t>
  </si>
  <si>
    <t>R010018266</t>
  </si>
  <si>
    <t>末信　大</t>
  </si>
  <si>
    <t>R010698136</t>
  </si>
  <si>
    <t>塚崎　仁志</t>
  </si>
  <si>
    <t>R010676614</t>
  </si>
  <si>
    <t>辻野　優吾</t>
  </si>
  <si>
    <t>R010685161</t>
  </si>
  <si>
    <t>飛瀬　龍宝</t>
  </si>
  <si>
    <t>R010689072</t>
  </si>
  <si>
    <t>友松　力</t>
  </si>
  <si>
    <t>R010676676</t>
  </si>
  <si>
    <t>泥谷　貫太</t>
  </si>
  <si>
    <t>R003421736</t>
  </si>
  <si>
    <t>松浦　将志</t>
  </si>
  <si>
    <t>R010678841</t>
  </si>
  <si>
    <t>矢野　紘平</t>
  </si>
  <si>
    <t>R010562969</t>
  </si>
  <si>
    <t>鎗光　瑠波</t>
  </si>
  <si>
    <t>R010682436</t>
  </si>
  <si>
    <t>吉元　剛</t>
  </si>
  <si>
    <t>R010700299</t>
  </si>
  <si>
    <t>相原　龍征</t>
  </si>
  <si>
    <t>R010661145</t>
  </si>
  <si>
    <t>青野　鈴華</t>
  </si>
  <si>
    <t>R010719621</t>
  </si>
  <si>
    <t>赤木　心玖朗</t>
  </si>
  <si>
    <t>R010682445</t>
  </si>
  <si>
    <t>赤嶺　隼士</t>
  </si>
  <si>
    <t>R010746604</t>
  </si>
  <si>
    <t>秋月　拓海</t>
  </si>
  <si>
    <t>R010682462</t>
  </si>
  <si>
    <t>秋元　文悟</t>
  </si>
  <si>
    <t>R010685250</t>
  </si>
  <si>
    <t>秋吉　祥吾</t>
  </si>
  <si>
    <t>R010698173</t>
  </si>
  <si>
    <t>秋吉　将太</t>
  </si>
  <si>
    <t>R010698172</t>
  </si>
  <si>
    <t>秋吉　崇志</t>
  </si>
  <si>
    <t>R010678834</t>
  </si>
  <si>
    <t>秋吉　逞</t>
  </si>
  <si>
    <t>R010687461</t>
  </si>
  <si>
    <t>秋吉　真翔</t>
  </si>
  <si>
    <t>R010728106</t>
  </si>
  <si>
    <t>R010728097</t>
  </si>
  <si>
    <t>芥川　遥人</t>
  </si>
  <si>
    <t>R010728101</t>
  </si>
  <si>
    <t>圷　史峻</t>
  </si>
  <si>
    <t>R010689525</t>
  </si>
  <si>
    <t>浅井　悠成</t>
  </si>
  <si>
    <t>R010685262</t>
  </si>
  <si>
    <t>麻生　健</t>
  </si>
  <si>
    <t>R010698140</t>
  </si>
  <si>
    <t>麻生　勇太</t>
  </si>
  <si>
    <t>R010728134</t>
  </si>
  <si>
    <t>R010687467</t>
  </si>
  <si>
    <t>足立　匠海</t>
  </si>
  <si>
    <t>R010689078</t>
  </si>
  <si>
    <t>安達　正信</t>
  </si>
  <si>
    <t>R010746608</t>
  </si>
  <si>
    <t>穴井　己登</t>
  </si>
  <si>
    <t>R010685239</t>
  </si>
  <si>
    <t>穴井　久徳</t>
  </si>
  <si>
    <t>R010684136</t>
  </si>
  <si>
    <t>穴井　将斗</t>
  </si>
  <si>
    <t>R010714973</t>
  </si>
  <si>
    <t>姉川　蓮太</t>
  </si>
  <si>
    <t>R010714989</t>
  </si>
  <si>
    <t>R010746658</t>
  </si>
  <si>
    <t>安部　亘平</t>
  </si>
  <si>
    <t>R010698154</t>
  </si>
  <si>
    <t>阿部　想士朗</t>
  </si>
  <si>
    <t>R010746643</t>
  </si>
  <si>
    <t>安部　大地</t>
  </si>
  <si>
    <t>R010676591</t>
  </si>
  <si>
    <t>阿部　真尋</t>
  </si>
  <si>
    <t>R010684101</t>
  </si>
  <si>
    <t>安部　衛</t>
  </si>
  <si>
    <t>R010684119</t>
  </si>
  <si>
    <t>安部　海結</t>
  </si>
  <si>
    <t>R010719631</t>
  </si>
  <si>
    <t>R010715014</t>
  </si>
  <si>
    <t>阿部　祐世</t>
  </si>
  <si>
    <t>R010698150</t>
  </si>
  <si>
    <t>安部　優真</t>
  </si>
  <si>
    <t>R010678830</t>
  </si>
  <si>
    <t>尼崎　琉太</t>
  </si>
  <si>
    <t>R010728159</t>
  </si>
  <si>
    <t>荒木　雅敏</t>
  </si>
  <si>
    <t>R010700312</t>
  </si>
  <si>
    <t>荒巻　而志</t>
  </si>
  <si>
    <t>R010700311</t>
  </si>
  <si>
    <t>荒巻　乃得</t>
  </si>
  <si>
    <t>R010689341</t>
  </si>
  <si>
    <t>有田　遍</t>
  </si>
  <si>
    <t>R010746624</t>
  </si>
  <si>
    <t>有田　龍起</t>
  </si>
  <si>
    <t>R010660815</t>
  </si>
  <si>
    <t>有田　凜久</t>
  </si>
  <si>
    <t>R010691469</t>
  </si>
  <si>
    <t>有永　元</t>
  </si>
  <si>
    <t>R010660827</t>
  </si>
  <si>
    <t>有吉　聖</t>
  </si>
  <si>
    <t>R010737843</t>
  </si>
  <si>
    <t>R010682437</t>
  </si>
  <si>
    <t>安藤　和樹</t>
  </si>
  <si>
    <t>R010746622</t>
  </si>
  <si>
    <t>安藤　元気</t>
  </si>
  <si>
    <t>R010728170</t>
  </si>
  <si>
    <t>安藤　聡史</t>
  </si>
  <si>
    <t>R010661141</t>
  </si>
  <si>
    <t>安藤　恭徳</t>
  </si>
  <si>
    <t>R010728099</t>
  </si>
  <si>
    <t>R010728154</t>
  </si>
  <si>
    <t>R010698167</t>
  </si>
  <si>
    <t>池田　京司</t>
  </si>
  <si>
    <t>R010684103</t>
  </si>
  <si>
    <t>池田　悠人</t>
  </si>
  <si>
    <t>R010688486</t>
  </si>
  <si>
    <t>池永　陽琥</t>
  </si>
  <si>
    <t>R010698162</t>
  </si>
  <si>
    <t>池永　葎</t>
  </si>
  <si>
    <t>R010691471</t>
  </si>
  <si>
    <t>池部　絆心</t>
  </si>
  <si>
    <t>R010684130</t>
  </si>
  <si>
    <t>諌山　星那</t>
  </si>
  <si>
    <t>R010687775</t>
  </si>
  <si>
    <t>石井　湊人</t>
  </si>
  <si>
    <t>R010737004</t>
  </si>
  <si>
    <t>R010719629</t>
  </si>
  <si>
    <t>R010719628</t>
  </si>
  <si>
    <t>R010684105</t>
  </si>
  <si>
    <t>石崎　裕真</t>
  </si>
  <si>
    <t>R010698170</t>
  </si>
  <si>
    <t>石塚　頌</t>
  </si>
  <si>
    <t>R010676597</t>
  </si>
  <si>
    <t>石橋　将</t>
  </si>
  <si>
    <t>R010700318</t>
  </si>
  <si>
    <t>石丸　大喜</t>
  </si>
  <si>
    <t>R010088723</t>
  </si>
  <si>
    <t>和泉　拓夫</t>
  </si>
  <si>
    <t>R010728167</t>
  </si>
  <si>
    <t>R010714979</t>
  </si>
  <si>
    <t>礒崎　丈瑠</t>
  </si>
  <si>
    <t>R010728137</t>
  </si>
  <si>
    <t>R010746634</t>
  </si>
  <si>
    <t>R010746617</t>
  </si>
  <si>
    <t>市原　健之郎</t>
  </si>
  <si>
    <t>R010685163</t>
  </si>
  <si>
    <t>伊妻　寿昭</t>
  </si>
  <si>
    <t>R010689524</t>
  </si>
  <si>
    <t>井手　陽太</t>
  </si>
  <si>
    <t>R010660811</t>
  </si>
  <si>
    <t>井手　温稀</t>
  </si>
  <si>
    <t>R010691468</t>
  </si>
  <si>
    <t>出利葉　瑛太</t>
  </si>
  <si>
    <t>R010660802</t>
  </si>
  <si>
    <t>伊藤　翔大</t>
  </si>
  <si>
    <t>R010728138</t>
  </si>
  <si>
    <t>R010700305</t>
  </si>
  <si>
    <t>伊藤　勇士</t>
  </si>
  <si>
    <t>R010698130</t>
  </si>
  <si>
    <t>糸永　敬</t>
  </si>
  <si>
    <t>R010684093</t>
  </si>
  <si>
    <t>稲葉　和博</t>
  </si>
  <si>
    <t>R010689074</t>
  </si>
  <si>
    <t>稲葉　紳之介</t>
  </si>
  <si>
    <t>R010728166</t>
  </si>
  <si>
    <t>R010719618</t>
  </si>
  <si>
    <t>井上　陽斗</t>
  </si>
  <si>
    <t>R010698148</t>
  </si>
  <si>
    <t>今津　久満</t>
  </si>
  <si>
    <t>R010660799</t>
  </si>
  <si>
    <t>今西　竜之介</t>
  </si>
  <si>
    <t>R010689061</t>
  </si>
  <si>
    <t>今畠　かえで</t>
  </si>
  <si>
    <t>R010689077</t>
  </si>
  <si>
    <t>岩男　樹希也</t>
  </si>
  <si>
    <t>R010714983</t>
  </si>
  <si>
    <t>岩﨑　尚叶</t>
  </si>
  <si>
    <t>R010714971</t>
  </si>
  <si>
    <t>岩﨑　正進</t>
  </si>
  <si>
    <t>R010687776</t>
  </si>
  <si>
    <t>岩﨑　蓮</t>
  </si>
  <si>
    <t>R010728098</t>
  </si>
  <si>
    <t>岩田　優佑</t>
  </si>
  <si>
    <t>R010689533</t>
  </si>
  <si>
    <t>岩田　璃空</t>
  </si>
  <si>
    <t>R010684114</t>
  </si>
  <si>
    <t>岩田　琉生</t>
  </si>
  <si>
    <t>R010728142</t>
  </si>
  <si>
    <t>R010746642</t>
  </si>
  <si>
    <t>R010746615</t>
  </si>
  <si>
    <t>岩村　仁徳</t>
  </si>
  <si>
    <t>R010684131</t>
  </si>
  <si>
    <t>岩本　健聖</t>
  </si>
  <si>
    <t>R010728104</t>
  </si>
  <si>
    <t>植田　圭介</t>
  </si>
  <si>
    <t>R010746620</t>
  </si>
  <si>
    <t>上野　亜楽</t>
  </si>
  <si>
    <t>R010700308</t>
  </si>
  <si>
    <t>R010715020</t>
  </si>
  <si>
    <t>上原　和也</t>
  </si>
  <si>
    <t>R010684102</t>
  </si>
  <si>
    <t>上原　保</t>
  </si>
  <si>
    <t>R010676619</t>
  </si>
  <si>
    <t>上村　歩生</t>
  </si>
  <si>
    <t>R010684132</t>
  </si>
  <si>
    <t>右近　陽翔</t>
  </si>
  <si>
    <t>R010698153</t>
  </si>
  <si>
    <t>宇田　悠也</t>
  </si>
  <si>
    <t>R010719609</t>
  </si>
  <si>
    <t>内之浦　崇太</t>
  </si>
  <si>
    <t>R010685268</t>
  </si>
  <si>
    <t>宇野　一星</t>
  </si>
  <si>
    <t>R010728168</t>
  </si>
  <si>
    <t>梅田　陽</t>
  </si>
  <si>
    <t>R010698158</t>
  </si>
  <si>
    <t>浦脇　圭司</t>
  </si>
  <si>
    <t>R010689066</t>
  </si>
  <si>
    <t>榮森　結菜</t>
  </si>
  <si>
    <t>R010685253</t>
  </si>
  <si>
    <t>R010751188</t>
  </si>
  <si>
    <t>江﨑　陽子</t>
  </si>
  <si>
    <t>R010714975</t>
  </si>
  <si>
    <t>R010714985</t>
  </si>
  <si>
    <t>R010668410</t>
  </si>
  <si>
    <t>江藤　然生</t>
  </si>
  <si>
    <t>R010714970</t>
  </si>
  <si>
    <t>R010687456</t>
  </si>
  <si>
    <t>衛藤　蒼羽</t>
  </si>
  <si>
    <t>R010688474</t>
  </si>
  <si>
    <t>江藤　大智</t>
  </si>
  <si>
    <t>R010689079</t>
  </si>
  <si>
    <t>衛藤　比路人</t>
  </si>
  <si>
    <t>R010687774</t>
  </si>
  <si>
    <t>衛藤　瑞輝</t>
  </si>
  <si>
    <t>R010685270</t>
  </si>
  <si>
    <t>江藤　康博</t>
  </si>
  <si>
    <t>R010676605</t>
  </si>
  <si>
    <t>江藤　悠斗</t>
  </si>
  <si>
    <t>R010676612</t>
  </si>
  <si>
    <t>榎田　航大</t>
  </si>
  <si>
    <t>R010660795</t>
  </si>
  <si>
    <t>遠藤　虹輝</t>
  </si>
  <si>
    <t>R010728120</t>
  </si>
  <si>
    <t>大井　敦牙</t>
  </si>
  <si>
    <t>R010728163</t>
  </si>
  <si>
    <t>大城　寛幸</t>
  </si>
  <si>
    <t>R010700301</t>
  </si>
  <si>
    <t>大久保　孝太</t>
  </si>
  <si>
    <t>R010698129</t>
  </si>
  <si>
    <t>大久保　翔平</t>
  </si>
  <si>
    <t>R010678831</t>
  </si>
  <si>
    <t>大久保　桧埜</t>
  </si>
  <si>
    <t>R010746612</t>
  </si>
  <si>
    <t>大倉　逸聖</t>
  </si>
  <si>
    <t>R010719632</t>
  </si>
  <si>
    <t>大倉　宝子</t>
  </si>
  <si>
    <t>R010689062</t>
  </si>
  <si>
    <t>大下　紗也奈</t>
  </si>
  <si>
    <t>R010715002</t>
  </si>
  <si>
    <t>R010746661</t>
  </si>
  <si>
    <t>太田　圭祐</t>
  </si>
  <si>
    <t>R010746637</t>
  </si>
  <si>
    <t>太田　康哉</t>
  </si>
  <si>
    <t>R010746606</t>
  </si>
  <si>
    <t>大谷　貴晴</t>
  </si>
  <si>
    <t>R010728162</t>
  </si>
  <si>
    <t>R010689461</t>
  </si>
  <si>
    <t>大塚　瑛斗</t>
  </si>
  <si>
    <t>R010714980</t>
  </si>
  <si>
    <t>R010684123</t>
  </si>
  <si>
    <t>大野　碧斗</t>
  </si>
  <si>
    <t>R010689080</t>
  </si>
  <si>
    <t>大峯　陸</t>
  </si>
  <si>
    <t>R010728171</t>
  </si>
  <si>
    <t>R010698168</t>
  </si>
  <si>
    <t>大森　健太</t>
  </si>
  <si>
    <t>R010719616</t>
  </si>
  <si>
    <t>大山　拳史</t>
  </si>
  <si>
    <t>R010682455</t>
  </si>
  <si>
    <t>岡田　明</t>
  </si>
  <si>
    <t>R010737001</t>
  </si>
  <si>
    <t>R010660796</t>
  </si>
  <si>
    <t>岡田　翔馬</t>
  </si>
  <si>
    <t>R010736992</t>
  </si>
  <si>
    <t>岡本　颯真</t>
  </si>
  <si>
    <t>R010746607</t>
  </si>
  <si>
    <t>小笠原　貴之</t>
  </si>
  <si>
    <t>尾形　ルイス</t>
  </si>
  <si>
    <t>R010684113</t>
  </si>
  <si>
    <t>小川　修人</t>
  </si>
  <si>
    <t>R010684098</t>
  </si>
  <si>
    <t>小川　竜也</t>
  </si>
  <si>
    <t>R010746631</t>
  </si>
  <si>
    <t>奥野　達也</t>
  </si>
  <si>
    <t>R010737003</t>
  </si>
  <si>
    <t>尾﨑　恭</t>
  </si>
  <si>
    <t>R010728172</t>
  </si>
  <si>
    <t>小座本　諒</t>
  </si>
  <si>
    <t>R010676671</t>
  </si>
  <si>
    <t>小澤　颯太</t>
  </si>
  <si>
    <t>R010684112</t>
  </si>
  <si>
    <t>小代　朔</t>
  </si>
  <si>
    <t>R010676604</t>
  </si>
  <si>
    <t>越智　政名</t>
  </si>
  <si>
    <t>R010719620</t>
  </si>
  <si>
    <t>鬼木　翼</t>
  </si>
  <si>
    <t>R010728116</t>
  </si>
  <si>
    <t>R010685259</t>
  </si>
  <si>
    <t>小野　昂輝</t>
  </si>
  <si>
    <t>R010700296</t>
  </si>
  <si>
    <t>小野　喬</t>
  </si>
  <si>
    <t>R010714995</t>
  </si>
  <si>
    <t>R010746660</t>
  </si>
  <si>
    <t>小野　鉄平</t>
  </si>
  <si>
    <t>R010715012</t>
  </si>
  <si>
    <t>小野　大和</t>
  </si>
  <si>
    <t>R010685269</t>
  </si>
  <si>
    <t>小野　悠樹</t>
  </si>
  <si>
    <t>R010682440</t>
  </si>
  <si>
    <t>小野　龍之介</t>
  </si>
  <si>
    <t>R010714984</t>
  </si>
  <si>
    <t>小野　涼成</t>
  </si>
  <si>
    <t>R010714988</t>
  </si>
  <si>
    <t>R010660823</t>
  </si>
  <si>
    <t>小幡　愛翔</t>
  </si>
  <si>
    <t>R010698164</t>
  </si>
  <si>
    <t>河合　奏風</t>
  </si>
  <si>
    <t>R010687464</t>
  </si>
  <si>
    <t>甲斐　咲渡</t>
  </si>
  <si>
    <t>R010688477</t>
  </si>
  <si>
    <t>甲斐　純一郎</t>
  </si>
  <si>
    <t>R010719604</t>
  </si>
  <si>
    <t>甲斐　鉄士</t>
  </si>
  <si>
    <t>R010684116</t>
  </si>
  <si>
    <t>甲斐　陽向</t>
  </si>
  <si>
    <t>R010660813</t>
  </si>
  <si>
    <t>加々見　凪</t>
  </si>
  <si>
    <t>R010691458</t>
  </si>
  <si>
    <t>賀来　玲音</t>
  </si>
  <si>
    <t>R010682452</t>
  </si>
  <si>
    <t>角崎　正</t>
  </si>
  <si>
    <t>R010719627</t>
  </si>
  <si>
    <t>傘木　太郎</t>
  </si>
  <si>
    <t>R010682449</t>
  </si>
  <si>
    <t>梶浦　廉人</t>
  </si>
  <si>
    <t>R010678824</t>
  </si>
  <si>
    <t>梶原　康太</t>
  </si>
  <si>
    <t>R010728131</t>
  </si>
  <si>
    <t>梶原　清太郎</t>
  </si>
  <si>
    <t>R010684099</t>
  </si>
  <si>
    <t>片桐　大貴</t>
  </si>
  <si>
    <t>R010698163</t>
  </si>
  <si>
    <t>加藤　邦彦</t>
  </si>
  <si>
    <t>R010689456</t>
  </si>
  <si>
    <t>R010691464</t>
  </si>
  <si>
    <t>加藤　槇悟</t>
  </si>
  <si>
    <t>R010684016</t>
  </si>
  <si>
    <t>加藤　羽矢斗</t>
  </si>
  <si>
    <t>R010676613</t>
  </si>
  <si>
    <t>金森　海樹</t>
  </si>
  <si>
    <t>R010689529</t>
  </si>
  <si>
    <t>金子　寛太</t>
  </si>
  <si>
    <t>R010689123</t>
  </si>
  <si>
    <t>金崎　悠斗</t>
  </si>
  <si>
    <t>R010715011</t>
  </si>
  <si>
    <t>R010728155</t>
  </si>
  <si>
    <t>R010700292</t>
  </si>
  <si>
    <t>神屋　伸敏</t>
  </si>
  <si>
    <t>R010728122</t>
  </si>
  <si>
    <t>R010660828</t>
  </si>
  <si>
    <t>唐田　悠雅</t>
  </si>
  <si>
    <t>R010682442</t>
  </si>
  <si>
    <t>狩生　倖充</t>
  </si>
  <si>
    <t>R010678827</t>
  </si>
  <si>
    <t>川上　徐生</t>
  </si>
  <si>
    <t>R010746640</t>
  </si>
  <si>
    <t>川﨑　音生</t>
  </si>
  <si>
    <t>R010682461</t>
  </si>
  <si>
    <t>川﨑　亮駕</t>
  </si>
  <si>
    <t>R010676592</t>
  </si>
  <si>
    <t>川島　愛翔</t>
  </si>
  <si>
    <t>R010684137</t>
  </si>
  <si>
    <t>河津　愛都</t>
  </si>
  <si>
    <t>R010682441</t>
  </si>
  <si>
    <t>河野　瑛亮</t>
  </si>
  <si>
    <t>R010687784</t>
  </si>
  <si>
    <t>川野　宏弥</t>
  </si>
  <si>
    <t>R010698146</t>
  </si>
  <si>
    <t>河野　史勇太</t>
  </si>
  <si>
    <t>R010746662</t>
  </si>
  <si>
    <t>川野　颯太</t>
  </si>
  <si>
    <t>R010728094</t>
  </si>
  <si>
    <t>川野　大樹</t>
  </si>
  <si>
    <t>R010737007</t>
  </si>
  <si>
    <t>R010728149</t>
  </si>
  <si>
    <t>R010682454</t>
  </si>
  <si>
    <t>河野　祐樹</t>
  </si>
  <si>
    <t>R010678826</t>
  </si>
  <si>
    <t>川野　羚準</t>
  </si>
  <si>
    <t>R010700303</t>
  </si>
  <si>
    <t>川野　亮治</t>
  </si>
  <si>
    <t>R010684107</t>
  </si>
  <si>
    <t>河村　忠起</t>
  </si>
  <si>
    <t>R010746641</t>
  </si>
  <si>
    <t>河村　夢生</t>
  </si>
  <si>
    <t>R010682443</t>
  </si>
  <si>
    <t>神﨑　斗亜</t>
  </si>
  <si>
    <t>R010737006</t>
  </si>
  <si>
    <t>神﨑　雄人</t>
  </si>
  <si>
    <t>R010736998</t>
  </si>
  <si>
    <t>R010689484</t>
  </si>
  <si>
    <t>R010687772</t>
  </si>
  <si>
    <t>神田　遼太郎</t>
  </si>
  <si>
    <t>R010728156</t>
  </si>
  <si>
    <t>R010728169</t>
  </si>
  <si>
    <t>木崎　彰二</t>
  </si>
  <si>
    <t>R010689532</t>
  </si>
  <si>
    <t>北川　周</t>
  </si>
  <si>
    <t>R010746627</t>
  </si>
  <si>
    <t>北川　裕基</t>
  </si>
  <si>
    <t>R010714991</t>
  </si>
  <si>
    <t>R010687768</t>
  </si>
  <si>
    <t>北村　鴻尚</t>
  </si>
  <si>
    <t>R010728117</t>
  </si>
  <si>
    <t>R010700314</t>
  </si>
  <si>
    <t>木田　貴浩</t>
  </si>
  <si>
    <t>R010728113</t>
  </si>
  <si>
    <t>木津　大河</t>
  </si>
  <si>
    <t>R010684127</t>
  </si>
  <si>
    <t>木下　陽翔</t>
  </si>
  <si>
    <t>R010700306</t>
  </si>
  <si>
    <t>岐部　蒼海</t>
  </si>
  <si>
    <t>R010687773</t>
  </si>
  <si>
    <t>木村　海惺</t>
  </si>
  <si>
    <t>R010698132</t>
  </si>
  <si>
    <t>木村　尚輝</t>
  </si>
  <si>
    <t>R010689070</t>
  </si>
  <si>
    <t>木村　優月</t>
  </si>
  <si>
    <t>R010689527</t>
  </si>
  <si>
    <t>木元　大芽</t>
  </si>
  <si>
    <t>R010700298</t>
  </si>
  <si>
    <t>清末　祥平</t>
  </si>
  <si>
    <t>R010746659</t>
  </si>
  <si>
    <t>清田　翔馬</t>
  </si>
  <si>
    <t>R010687454</t>
  </si>
  <si>
    <t>清原　裕翔</t>
  </si>
  <si>
    <t>R010661146</t>
  </si>
  <si>
    <t>吉良　昌一郎</t>
  </si>
  <si>
    <t>R010660798</t>
  </si>
  <si>
    <t>吉良　翼</t>
  </si>
  <si>
    <t>R010687779</t>
  </si>
  <si>
    <t>吉良　大和</t>
  </si>
  <si>
    <t>R010689069</t>
  </si>
  <si>
    <t>切封　心花</t>
  </si>
  <si>
    <t>R010746623</t>
  </si>
  <si>
    <t>釘宮　早風</t>
  </si>
  <si>
    <t>R010687786</t>
  </si>
  <si>
    <t>串間　一貴</t>
  </si>
  <si>
    <t>R010689063</t>
  </si>
  <si>
    <t>楠　舞衣</t>
  </si>
  <si>
    <t>R010691461</t>
  </si>
  <si>
    <t>工藤　煌人</t>
  </si>
  <si>
    <t>R010689482</t>
  </si>
  <si>
    <t>R010728127</t>
  </si>
  <si>
    <t>R010685241</t>
  </si>
  <si>
    <t>熊谷　圭介</t>
  </si>
  <si>
    <t>R010689085</t>
  </si>
  <si>
    <t>栗谷　真人</t>
  </si>
  <si>
    <t>R010728160</t>
  </si>
  <si>
    <t>R010660822</t>
  </si>
  <si>
    <t>黒川　諒太</t>
  </si>
  <si>
    <t>R010687455</t>
  </si>
  <si>
    <t>黒木　渚冴</t>
  </si>
  <si>
    <t>R010728132</t>
  </si>
  <si>
    <t>R010700302</t>
  </si>
  <si>
    <t>黒木　亮輔</t>
  </si>
  <si>
    <t>R010746639</t>
  </si>
  <si>
    <t>桑田　優里亜</t>
  </si>
  <si>
    <t>R010685244</t>
  </si>
  <si>
    <t>桑鶴　十羽</t>
  </si>
  <si>
    <t>R010719613</t>
  </si>
  <si>
    <t>神田　将志</t>
  </si>
  <si>
    <t>R010688480</t>
  </si>
  <si>
    <t>河野　慧大</t>
  </si>
  <si>
    <t>R010715005</t>
  </si>
  <si>
    <t>R010700315</t>
  </si>
  <si>
    <t>R010698135</t>
  </si>
  <si>
    <t>小坂　亮</t>
  </si>
  <si>
    <t>R010691466</t>
  </si>
  <si>
    <t>小島　悠人</t>
  </si>
  <si>
    <t>R010682438</t>
  </si>
  <si>
    <t>兒玉　佳大</t>
  </si>
  <si>
    <t>R010684018</t>
  </si>
  <si>
    <t>児玉　周哉</t>
  </si>
  <si>
    <t>R010661144</t>
  </si>
  <si>
    <t>兒玉　侑希</t>
  </si>
  <si>
    <t>R010728153</t>
  </si>
  <si>
    <t>児玉　稜空</t>
  </si>
  <si>
    <t>R010736991</t>
  </si>
  <si>
    <t>R010698137</t>
  </si>
  <si>
    <t>小西　裕之</t>
  </si>
  <si>
    <t>R010660807</t>
  </si>
  <si>
    <t>小林　丈留</t>
  </si>
  <si>
    <t>R010719624</t>
  </si>
  <si>
    <t>小堀　優翔</t>
  </si>
  <si>
    <t>R010684017</t>
  </si>
  <si>
    <t>R010746600</t>
  </si>
  <si>
    <t>近藤　拓磨</t>
  </si>
  <si>
    <t>R010746602</t>
  </si>
  <si>
    <t>後藤　和人</t>
  </si>
  <si>
    <t>R010728119</t>
  </si>
  <si>
    <t>R010728103</t>
  </si>
  <si>
    <t>後藤　舜稀</t>
  </si>
  <si>
    <t>R010728133</t>
  </si>
  <si>
    <t>R010687771</t>
  </si>
  <si>
    <t>後藤　颯真</t>
  </si>
  <si>
    <t>R010698165</t>
  </si>
  <si>
    <t>R010715000</t>
  </si>
  <si>
    <t>R010676618</t>
  </si>
  <si>
    <t>R010687757</t>
  </si>
  <si>
    <t>後藤　雅弥</t>
  </si>
  <si>
    <t>R010698149</t>
  </si>
  <si>
    <t>後藤　護</t>
  </si>
  <si>
    <t>R010687759</t>
  </si>
  <si>
    <t>後藤　莉温</t>
  </si>
  <si>
    <t>R010684121</t>
  </si>
  <si>
    <t>後藤　吏駒</t>
  </si>
  <si>
    <t>R010689081</t>
  </si>
  <si>
    <t>佐伯　将和</t>
  </si>
  <si>
    <t>R010715021</t>
  </si>
  <si>
    <t>齊藤　晃平</t>
  </si>
  <si>
    <t>R010728161</t>
  </si>
  <si>
    <t>R010676606</t>
  </si>
  <si>
    <t>坂井　孝行</t>
  </si>
  <si>
    <t>R010719617</t>
  </si>
  <si>
    <t>酒井　晴斗</t>
  </si>
  <si>
    <t>R010728096</t>
  </si>
  <si>
    <t>R010684097</t>
  </si>
  <si>
    <t>坂井　祐介</t>
  </si>
  <si>
    <t>R010730461</t>
  </si>
  <si>
    <t>R010746646</t>
  </si>
  <si>
    <t>坂根　晃正</t>
  </si>
  <si>
    <t>R010687763</t>
  </si>
  <si>
    <t>坂本　あかり</t>
  </si>
  <si>
    <t>R010689083</t>
  </si>
  <si>
    <t>坂本　海</t>
  </si>
  <si>
    <t>R010685251</t>
  </si>
  <si>
    <t>坂本　雅久斗</t>
  </si>
  <si>
    <t>R010687764</t>
  </si>
  <si>
    <t>坂本　輝</t>
  </si>
  <si>
    <t>R010684125</t>
  </si>
  <si>
    <t>坂本　悠俄</t>
  </si>
  <si>
    <t>R010684129</t>
  </si>
  <si>
    <t>相良　琥希翔</t>
  </si>
  <si>
    <t>R010714998</t>
  </si>
  <si>
    <t>R010685245</t>
  </si>
  <si>
    <t>相良　漣音</t>
  </si>
  <si>
    <t>R010698166</t>
  </si>
  <si>
    <t>櫻井　康喜</t>
  </si>
  <si>
    <t>R010682451</t>
  </si>
  <si>
    <t>笹田　いおり</t>
  </si>
  <si>
    <t>R010685157</t>
  </si>
  <si>
    <t>指原　健太郎</t>
  </si>
  <si>
    <t>R010688485</t>
  </si>
  <si>
    <t>佐田　海吏</t>
  </si>
  <si>
    <t>R010691470</t>
  </si>
  <si>
    <t>佐藤　陽登</t>
  </si>
  <si>
    <t>R010728141</t>
  </si>
  <si>
    <t>佐藤　朱仁</t>
  </si>
  <si>
    <t>R010676670</t>
  </si>
  <si>
    <t>佐藤　歩夢</t>
  </si>
  <si>
    <t>R010698138</t>
  </si>
  <si>
    <t>佐藤　翔平</t>
  </si>
  <si>
    <t>R010687758</t>
  </si>
  <si>
    <t>佐藤　伸哉</t>
  </si>
  <si>
    <t>R010684108</t>
  </si>
  <si>
    <t>佐藤　奏介</t>
  </si>
  <si>
    <t>R010689535</t>
  </si>
  <si>
    <t>佐藤　崇真</t>
  </si>
  <si>
    <t>R010687460</t>
  </si>
  <si>
    <t>佐藤　泰喜</t>
  </si>
  <si>
    <t>R010746636</t>
  </si>
  <si>
    <t>佐藤　寿洋</t>
  </si>
  <si>
    <t>R010728143</t>
  </si>
  <si>
    <t>R010685162</t>
  </si>
  <si>
    <t>佐藤　ひろみち</t>
  </si>
  <si>
    <t>R010684015</t>
  </si>
  <si>
    <t>佐藤　博哉</t>
  </si>
  <si>
    <t>R010746647</t>
  </si>
  <si>
    <t>佐藤　雅哉</t>
  </si>
  <si>
    <t>R010685264</t>
  </si>
  <si>
    <t>R010715004</t>
  </si>
  <si>
    <t>R010746657</t>
  </si>
  <si>
    <t>佐藤　亮平</t>
  </si>
  <si>
    <t>R010698134</t>
  </si>
  <si>
    <t>三宮　英士</t>
  </si>
  <si>
    <t>R010688482</t>
  </si>
  <si>
    <t>三宮　樂</t>
  </si>
  <si>
    <t>R010689458</t>
  </si>
  <si>
    <t>塩手　晴仁</t>
  </si>
  <si>
    <t>R010689457</t>
  </si>
  <si>
    <t>志賀　優弥</t>
  </si>
  <si>
    <t>R010684110</t>
  </si>
  <si>
    <t>繁里　勇吾</t>
  </si>
  <si>
    <t>R010728135</t>
  </si>
  <si>
    <t>R010685260</t>
  </si>
  <si>
    <t>R010661142</t>
  </si>
  <si>
    <t>志手　佑守</t>
  </si>
  <si>
    <t>R010746656</t>
  </si>
  <si>
    <t>芝関　廉</t>
  </si>
  <si>
    <t>R010660818</t>
  </si>
  <si>
    <t>柴田　晴喜</t>
  </si>
  <si>
    <t>R010737005</t>
  </si>
  <si>
    <t>柴田　美佳</t>
  </si>
  <si>
    <t>R010685266</t>
  </si>
  <si>
    <t>R010687781</t>
  </si>
  <si>
    <t>嶋津　藍夢</t>
  </si>
  <si>
    <t>R010689076</t>
  </si>
  <si>
    <t>清水　和記</t>
  </si>
  <si>
    <t>R010700300</t>
  </si>
  <si>
    <t>下田　徹</t>
  </si>
  <si>
    <t>R010746621</t>
  </si>
  <si>
    <t>首藤　謙二</t>
  </si>
  <si>
    <t>R010689068</t>
  </si>
  <si>
    <t>首藤　瑚春</t>
  </si>
  <si>
    <t>R010728118</t>
  </si>
  <si>
    <t>R010728112</t>
  </si>
  <si>
    <t>首藤　孝寛</t>
  </si>
  <si>
    <t>R010728157</t>
  </si>
  <si>
    <t>首藤　佑樹</t>
  </si>
  <si>
    <t>R010751189</t>
  </si>
  <si>
    <t>首藤　ゆめ</t>
  </si>
  <si>
    <t>R010714997</t>
  </si>
  <si>
    <t>首藤　涼太</t>
  </si>
  <si>
    <t>R010685272</t>
  </si>
  <si>
    <t>白井　紘彰</t>
  </si>
  <si>
    <t>R010728100</t>
  </si>
  <si>
    <t>秦　鼓乃実</t>
  </si>
  <si>
    <t>R010689467</t>
  </si>
  <si>
    <t>秦　龍也</t>
  </si>
  <si>
    <t>R010689468</t>
  </si>
  <si>
    <t>秦　翼早</t>
  </si>
  <si>
    <t>R010746609</t>
  </si>
  <si>
    <t>軸丸　昇</t>
  </si>
  <si>
    <t>R010719630</t>
  </si>
  <si>
    <t>R010728102</t>
  </si>
  <si>
    <t>城　孝明</t>
  </si>
  <si>
    <t>R010660808</t>
  </si>
  <si>
    <t>末廣　義也</t>
  </si>
  <si>
    <t>R010660830</t>
  </si>
  <si>
    <t>末元　兼太</t>
  </si>
  <si>
    <t>R010714987</t>
  </si>
  <si>
    <t>R010728109</t>
  </si>
  <si>
    <t>杉　吉隆</t>
  </si>
  <si>
    <t>R010715013</t>
  </si>
  <si>
    <t>杉村　祐心</t>
  </si>
  <si>
    <t>R010676602</t>
  </si>
  <si>
    <t>杉本　蓮</t>
  </si>
  <si>
    <t>R010689454</t>
  </si>
  <si>
    <t>杉山　由采</t>
  </si>
  <si>
    <t>R010661149</t>
  </si>
  <si>
    <t>鈴木　佑輔</t>
  </si>
  <si>
    <t>R010698156</t>
  </si>
  <si>
    <t>R010746619</t>
  </si>
  <si>
    <t>簀戸　裕樹</t>
  </si>
  <si>
    <t>R010714982</t>
  </si>
  <si>
    <t>R010746644</t>
  </si>
  <si>
    <t>瀬口　遼太</t>
  </si>
  <si>
    <t>R010689526</t>
  </si>
  <si>
    <t>是木　叶翔</t>
  </si>
  <si>
    <t>R010660825</t>
  </si>
  <si>
    <t>園　将翔</t>
  </si>
  <si>
    <t>R010687463</t>
  </si>
  <si>
    <t>造士　凜大郎</t>
  </si>
  <si>
    <t>R010689082</t>
  </si>
  <si>
    <t>田縁　啓汰</t>
  </si>
  <si>
    <t>R010737009</t>
  </si>
  <si>
    <t>R010682446</t>
  </si>
  <si>
    <t>高木　奏</t>
  </si>
  <si>
    <t>R010719608</t>
  </si>
  <si>
    <t>髙木　獅道</t>
  </si>
  <si>
    <t>R010746601</t>
  </si>
  <si>
    <t>髙倉　普平</t>
  </si>
  <si>
    <t>R010688260</t>
  </si>
  <si>
    <t>高倉　暖基</t>
  </si>
  <si>
    <t>R010689455</t>
  </si>
  <si>
    <t>高倉　吏功</t>
  </si>
  <si>
    <t>R010676677</t>
  </si>
  <si>
    <t>髙須賀　陽斗</t>
  </si>
  <si>
    <t>R010687788</t>
  </si>
  <si>
    <t>高田　琥太郎</t>
  </si>
  <si>
    <t>R010728125</t>
  </si>
  <si>
    <t>髙波　天惺</t>
  </si>
  <si>
    <t>R010715016</t>
  </si>
  <si>
    <t>高橋　天翔</t>
  </si>
  <si>
    <t>R010728136</t>
  </si>
  <si>
    <t>髙橋　恒太</t>
  </si>
  <si>
    <t>R010719611</t>
  </si>
  <si>
    <t>高橋　典誠</t>
  </si>
  <si>
    <t>R010684111</t>
  </si>
  <si>
    <t>髙橋　璃央</t>
  </si>
  <si>
    <t>R010685158</t>
  </si>
  <si>
    <t>髙畑　諒人</t>
  </si>
  <si>
    <t>R010676594</t>
  </si>
  <si>
    <t>高畑　涼</t>
  </si>
  <si>
    <t>R010700293</t>
  </si>
  <si>
    <t>高原　啓司</t>
  </si>
  <si>
    <t>R010736995</t>
  </si>
  <si>
    <t>高原　良幸</t>
  </si>
  <si>
    <t>R010660816</t>
  </si>
  <si>
    <t>髙藤　熙留</t>
  </si>
  <si>
    <t>R010660800</t>
  </si>
  <si>
    <t>高松　篤斗</t>
  </si>
  <si>
    <t>R010719615</t>
  </si>
  <si>
    <t>高嶺　史哉</t>
  </si>
  <si>
    <t>R010684124</t>
  </si>
  <si>
    <t>高森　遥誠</t>
  </si>
  <si>
    <t>R010715009</t>
  </si>
  <si>
    <t>R010719619</t>
  </si>
  <si>
    <t>田川　蓮翔</t>
  </si>
  <si>
    <t>R010698159</t>
  </si>
  <si>
    <t>瀧口　康平</t>
  </si>
  <si>
    <t>R010700297</t>
  </si>
  <si>
    <t>田口　聖</t>
  </si>
  <si>
    <t>R010714986</t>
  </si>
  <si>
    <t>竹内　彪斗</t>
  </si>
  <si>
    <t>R010676615</t>
  </si>
  <si>
    <t>竹内　崇士</t>
  </si>
  <si>
    <t>R010728107</t>
  </si>
  <si>
    <t>武内　璃緒斗</t>
  </si>
  <si>
    <t>R010689463</t>
  </si>
  <si>
    <t>R010676598</t>
  </si>
  <si>
    <t>竹下　真矢</t>
  </si>
  <si>
    <t>R010746614</t>
  </si>
  <si>
    <t>竹島　昇耶</t>
  </si>
  <si>
    <t>R010746649</t>
  </si>
  <si>
    <t>武田　豊</t>
  </si>
  <si>
    <t>R010676596</t>
  </si>
  <si>
    <t>竹中　楓馬</t>
  </si>
  <si>
    <t>R010714981</t>
  </si>
  <si>
    <t>R010728146</t>
  </si>
  <si>
    <t>武吉　翔平</t>
  </si>
  <si>
    <t>R010700307</t>
  </si>
  <si>
    <t>田阪　将平</t>
  </si>
  <si>
    <t>R010661148</t>
  </si>
  <si>
    <t>田崎　順嗣</t>
  </si>
  <si>
    <t>R010698133</t>
  </si>
  <si>
    <t>田嶋　一翔</t>
  </si>
  <si>
    <t>R010687756</t>
  </si>
  <si>
    <t>田多　智晴</t>
  </si>
  <si>
    <t>R010728130</t>
  </si>
  <si>
    <t>R010746663</t>
  </si>
  <si>
    <t>立脇　泰志</t>
  </si>
  <si>
    <t>R010685254</t>
  </si>
  <si>
    <t>R010684134</t>
  </si>
  <si>
    <t>田中　駿</t>
  </si>
  <si>
    <t>R010678828</t>
  </si>
  <si>
    <t>田中　翔</t>
  </si>
  <si>
    <t>R010691473</t>
  </si>
  <si>
    <t>谷　悠真</t>
  </si>
  <si>
    <t>R010737002</t>
  </si>
  <si>
    <t>R010685243</t>
  </si>
  <si>
    <t>谷口　達</t>
  </si>
  <si>
    <t>R010688490</t>
  </si>
  <si>
    <t>谷口　陽人</t>
  </si>
  <si>
    <t>R010660797</t>
  </si>
  <si>
    <t>谷崎　颯</t>
  </si>
  <si>
    <t>R010685246</t>
  </si>
  <si>
    <t>田吹　奏太</t>
  </si>
  <si>
    <t>R010746603</t>
  </si>
  <si>
    <t>田吹　将</t>
  </si>
  <si>
    <t>R010687780</t>
  </si>
  <si>
    <t>玉井　颯太</t>
  </si>
  <si>
    <t>R010728148</t>
  </si>
  <si>
    <t>R010685263</t>
  </si>
  <si>
    <t>太郎良　美紀</t>
  </si>
  <si>
    <t>R010687767</t>
  </si>
  <si>
    <t>丹　陸人</t>
  </si>
  <si>
    <t>R010688475</t>
  </si>
  <si>
    <t>大海　應介</t>
  </si>
  <si>
    <t>R010728108</t>
  </si>
  <si>
    <t>団塚　智幸</t>
  </si>
  <si>
    <t>R010698147</t>
  </si>
  <si>
    <t>団塚　浩</t>
  </si>
  <si>
    <t>R010676603</t>
  </si>
  <si>
    <t>崔　准赫</t>
  </si>
  <si>
    <t>R010685249</t>
  </si>
  <si>
    <t>近砂　仁志</t>
  </si>
  <si>
    <t>R010689086</t>
  </si>
  <si>
    <t>土谷　凌太</t>
  </si>
  <si>
    <t>R010719625</t>
  </si>
  <si>
    <t>筒井　健斗</t>
  </si>
  <si>
    <t>R010689530</t>
  </si>
  <si>
    <t>堤　一耀</t>
  </si>
  <si>
    <t>R010689534</t>
  </si>
  <si>
    <t>津々良　瑠輝</t>
  </si>
  <si>
    <t>R010689453</t>
  </si>
  <si>
    <t>津行　陽斗</t>
  </si>
  <si>
    <t>R010684120</t>
  </si>
  <si>
    <t>都留　響</t>
  </si>
  <si>
    <t>R010728121</t>
  </si>
  <si>
    <t>手島　蕾翔</t>
  </si>
  <si>
    <t>R010715022</t>
  </si>
  <si>
    <t>寺嶋　孝規</t>
  </si>
  <si>
    <t>R010689084</t>
  </si>
  <si>
    <t>出口　雅也</t>
  </si>
  <si>
    <t>R010715006</t>
  </si>
  <si>
    <t>R010685164</t>
  </si>
  <si>
    <t>渡海　広大</t>
  </si>
  <si>
    <t>R010687785</t>
  </si>
  <si>
    <t>得丸　涼雅</t>
  </si>
  <si>
    <t>R010684109</t>
  </si>
  <si>
    <t>利光　蒼太</t>
  </si>
  <si>
    <t>R010685165</t>
  </si>
  <si>
    <t>利光　洋介</t>
  </si>
  <si>
    <t>R010700313</t>
  </si>
  <si>
    <t>友永　光明</t>
  </si>
  <si>
    <t>R010660814</t>
  </si>
  <si>
    <t>友松　駿斗</t>
  </si>
  <si>
    <t>R010660819</t>
  </si>
  <si>
    <t>豊永　優月</t>
  </si>
  <si>
    <t>R010687789</t>
  </si>
  <si>
    <t>土居　時道</t>
  </si>
  <si>
    <t>R010660824</t>
  </si>
  <si>
    <t>堂上　彩奏</t>
  </si>
  <si>
    <t>R010661147</t>
  </si>
  <si>
    <t>仲　実日子</t>
  </si>
  <si>
    <t>R010737000</t>
  </si>
  <si>
    <t>R010682439</t>
  </si>
  <si>
    <t>中岡　駿</t>
  </si>
  <si>
    <t>R010660820</t>
  </si>
  <si>
    <t>中川　晴喜</t>
  </si>
  <si>
    <t>R010715008</t>
  </si>
  <si>
    <t>R010684100</t>
  </si>
  <si>
    <t>中島　大介</t>
  </si>
  <si>
    <t>R010746655</t>
  </si>
  <si>
    <t>中田　圭</t>
  </si>
  <si>
    <t>R010728111</t>
  </si>
  <si>
    <t>中津留　将也</t>
  </si>
  <si>
    <t>R010728095</t>
  </si>
  <si>
    <t>中津留　治将</t>
  </si>
  <si>
    <t>R010688484</t>
  </si>
  <si>
    <t>中畑　晴和</t>
  </si>
  <si>
    <t>R010746632</t>
  </si>
  <si>
    <t>中堀　定</t>
  </si>
  <si>
    <t>R010660806</t>
  </si>
  <si>
    <t>中村　唯颯</t>
  </si>
  <si>
    <t>R010728147</t>
  </si>
  <si>
    <t>R010684104</t>
  </si>
  <si>
    <t>中山　雄惺</t>
  </si>
  <si>
    <t>R010714976</t>
  </si>
  <si>
    <t>R010676599</t>
  </si>
  <si>
    <t>長倉　康生</t>
  </si>
  <si>
    <t>R010687790</t>
  </si>
  <si>
    <t>永嶋　竜太朗</t>
  </si>
  <si>
    <t>R010688476</t>
  </si>
  <si>
    <t>永田　拓海</t>
  </si>
  <si>
    <t>R010719607</t>
  </si>
  <si>
    <t>永野　貴碩</t>
  </si>
  <si>
    <t>R010687777</t>
  </si>
  <si>
    <t>長野　汰我</t>
  </si>
  <si>
    <t>R010676601</t>
  </si>
  <si>
    <t>長野　諄也</t>
  </si>
  <si>
    <t>R010687760</t>
  </si>
  <si>
    <t>長野　仁樹</t>
  </si>
  <si>
    <t>R010719605</t>
  </si>
  <si>
    <t>永松　涼介</t>
  </si>
  <si>
    <t>R010676590</t>
  </si>
  <si>
    <t>長光　飛輝</t>
  </si>
  <si>
    <t>R010700309</t>
  </si>
  <si>
    <t>永山　優平</t>
  </si>
  <si>
    <t>R010698144</t>
  </si>
  <si>
    <t>新納　彰博</t>
  </si>
  <si>
    <t>R010736993</t>
  </si>
  <si>
    <t>R010691465</t>
  </si>
  <si>
    <t>西　謙太郎</t>
  </si>
  <si>
    <t>R010746611</t>
  </si>
  <si>
    <t>西　宗太郎</t>
  </si>
  <si>
    <t>R010714999</t>
  </si>
  <si>
    <t>R010728164</t>
  </si>
  <si>
    <t>R010685258</t>
  </si>
  <si>
    <t>R010687783</t>
  </si>
  <si>
    <t>西村　駿佑</t>
  </si>
  <si>
    <t>R010691462</t>
  </si>
  <si>
    <t>西本　達哉</t>
  </si>
  <si>
    <t>R010746613</t>
  </si>
  <si>
    <t>蜷川　勇来</t>
  </si>
  <si>
    <t>R010678821</t>
  </si>
  <si>
    <t>二宮　秀太</t>
  </si>
  <si>
    <t>R010684140</t>
  </si>
  <si>
    <t>二宮　陽詩</t>
  </si>
  <si>
    <t>R010746616</t>
  </si>
  <si>
    <t>二宮　優介</t>
  </si>
  <si>
    <t>R010728139</t>
  </si>
  <si>
    <t>丹生　昂亨</t>
  </si>
  <si>
    <t>R010676672</t>
  </si>
  <si>
    <t>野上　武琉</t>
  </si>
  <si>
    <t>R010719600</t>
  </si>
  <si>
    <t>R010687778</t>
  </si>
  <si>
    <t>野口　真央</t>
  </si>
  <si>
    <t>R010719601</t>
  </si>
  <si>
    <t>野崎　央</t>
  </si>
  <si>
    <t>R010689459</t>
  </si>
  <si>
    <t>野尻　聖斗</t>
  </si>
  <si>
    <t>R010660804</t>
  </si>
  <si>
    <t>橋口　優斗</t>
  </si>
  <si>
    <t>R010689528</t>
  </si>
  <si>
    <t>橋本　颯士</t>
  </si>
  <si>
    <t>R010746653</t>
  </si>
  <si>
    <t>秦　宗一朗</t>
  </si>
  <si>
    <t>R010660810</t>
  </si>
  <si>
    <t>畑中　聡太</t>
  </si>
  <si>
    <t>R010687462</t>
  </si>
  <si>
    <t>波多野　瑛斗</t>
  </si>
  <si>
    <t>R010660809</t>
  </si>
  <si>
    <t>畑辺　喜一</t>
  </si>
  <si>
    <t>R010688487</t>
  </si>
  <si>
    <t>羽田野　天翔</t>
  </si>
  <si>
    <t>R010714972</t>
  </si>
  <si>
    <t>羽田野　雄大</t>
  </si>
  <si>
    <t>R010719614</t>
  </si>
  <si>
    <t>濵砂　詩虎</t>
  </si>
  <si>
    <t>R010687762</t>
  </si>
  <si>
    <t>林　春之裕</t>
  </si>
  <si>
    <t>R010661140</t>
  </si>
  <si>
    <t>林　知徳</t>
  </si>
  <si>
    <t>R010687770</t>
  </si>
  <si>
    <t>林　将也</t>
  </si>
  <si>
    <t>R010728114</t>
  </si>
  <si>
    <t>林　裕樹</t>
  </si>
  <si>
    <t>R010689531</t>
  </si>
  <si>
    <t>原　稜磨</t>
  </si>
  <si>
    <t>R010660829</t>
  </si>
  <si>
    <t>原口　暉琉</t>
  </si>
  <si>
    <t>R010678843</t>
  </si>
  <si>
    <t>原田　詠視</t>
  </si>
  <si>
    <t>R010714990</t>
  </si>
  <si>
    <t>原田　啓央</t>
  </si>
  <si>
    <t>R010698151</t>
  </si>
  <si>
    <t>春田　喜介</t>
  </si>
  <si>
    <t>R010687765</t>
  </si>
  <si>
    <t>飯田　佳亮</t>
  </si>
  <si>
    <t>R010687769</t>
  </si>
  <si>
    <t>飯田　侑平</t>
  </si>
  <si>
    <t>R010660834</t>
  </si>
  <si>
    <t>東　理一</t>
  </si>
  <si>
    <t>R010660812</t>
  </si>
  <si>
    <t>樋口　巧海</t>
  </si>
  <si>
    <t>R010685240</t>
  </si>
  <si>
    <t>日隈　心靖</t>
  </si>
  <si>
    <t>R010687782</t>
  </si>
  <si>
    <t>日坂　祐翔</t>
  </si>
  <si>
    <t>R010715001</t>
  </si>
  <si>
    <t>R010689460</t>
  </si>
  <si>
    <t>日髙　瑞己</t>
  </si>
  <si>
    <t>R010700316</t>
  </si>
  <si>
    <t>日野　颯太</t>
  </si>
  <si>
    <t>R010687459</t>
  </si>
  <si>
    <t>百田　晃太朗</t>
  </si>
  <si>
    <t>R010746625</t>
  </si>
  <si>
    <t>兵頭　伊織</t>
  </si>
  <si>
    <t>R010687458</t>
  </si>
  <si>
    <t>平井　歩</t>
  </si>
  <si>
    <t>R010728150</t>
  </si>
  <si>
    <t>R010684117</t>
  </si>
  <si>
    <t>平早水　蒼空</t>
  </si>
  <si>
    <t>R010676600</t>
  </si>
  <si>
    <t>平田　尚翔</t>
  </si>
  <si>
    <t>R010660801</t>
  </si>
  <si>
    <t>平野　蓮斗</t>
  </si>
  <si>
    <t>R010660832</t>
  </si>
  <si>
    <t>平原　泰地</t>
  </si>
  <si>
    <t>R010678836</t>
  </si>
  <si>
    <t>平本　綾汰</t>
  </si>
  <si>
    <t>R010728151</t>
  </si>
  <si>
    <t>R010689067</t>
  </si>
  <si>
    <t>平山　迪</t>
  </si>
  <si>
    <t>R010660805</t>
  </si>
  <si>
    <t>廣池　樂</t>
  </si>
  <si>
    <t>R010678823</t>
  </si>
  <si>
    <t>廣門　胡太朗</t>
  </si>
  <si>
    <t>R010698174</t>
  </si>
  <si>
    <t>廣瀬　崇具</t>
  </si>
  <si>
    <t>R010737008</t>
  </si>
  <si>
    <t>R010736994</t>
  </si>
  <si>
    <t>広瀬　瑠晟</t>
  </si>
  <si>
    <t>R010714992</t>
  </si>
  <si>
    <t>廣田　惺我</t>
  </si>
  <si>
    <t>R010746633</t>
  </si>
  <si>
    <t>R010714996</t>
  </si>
  <si>
    <t>R010682453</t>
  </si>
  <si>
    <t>福泉　忍</t>
  </si>
  <si>
    <t>R010698157</t>
  </si>
  <si>
    <t>福田　歩武</t>
  </si>
  <si>
    <t>R010714974</t>
  </si>
  <si>
    <t>R010746651</t>
  </si>
  <si>
    <t>福永　有基</t>
  </si>
  <si>
    <t>R010691474</t>
  </si>
  <si>
    <t>藤井　新生</t>
  </si>
  <si>
    <t>R010688154</t>
  </si>
  <si>
    <t>藤川　維吹</t>
  </si>
  <si>
    <t>R010689466</t>
  </si>
  <si>
    <t>藤川　拓</t>
  </si>
  <si>
    <t>R010689465</t>
  </si>
  <si>
    <t>R010684128</t>
  </si>
  <si>
    <t>藤髙　温希</t>
  </si>
  <si>
    <t>R010700304</t>
  </si>
  <si>
    <t>藤原　翔平</t>
  </si>
  <si>
    <t>R010687465</t>
  </si>
  <si>
    <t>藤原　世</t>
  </si>
  <si>
    <t>R010736990</t>
  </si>
  <si>
    <t>R010719626</t>
  </si>
  <si>
    <t>渕野　翔多</t>
  </si>
  <si>
    <t>R010676674</t>
  </si>
  <si>
    <t>舩津　滉太郎</t>
  </si>
  <si>
    <t>R010728152</t>
  </si>
  <si>
    <t>R010676611</t>
  </si>
  <si>
    <t>枌　大地</t>
  </si>
  <si>
    <t>R010715019</t>
  </si>
  <si>
    <t>R010685257</t>
  </si>
  <si>
    <t>R010676595</t>
  </si>
  <si>
    <t>星　享佑</t>
  </si>
  <si>
    <t>R010715023</t>
  </si>
  <si>
    <t>堀　尚登</t>
  </si>
  <si>
    <t>R010689064</t>
  </si>
  <si>
    <t>堀　菜々美</t>
  </si>
  <si>
    <t>R010698169</t>
  </si>
  <si>
    <t>堀　真人</t>
  </si>
  <si>
    <t>R010687766</t>
  </si>
  <si>
    <t>堀切　鈴央</t>
  </si>
  <si>
    <t>R010728128</t>
  </si>
  <si>
    <t>R010691459</t>
  </si>
  <si>
    <t>本田　汐音</t>
  </si>
  <si>
    <t>R010719603</t>
  </si>
  <si>
    <t>前田　龍心</t>
  </si>
  <si>
    <t>R010715017</t>
  </si>
  <si>
    <t>眞崎　隼矢</t>
  </si>
  <si>
    <t>R010714993</t>
  </si>
  <si>
    <t>R010687457</t>
  </si>
  <si>
    <t>増田　壮我</t>
  </si>
  <si>
    <t>R010719622</t>
  </si>
  <si>
    <t>増田　真聡</t>
  </si>
  <si>
    <t>R010746648</t>
  </si>
  <si>
    <t>松浦　統馬</t>
  </si>
  <si>
    <t>R010676617</t>
  </si>
  <si>
    <t>松尾　一生</t>
  </si>
  <si>
    <t>R010736999</t>
  </si>
  <si>
    <t>松尾　悠聖</t>
  </si>
  <si>
    <t>R010715018</t>
  </si>
  <si>
    <t>松木　歩潤</t>
  </si>
  <si>
    <t>R010682448</t>
  </si>
  <si>
    <t>松下　直樹</t>
  </si>
  <si>
    <t>R010660803</t>
  </si>
  <si>
    <t>松田　悠吾</t>
  </si>
  <si>
    <t>R010715015</t>
  </si>
  <si>
    <t>松本　倖也</t>
  </si>
  <si>
    <t>R010691463</t>
  </si>
  <si>
    <t>丸山　芽惟</t>
  </si>
  <si>
    <t>R010728145</t>
  </si>
  <si>
    <t>R010698160</t>
  </si>
  <si>
    <t>三重野　晋司</t>
  </si>
  <si>
    <t>R010512243</t>
  </si>
  <si>
    <t>三重野　将弘</t>
  </si>
  <si>
    <t>R010691467</t>
  </si>
  <si>
    <t>三ヶ尻　啓輔</t>
  </si>
  <si>
    <t>R010689462</t>
  </si>
  <si>
    <t>R010684094</t>
  </si>
  <si>
    <t>三木　雄登</t>
  </si>
  <si>
    <t>R010684019</t>
  </si>
  <si>
    <t>道頭　学</t>
  </si>
  <si>
    <t>R010728110</t>
  </si>
  <si>
    <t>皆見　一樹</t>
  </si>
  <si>
    <t>R010661143</t>
  </si>
  <si>
    <t>南　樹吏</t>
  </si>
  <si>
    <t>R010736996</t>
  </si>
  <si>
    <t>南　秀和</t>
  </si>
  <si>
    <t>R010660835</t>
  </si>
  <si>
    <t>南　彪雅</t>
  </si>
  <si>
    <t>R010746635</t>
  </si>
  <si>
    <t>R010746605</t>
  </si>
  <si>
    <t>峰尾　勝</t>
  </si>
  <si>
    <t>R010746618</t>
  </si>
  <si>
    <t>峯野　高翔</t>
  </si>
  <si>
    <t>R010689065</t>
  </si>
  <si>
    <t>宮川　咲輝</t>
  </si>
  <si>
    <t>R010691472</t>
  </si>
  <si>
    <t>宮崎　浩一郎</t>
  </si>
  <si>
    <t>R010676620</t>
  </si>
  <si>
    <t>宮崎　優彰</t>
  </si>
  <si>
    <t>R010746629</t>
  </si>
  <si>
    <t>宮本　祥光</t>
  </si>
  <si>
    <t>R010682447</t>
  </si>
  <si>
    <t>宮脇　彪瑠</t>
  </si>
  <si>
    <t>R010689075</t>
  </si>
  <si>
    <t>向　拓磨</t>
  </si>
  <si>
    <t>R010746628</t>
  </si>
  <si>
    <t>鞭馬　龍也</t>
  </si>
  <si>
    <t>R010746650</t>
  </si>
  <si>
    <t>村石　圭崇</t>
  </si>
  <si>
    <t>R010457534</t>
  </si>
  <si>
    <t>村上　安奈</t>
  </si>
  <si>
    <t>R010746630</t>
  </si>
  <si>
    <t>村上　康太郎</t>
  </si>
  <si>
    <t>R010719606</t>
  </si>
  <si>
    <t>村上　遼太郎</t>
  </si>
  <si>
    <t>R010728158</t>
  </si>
  <si>
    <t>村上　凛太朗</t>
  </si>
  <si>
    <t>R010682463</t>
  </si>
  <si>
    <t>本久　航</t>
  </si>
  <si>
    <t>R010684106</t>
  </si>
  <si>
    <t>本室　碧聖</t>
  </si>
  <si>
    <t>R010682827</t>
  </si>
  <si>
    <t>百田　翔貴</t>
  </si>
  <si>
    <t>R010660817</t>
  </si>
  <si>
    <t>森　裕聖</t>
  </si>
  <si>
    <t>R010685160</t>
  </si>
  <si>
    <t>森　勇大</t>
  </si>
  <si>
    <t>R010700317</t>
  </si>
  <si>
    <t>森木　大雅</t>
  </si>
  <si>
    <t>R010691457</t>
  </si>
  <si>
    <t>森迫　大翔</t>
  </si>
  <si>
    <t>R010719612</t>
  </si>
  <si>
    <t>森田　爽楽</t>
  </si>
  <si>
    <t>R010688483</t>
  </si>
  <si>
    <t>森田　廉也</t>
  </si>
  <si>
    <t>R010714978</t>
  </si>
  <si>
    <t>R010714977</t>
  </si>
  <si>
    <t>R010746638</t>
  </si>
  <si>
    <t>諸冨　貴宣</t>
  </si>
  <si>
    <t>R010698171</t>
  </si>
  <si>
    <t>保田　拓海</t>
  </si>
  <si>
    <t>R010728124</t>
  </si>
  <si>
    <t>R010676608</t>
  </si>
  <si>
    <t>安松　稜</t>
  </si>
  <si>
    <t>R010684133</t>
  </si>
  <si>
    <t>安元　大輝</t>
  </si>
  <si>
    <t>R010689483</t>
  </si>
  <si>
    <t>R010660821</t>
  </si>
  <si>
    <t>柳井田　駿</t>
  </si>
  <si>
    <t>R010678835</t>
  </si>
  <si>
    <t>矢野　圭悟</t>
  </si>
  <si>
    <t>R010689536</t>
  </si>
  <si>
    <t>矢野　太陽</t>
  </si>
  <si>
    <t>R010715007</t>
  </si>
  <si>
    <t>R010698143</t>
  </si>
  <si>
    <t>矢野　善朗</t>
  </si>
  <si>
    <t>R010689464</t>
  </si>
  <si>
    <t>矢野　琉聖</t>
  </si>
  <si>
    <t>R010746645</t>
  </si>
  <si>
    <t>山岡　哲也</t>
  </si>
  <si>
    <t>R010676593</t>
  </si>
  <si>
    <t>山口　航平</t>
  </si>
  <si>
    <t>R010700310</t>
  </si>
  <si>
    <t>山口　駿</t>
  </si>
  <si>
    <t>R010684126</t>
  </si>
  <si>
    <t>山口　輝空</t>
  </si>
  <si>
    <t>R010698139</t>
  </si>
  <si>
    <t>山口　大空</t>
  </si>
  <si>
    <t>R010684135</t>
  </si>
  <si>
    <t>山口　宗史</t>
  </si>
  <si>
    <t>R010715003</t>
  </si>
  <si>
    <t>R010684115</t>
  </si>
  <si>
    <t>山崎　淳太</t>
  </si>
  <si>
    <t>R010728115</t>
  </si>
  <si>
    <t>山﨑　温仁</t>
  </si>
  <si>
    <t>R010698141</t>
  </si>
  <si>
    <t>山崎　竜斗</t>
  </si>
  <si>
    <t>R010746654</t>
  </si>
  <si>
    <t>R010684096</t>
  </si>
  <si>
    <t>山下　祐哉</t>
  </si>
  <si>
    <t>R010728126</t>
  </si>
  <si>
    <t>山下　竜輝</t>
  </si>
  <si>
    <t>R010684118</t>
  </si>
  <si>
    <t>山田　笙太郎</t>
  </si>
  <si>
    <t>R010687787</t>
  </si>
  <si>
    <t>山田　凪</t>
  </si>
  <si>
    <t>R010728144</t>
  </si>
  <si>
    <t>R010685159</t>
  </si>
  <si>
    <t>山田　響生</t>
  </si>
  <si>
    <t>R010698175</t>
  </si>
  <si>
    <t>山中　将貴</t>
  </si>
  <si>
    <t>R010719610</t>
  </si>
  <si>
    <t>山本　海</t>
  </si>
  <si>
    <t>R010676609</t>
  </si>
  <si>
    <t>山本　和慧</t>
  </si>
  <si>
    <t>R010688481</t>
  </si>
  <si>
    <t>山元　滉正</t>
  </si>
  <si>
    <t>R010728123</t>
  </si>
  <si>
    <t>R010660831</t>
  </si>
  <si>
    <t>山本　瀧生</t>
  </si>
  <si>
    <t>R010719602</t>
  </si>
  <si>
    <t>幸　偉風</t>
  </si>
  <si>
    <t>R010728105</t>
  </si>
  <si>
    <t>幸　浩史朗</t>
  </si>
  <si>
    <t>R010715010</t>
  </si>
  <si>
    <t>幸　拓磨</t>
  </si>
  <si>
    <t>R010691475</t>
  </si>
  <si>
    <t>横大路　敬太</t>
  </si>
  <si>
    <t>R010698155</t>
  </si>
  <si>
    <t>横山　幸司</t>
  </si>
  <si>
    <t>R010687466</t>
  </si>
  <si>
    <t>吉浦　祐之助</t>
  </si>
  <si>
    <t>R010700294</t>
  </si>
  <si>
    <t>吉岡　裕貴</t>
  </si>
  <si>
    <t>R010728165</t>
  </si>
  <si>
    <t>R010688489</t>
  </si>
  <si>
    <t>由川　凛大郎</t>
  </si>
  <si>
    <t>R010700295</t>
  </si>
  <si>
    <t>吉崎　隼司</t>
  </si>
  <si>
    <t>R010660833</t>
  </si>
  <si>
    <t>吉崎　莉央</t>
  </si>
  <si>
    <t>R010657826</t>
  </si>
  <si>
    <t>吉谷　俊哉</t>
  </si>
  <si>
    <t>R010746626</t>
  </si>
  <si>
    <t>吉田　和雅</t>
  </si>
  <si>
    <t>R010719623</t>
  </si>
  <si>
    <t>吉田　大河</t>
  </si>
  <si>
    <t>R010689073</t>
  </si>
  <si>
    <t>吉田　翼</t>
  </si>
  <si>
    <t>R010714994</t>
  </si>
  <si>
    <t>吉田　悠馬</t>
  </si>
  <si>
    <t>R010676607</t>
  </si>
  <si>
    <t>吉田　龍空</t>
  </si>
  <si>
    <t>R010684122</t>
  </si>
  <si>
    <t>吉廣　龍悟</t>
  </si>
  <si>
    <t>R010691460</t>
  </si>
  <si>
    <t>吉水　蒼真</t>
  </si>
  <si>
    <t>R010689340</t>
  </si>
  <si>
    <t>吉村　菜花</t>
  </si>
  <si>
    <t>R010685271</t>
  </si>
  <si>
    <t>吉村　真於</t>
  </si>
  <si>
    <t>R010682450</t>
  </si>
  <si>
    <t>吉屋　陽太</t>
  </si>
  <si>
    <t>R010746610</t>
  </si>
  <si>
    <t>頼廣　陸斗</t>
  </si>
  <si>
    <t>R010728129</t>
  </si>
  <si>
    <t>R010698152</t>
  </si>
  <si>
    <t>稙田　瑛汰</t>
  </si>
  <si>
    <t>R010736997</t>
  </si>
  <si>
    <t>渡邉　圭輔</t>
  </si>
  <si>
    <t>R010682444</t>
  </si>
  <si>
    <t>渡邉　煌雅</t>
  </si>
  <si>
    <t>R010684095</t>
  </si>
  <si>
    <t>渡邊　修平</t>
  </si>
  <si>
    <t>R010728140</t>
  </si>
  <si>
    <t>R010698161</t>
  </si>
  <si>
    <t>渡邉　敏範</t>
  </si>
  <si>
    <t>R010687761</t>
  </si>
  <si>
    <t>渡邊　春馬</t>
  </si>
  <si>
    <t>R010676675</t>
  </si>
  <si>
    <t>渡部　広也</t>
  </si>
  <si>
    <t>R010688479</t>
  </si>
  <si>
    <t>渡邉　雄敏</t>
  </si>
  <si>
    <t>R010698145</t>
  </si>
  <si>
    <t>渡邊　幸文</t>
  </si>
  <si>
    <t>R010746652</t>
  </si>
  <si>
    <t>渡邊　稜平</t>
  </si>
  <si>
    <t>R010676616</t>
  </si>
  <si>
    <t>和田　俊星</t>
  </si>
  <si>
    <t>アカミネ　モモカ</t>
  </si>
  <si>
    <t>アズマ　コウゾウ</t>
  </si>
  <si>
    <t>アソウ　アオイ</t>
  </si>
  <si>
    <t>イトウ　ユウタ</t>
  </si>
  <si>
    <t>カンザキ　マサカツ</t>
  </si>
  <si>
    <t>スエノブ　ダイ</t>
  </si>
  <si>
    <t>ツカザキ　ヒトシ</t>
  </si>
  <si>
    <t>ツジノ　ユウゴ</t>
  </si>
  <si>
    <t>トビセ　リュウ</t>
  </si>
  <si>
    <t>トモマツ　チカラ</t>
  </si>
  <si>
    <t>ヒジヤ　カンタ</t>
  </si>
  <si>
    <t>マツウラ　マサシ</t>
  </si>
  <si>
    <t>ヤノ　コウヘイ</t>
  </si>
  <si>
    <t>ヤリミツ　ルミナ</t>
  </si>
  <si>
    <t>ヨシモト　ツヨシ</t>
  </si>
  <si>
    <t>アイハラ　リュウセイ</t>
  </si>
  <si>
    <t>アオノ　リンカ</t>
  </si>
  <si>
    <t>アカギ　シンクロウ</t>
  </si>
  <si>
    <t>アカミネ　ハヤト</t>
  </si>
  <si>
    <t>アキヅキ　タクミ</t>
  </si>
  <si>
    <t>アキモト　ブンゴ</t>
  </si>
  <si>
    <t>アキヨシ　ショウゴ</t>
  </si>
  <si>
    <t>アキヨシ　ショウタ</t>
  </si>
  <si>
    <t>アキヨシ　タカシ</t>
  </si>
  <si>
    <t>アキヨシ　タクマ</t>
  </si>
  <si>
    <t>アキヨシ　マナト</t>
  </si>
  <si>
    <t>アクタガワ　ハルト</t>
  </si>
  <si>
    <t>アクツ　フミタカ</t>
  </si>
  <si>
    <t>アザイ　ユウセイ</t>
  </si>
  <si>
    <t>アソウ　タケル</t>
  </si>
  <si>
    <t>アソウ　ユウタ</t>
  </si>
  <si>
    <t>アダチ　タクミ</t>
  </si>
  <si>
    <t>アダチマ　マサノブ</t>
  </si>
  <si>
    <t>アナイ　コト</t>
  </si>
  <si>
    <t>アナイ　ヒサノリ</t>
  </si>
  <si>
    <t>アナイ　マサト</t>
  </si>
  <si>
    <t>アネカワ　レンタ</t>
  </si>
  <si>
    <t>アベ　コウヘイ</t>
  </si>
  <si>
    <t>アベ　ソウシロウ</t>
  </si>
  <si>
    <t>アベ　ダイチ</t>
  </si>
  <si>
    <t>アベ　マヒロ</t>
  </si>
  <si>
    <t>アベ　マモル</t>
  </si>
  <si>
    <t>アベ　ユウセイ</t>
  </si>
  <si>
    <t>アマガサキ　リュウタ</t>
  </si>
  <si>
    <t>アラキ　マサトシ</t>
  </si>
  <si>
    <t>アラマキ　ナオユキ</t>
  </si>
  <si>
    <t>アラマキ　ノエル</t>
  </si>
  <si>
    <t>アリタ　アマネ</t>
  </si>
  <si>
    <t>アリタ　タツキ</t>
  </si>
  <si>
    <t>アリタ　リク</t>
  </si>
  <si>
    <t>アリナガ　レイ</t>
  </si>
  <si>
    <t>アリヨシ　セイ</t>
  </si>
  <si>
    <t>アワジ　オウタロウ</t>
  </si>
  <si>
    <t>アンドウ　カズキ</t>
  </si>
  <si>
    <t>アンドウ　ゲンキ</t>
  </si>
  <si>
    <t>アンドウ　ソウシ</t>
  </si>
  <si>
    <t>イケダ　キョウジ</t>
  </si>
  <si>
    <t>イケナガ　ハルク</t>
  </si>
  <si>
    <t>イケナガ　リツ</t>
  </si>
  <si>
    <t>イケベ　キズナ</t>
  </si>
  <si>
    <t>イサヤマ　セナ</t>
  </si>
  <si>
    <t>イシイ　ミナト</t>
  </si>
  <si>
    <t>イシザキ　ユウシン</t>
  </si>
  <si>
    <t>イシヅカ　ショウ</t>
  </si>
  <si>
    <t>イシバシ　マサシ</t>
  </si>
  <si>
    <t>イシマル　ダイキ</t>
  </si>
  <si>
    <t>イズミ　タクオ</t>
  </si>
  <si>
    <t>イソザキ　タケル</t>
  </si>
  <si>
    <t>イチハラ　ケンシロウ</t>
  </si>
  <si>
    <t>イヅマ　トシアキ</t>
  </si>
  <si>
    <t>イデ　ヒナタ</t>
  </si>
  <si>
    <t>イデ　ミツキ</t>
  </si>
  <si>
    <t>イデリハ　エイタ</t>
  </si>
  <si>
    <t>イトウ　ショウタ</t>
  </si>
  <si>
    <t>イトウ　ユウジ</t>
  </si>
  <si>
    <t>イトナガ　ケイ</t>
  </si>
  <si>
    <t>イナバ　カズヒロ</t>
  </si>
  <si>
    <t>イナバ　シンノスケ</t>
  </si>
  <si>
    <t>イマヅ　ヒサミツ</t>
  </si>
  <si>
    <t>イマニシ　リュウノスケ</t>
  </si>
  <si>
    <t>イマハタ　カエデ</t>
  </si>
  <si>
    <t>イワオ　ジュキヤ</t>
  </si>
  <si>
    <t>イワサキ　ナオト</t>
  </si>
  <si>
    <t>イワサキ　マサミチ</t>
  </si>
  <si>
    <t>イワタ　ユウスケ</t>
  </si>
  <si>
    <t>イワタ　リク</t>
  </si>
  <si>
    <t>イワタ　リュウ</t>
  </si>
  <si>
    <t>イワムラ　ヒトノリ</t>
  </si>
  <si>
    <t>イワモト　キヨマサ</t>
  </si>
  <si>
    <t>ウエダ　ケイスケ</t>
  </si>
  <si>
    <t>ウエノ　アラク</t>
  </si>
  <si>
    <t>ウエハラ　カズヤ</t>
  </si>
  <si>
    <t>ウエハラ　タモツ</t>
  </si>
  <si>
    <t>ウエムラ　イブキ</t>
  </si>
  <si>
    <t>ウコン　ハルト</t>
  </si>
  <si>
    <t>ウダ　ハルヤ</t>
  </si>
  <si>
    <t>ウチノウラ　ソウタ</t>
  </si>
  <si>
    <t>ウノ　イッセイ</t>
  </si>
  <si>
    <t>ウメダ　ヨウ</t>
  </si>
  <si>
    <t>ウラワキ　ケイジ</t>
  </si>
  <si>
    <t>エイモリ　ユナ</t>
  </si>
  <si>
    <t>エサキ　ヨウコ</t>
  </si>
  <si>
    <t>エトウ　ゼン</t>
  </si>
  <si>
    <t>エトウ　ソウワ</t>
  </si>
  <si>
    <t>エトウ　ダイチ</t>
  </si>
  <si>
    <t>エトウ　ヒロト</t>
  </si>
  <si>
    <t>エトウ　ミズキ</t>
  </si>
  <si>
    <t>エトウ　ヤスヒロ</t>
  </si>
  <si>
    <t>エトウ　ユウト</t>
  </si>
  <si>
    <t>エノキダ　コウダイ</t>
  </si>
  <si>
    <t>エンドウ　コウキ</t>
  </si>
  <si>
    <t>オオイ　タイガ</t>
  </si>
  <si>
    <t>オオギ　ヒロユキ</t>
  </si>
  <si>
    <t>オオクボ　コウタ</t>
  </si>
  <si>
    <t>オオクボ　ショウヘイ</t>
  </si>
  <si>
    <t>オオクボ　ヒノ</t>
  </si>
  <si>
    <t>オオクラ　イッセイ</t>
  </si>
  <si>
    <t>オオクラ　ホウコ</t>
  </si>
  <si>
    <t>オオシタ　サヤナ</t>
  </si>
  <si>
    <t>オオタ　ケイスケ</t>
  </si>
  <si>
    <t>オオタ　コウヤ</t>
  </si>
  <si>
    <t>オオタニ　タカハル</t>
  </si>
  <si>
    <t>オオツカ　アキト</t>
  </si>
  <si>
    <t>オオノ　アオト</t>
  </si>
  <si>
    <t>オオミネ　リク</t>
  </si>
  <si>
    <t>オオモリ　ケンタ</t>
  </si>
  <si>
    <t>オオヤマ　ケンシ</t>
  </si>
  <si>
    <t>オカダ　アキラ</t>
  </si>
  <si>
    <t>オカダ　ショウマ</t>
  </si>
  <si>
    <t>オカモト　ソウマ</t>
  </si>
  <si>
    <t>オガサワラ　タカユキ</t>
  </si>
  <si>
    <t>オガタ　ルイス</t>
  </si>
  <si>
    <t>オガワ　シュウト</t>
  </si>
  <si>
    <t>オガワ　タツヤ</t>
  </si>
  <si>
    <t>オクノ　タツヤ</t>
  </si>
  <si>
    <t>オザモト　リョウ</t>
  </si>
  <si>
    <t>オザワ　ソウタ</t>
  </si>
  <si>
    <t>オジロ　サク</t>
  </si>
  <si>
    <t>オチ　セイナ</t>
  </si>
  <si>
    <t>オニキ　ツバサ</t>
  </si>
  <si>
    <t>オノ　コウキ</t>
  </si>
  <si>
    <t>オノ　タカシ</t>
  </si>
  <si>
    <t>オノ　ヤマト</t>
  </si>
  <si>
    <t>オノ　リュウノスケ</t>
  </si>
  <si>
    <t>オノ　リョウセイ</t>
  </si>
  <si>
    <t>オバタ　アイト</t>
  </si>
  <si>
    <t>カアイ　カナタ</t>
  </si>
  <si>
    <t>カイ　ジュンイチロウ</t>
  </si>
  <si>
    <t>カイ　テツシ</t>
  </si>
  <si>
    <t>カイ　ヒナタ</t>
  </si>
  <si>
    <t>カガミ　ナギ</t>
  </si>
  <si>
    <t>カク　レオン</t>
  </si>
  <si>
    <t>カクザキ　タダシ</t>
  </si>
  <si>
    <t>カサギ　タロウ</t>
  </si>
  <si>
    <t>カジウラ　レント</t>
  </si>
  <si>
    <t>カジワラ　セイタロウ</t>
  </si>
  <si>
    <t>カタギリ　ダイキ</t>
  </si>
  <si>
    <t>カトウ　クニヒコ</t>
  </si>
  <si>
    <t>カトウ　シンゴ</t>
  </si>
  <si>
    <t>カトウ　ハヤト</t>
  </si>
  <si>
    <t>カナモリ　カイキ</t>
  </si>
  <si>
    <t>カネコ　カンタ</t>
  </si>
  <si>
    <t>カネザキ　ユウト</t>
  </si>
  <si>
    <t>カミヤ　ノブトシ</t>
  </si>
  <si>
    <t>カラタ　ユウガ</t>
  </si>
  <si>
    <t>カリュウ　ユキミツ</t>
  </si>
  <si>
    <t>カワカミ　ジョジョ</t>
  </si>
  <si>
    <t>カワサキ　ネオ</t>
  </si>
  <si>
    <t>カワサキ　リョウガ</t>
  </si>
  <si>
    <t>カワシマ　マナト</t>
  </si>
  <si>
    <t>カワヅ　アイト</t>
  </si>
  <si>
    <t>カワノ　エイスケ</t>
  </si>
  <si>
    <t>カワノ　コウヤ</t>
  </si>
  <si>
    <t>カワノ　シユウタ</t>
  </si>
  <si>
    <t>カワノ　ソウタ</t>
  </si>
  <si>
    <t>カワノ　タイキ</t>
  </si>
  <si>
    <t>カワノ　リヒト</t>
  </si>
  <si>
    <t>カワノ　リョウジ</t>
  </si>
  <si>
    <t>カワムラ　チュウタツ</t>
  </si>
  <si>
    <t>カワムラ　ユメキ</t>
  </si>
  <si>
    <t>カンザキ　トア</t>
  </si>
  <si>
    <t>カンダ　リョウタロウ</t>
  </si>
  <si>
    <t>キクカワ　ツバサ</t>
  </si>
  <si>
    <t>キザキ　ショウジ</t>
  </si>
  <si>
    <t>キタガワ　アマネ</t>
  </si>
  <si>
    <t>キタガワ　ヒロキ</t>
  </si>
  <si>
    <t>キタムラ　コウショウ</t>
  </si>
  <si>
    <t>キダ　タカヒロ</t>
  </si>
  <si>
    <t>キヅ　タイガ</t>
  </si>
  <si>
    <t>キノシタ　ヒロト</t>
  </si>
  <si>
    <t>キベ　ソウマ</t>
  </si>
  <si>
    <t>キムラ　カイセイ</t>
  </si>
  <si>
    <t>キムラ　ナオキ</t>
  </si>
  <si>
    <t>キムラ　ユヅキ</t>
  </si>
  <si>
    <t>キモト　タイガ</t>
  </si>
  <si>
    <t>キヨスエ　ショウヘイ</t>
  </si>
  <si>
    <t>キヨタ　ショウマ</t>
  </si>
  <si>
    <t>キヨハラ　ユウト</t>
  </si>
  <si>
    <t>キラ　ショウイチロウ</t>
  </si>
  <si>
    <t>キラ　タスク</t>
  </si>
  <si>
    <t>キラ　ヤマト</t>
  </si>
  <si>
    <t>キリフ　ココカ</t>
  </si>
  <si>
    <t>クギミヤ　ソウタ</t>
  </si>
  <si>
    <t>クシマ　カズキ</t>
  </si>
  <si>
    <t>クスノキ　マイ</t>
  </si>
  <si>
    <t>クドウ　アキト</t>
  </si>
  <si>
    <t>クマガエ　ケイスケ</t>
  </si>
  <si>
    <t>クリタニ　マコト</t>
  </si>
  <si>
    <t>クロカワ　リョウタ</t>
  </si>
  <si>
    <t>クロキ　ナギサ</t>
  </si>
  <si>
    <t>クロキ　リョウスケ</t>
  </si>
  <si>
    <t>クワタ　ユリア</t>
  </si>
  <si>
    <t>クワヅル　トワ</t>
  </si>
  <si>
    <t>コウダ　マサシ</t>
  </si>
  <si>
    <t>コウノ　ケイタ</t>
  </si>
  <si>
    <t>コサカ　リョウ</t>
  </si>
  <si>
    <t>コジマ　ハルト</t>
  </si>
  <si>
    <t>コダマ　ケイタ</t>
  </si>
  <si>
    <t>コダマ　シュウヤ</t>
  </si>
  <si>
    <t>コダマ　ユウキ</t>
  </si>
  <si>
    <t>コニシ　ヒロユキ</t>
  </si>
  <si>
    <t>コバヤシ　タケル</t>
  </si>
  <si>
    <t>コボリ　ユウト</t>
  </si>
  <si>
    <t>コンドウ　タクマ</t>
  </si>
  <si>
    <t>ゴトウ　カズト</t>
  </si>
  <si>
    <t>ゴトウ　シュンキ</t>
  </si>
  <si>
    <t>ゴトウ　ダイキ</t>
  </si>
  <si>
    <t>ゴトウ　マサヤ</t>
  </si>
  <si>
    <t>ゴトウ　マモル</t>
  </si>
  <si>
    <t>ゴトウ　リオン</t>
  </si>
  <si>
    <t>サイキ　ショウイ</t>
  </si>
  <si>
    <t>サイトウ　コウヘイ</t>
  </si>
  <si>
    <t>サカイ　タカユキ</t>
  </si>
  <si>
    <t>サカイ　ハルト</t>
  </si>
  <si>
    <t>サカイ　ユウスケ</t>
  </si>
  <si>
    <t>サカネ　コウセイ</t>
  </si>
  <si>
    <t>サカモト　アカリ</t>
  </si>
  <si>
    <t>サカモト　カイ</t>
  </si>
  <si>
    <t>サカモト　ガクト</t>
  </si>
  <si>
    <t>サカモト　テル</t>
  </si>
  <si>
    <t>サカモト　ユウガ</t>
  </si>
  <si>
    <t>サガラ　トキト</t>
  </si>
  <si>
    <t>サガラ　レオン</t>
  </si>
  <si>
    <t>サクライ　コウキ</t>
  </si>
  <si>
    <t>ササダ　イオリ</t>
  </si>
  <si>
    <t>サシハラ　ケンタロウ</t>
  </si>
  <si>
    <t>サダ　カイリ</t>
  </si>
  <si>
    <t>サトウ　アキト</t>
  </si>
  <si>
    <t>サトウ　アヤト</t>
  </si>
  <si>
    <t>サトウ　アユム</t>
  </si>
  <si>
    <t>サトウ　ショウヘイ</t>
  </si>
  <si>
    <t>サトウ　ソウスケ</t>
  </si>
  <si>
    <t>サトウ　タイキ</t>
  </si>
  <si>
    <t>サトウ　トシヒロ</t>
  </si>
  <si>
    <t>サトウ　ヒロミチ</t>
  </si>
  <si>
    <t>サトウ　ヒロヤ</t>
  </si>
  <si>
    <t>サトウ　マサヤ</t>
  </si>
  <si>
    <t>サトウ　リョウヘイ</t>
  </si>
  <si>
    <t>サンノミヤ　エイジ</t>
  </si>
  <si>
    <t>サンミヤ　ガク</t>
  </si>
  <si>
    <t>シオテ　ハルヒト</t>
  </si>
  <si>
    <t>シガ　ユウヤ</t>
  </si>
  <si>
    <t>シゲサト　ユウゴ</t>
  </si>
  <si>
    <t>シテ　ユウヤ</t>
  </si>
  <si>
    <t>シバセキ　レン</t>
  </si>
  <si>
    <t>シバタ　ハルキ</t>
  </si>
  <si>
    <t>シバタ　ミカ</t>
  </si>
  <si>
    <t>シマヅ　アイム</t>
  </si>
  <si>
    <t>シミズ　カズキ</t>
  </si>
  <si>
    <t>シモダ　トオル</t>
  </si>
  <si>
    <t>シュトウ　ケンジ</t>
  </si>
  <si>
    <t>シュトウ　コハル</t>
  </si>
  <si>
    <t>シュトウ　ユウキ</t>
  </si>
  <si>
    <t>シュトウ　ユメ</t>
  </si>
  <si>
    <t>シュトウ　リョウタ</t>
  </si>
  <si>
    <t>シライ　ヒロアキ</t>
  </si>
  <si>
    <t>シン　コノミ</t>
  </si>
  <si>
    <t>シン　タツヤ</t>
  </si>
  <si>
    <t>シン　ツバサ</t>
  </si>
  <si>
    <t>ジクマル　ノボル</t>
  </si>
  <si>
    <t>ジョウ　タカアキ</t>
  </si>
  <si>
    <t>スエヒロ　ヨシヤ</t>
  </si>
  <si>
    <t>スエモト　ケンタ</t>
  </si>
  <si>
    <t>スギ　ヨシタカ</t>
  </si>
  <si>
    <t>スギムラ　ユウシン</t>
  </si>
  <si>
    <t>スギモト　レン</t>
  </si>
  <si>
    <t>スギヤマ　ユイト</t>
  </si>
  <si>
    <t>スズキ　ユウスケ</t>
  </si>
  <si>
    <t>スド　ヒロキ</t>
  </si>
  <si>
    <t>セグチ　リョウタ</t>
  </si>
  <si>
    <t>ゼギ　カナト</t>
  </si>
  <si>
    <t>ソノ　マサト</t>
  </si>
  <si>
    <t>ゾウシ　リンタロウ</t>
  </si>
  <si>
    <t>タエン　ケイタ</t>
  </si>
  <si>
    <t>タカキ　カナデ</t>
  </si>
  <si>
    <t>タカキ　シドウ</t>
  </si>
  <si>
    <t>タカクラ　シンペイ</t>
  </si>
  <si>
    <t>タカクラ　ハルキ</t>
  </si>
  <si>
    <t>タカクラ　リク</t>
  </si>
  <si>
    <t>タカスカ　ハルト</t>
  </si>
  <si>
    <t>タカダ　コタロウ</t>
  </si>
  <si>
    <t>タカハシ　アマト</t>
  </si>
  <si>
    <t>タカハシ　テンセイ</t>
  </si>
  <si>
    <t>タカハシ　リオ</t>
  </si>
  <si>
    <t>タカハタ　リョウト</t>
  </si>
  <si>
    <t>タカハタ　リン</t>
  </si>
  <si>
    <t>タカハラ　ケイジ</t>
  </si>
  <si>
    <t>タカハラ　ヨシユキ</t>
  </si>
  <si>
    <t>タカフジ　ヒカル</t>
  </si>
  <si>
    <t>タカマツ　アツト</t>
  </si>
  <si>
    <t>タカミネ　フミヤ</t>
  </si>
  <si>
    <t>タカモリ　ハルマ</t>
  </si>
  <si>
    <t>タガワ　レント</t>
  </si>
  <si>
    <t>タキグチ　コウヘイ</t>
  </si>
  <si>
    <t>タグチ　キヨシ</t>
  </si>
  <si>
    <t>タケウチ　アヤト</t>
  </si>
  <si>
    <t>タケウチ　ソウシ</t>
  </si>
  <si>
    <t>タケウチ　リオト</t>
  </si>
  <si>
    <t>タケシタ　マサヤ</t>
  </si>
  <si>
    <t>タケシマ　タカヤ</t>
  </si>
  <si>
    <t>タケダ　ユタカ</t>
  </si>
  <si>
    <t>タケナカ　フウマ</t>
  </si>
  <si>
    <t>タケヨシ　ショウヘイ</t>
  </si>
  <si>
    <t>タサカ　ショウヘイ</t>
  </si>
  <si>
    <t>タサキ　ジユンジ</t>
  </si>
  <si>
    <t>タシマ　カズト</t>
  </si>
  <si>
    <t>タダ　トモハル</t>
  </si>
  <si>
    <t>タテワキ　ヤスシ</t>
  </si>
  <si>
    <t>タナカ　シュン</t>
  </si>
  <si>
    <t>タナカ　ショウ</t>
  </si>
  <si>
    <t>タニ　ユウマ</t>
  </si>
  <si>
    <t>タニグチ　トオル</t>
  </si>
  <si>
    <t>タニグチ　ハルト</t>
  </si>
  <si>
    <t>タニザキ　ソウ</t>
  </si>
  <si>
    <t>タブキ　カナタ</t>
  </si>
  <si>
    <t>タブキ　マサシ</t>
  </si>
  <si>
    <t>タマイ　ソウタ</t>
  </si>
  <si>
    <t>タロウラ　ミキ</t>
  </si>
  <si>
    <t>タン　リクト</t>
  </si>
  <si>
    <t>ダイカイ　オウスケ</t>
  </si>
  <si>
    <t>ダンヅカ　トモユキ</t>
  </si>
  <si>
    <t>ダンヅカ　ヒロシ</t>
  </si>
  <si>
    <t>チェ　ジュンヒョク</t>
  </si>
  <si>
    <t>チカスナ　ヒトシ</t>
  </si>
  <si>
    <t>ツチヤ　リョウタ</t>
  </si>
  <si>
    <t>ツツイ　ケント</t>
  </si>
  <si>
    <t>ツツミ　イチヨウ</t>
  </si>
  <si>
    <t>ツヅラ　リュウキ</t>
  </si>
  <si>
    <t>ツユキ　ハルト</t>
  </si>
  <si>
    <t>ツル　ヒビキ</t>
  </si>
  <si>
    <t>テシマ　ライト</t>
  </si>
  <si>
    <t>テラシマ　タカノリ</t>
  </si>
  <si>
    <t>デグチ　マサヤ</t>
  </si>
  <si>
    <t>トカイ　コウダイ</t>
  </si>
  <si>
    <t>トクマル　リョウマ</t>
  </si>
  <si>
    <t>トシミツ　ソウタ</t>
  </si>
  <si>
    <t>トシミツ　ヨウスケ</t>
  </si>
  <si>
    <t>トモナガ　ミツアキ</t>
  </si>
  <si>
    <t>トモマツ　シュント</t>
  </si>
  <si>
    <t>トヨナガ　ユヅキ</t>
  </si>
  <si>
    <t>ドイ　トキミチ</t>
  </si>
  <si>
    <t>ドウジョウ　アヤト</t>
  </si>
  <si>
    <t>ナカ　ミカコ</t>
  </si>
  <si>
    <t>ナカオカ　シュン</t>
  </si>
  <si>
    <t>ナカガワ　ハルキ</t>
  </si>
  <si>
    <t>ナカシマ　ダイスケ</t>
  </si>
  <si>
    <t>ナカタ　ケイ</t>
  </si>
  <si>
    <t>ナカヅル　ショウヤ</t>
  </si>
  <si>
    <t>ナカヅル　ハルマサ</t>
  </si>
  <si>
    <t>ナカハタ　ハルト</t>
  </si>
  <si>
    <t>ナカボリ　サダム</t>
  </si>
  <si>
    <t>ナカムラ　イブキ</t>
  </si>
  <si>
    <t>ナカヤマ　ユウセイ</t>
  </si>
  <si>
    <t>ナガクラ　コウセイ</t>
  </si>
  <si>
    <t>ナガシマ　リュウタロウ</t>
  </si>
  <si>
    <t>ナガタ　タクミ</t>
  </si>
  <si>
    <t>ナガノ　キセキ</t>
  </si>
  <si>
    <t>ナガノ　タイガ</t>
  </si>
  <si>
    <t>ナガノ　トモヤ</t>
  </si>
  <si>
    <t>ナガノ　ニキ</t>
  </si>
  <si>
    <t>ナガマツ　リョウスケ</t>
  </si>
  <si>
    <t>ナガミツ　トキ</t>
  </si>
  <si>
    <t>ナガヤマ　ユウヘイ</t>
  </si>
  <si>
    <t>ニイノ　アキヒロ</t>
  </si>
  <si>
    <t>ニイノ　イオウ</t>
  </si>
  <si>
    <t>ニシ　ケンタロウ</t>
  </si>
  <si>
    <t>ニシ　ソウタロウ</t>
  </si>
  <si>
    <t>ニシムラ　シュンスケ</t>
  </si>
  <si>
    <t>ニシモト　タツヤ</t>
  </si>
  <si>
    <t>ニナガワ　ユライ</t>
  </si>
  <si>
    <t>ニノミヤ　シュウタ</t>
  </si>
  <si>
    <t>ニノミヤ　ヒナタ</t>
  </si>
  <si>
    <t>ニノミヤ　ユウスケ</t>
  </si>
  <si>
    <t>ノガミ　タケル</t>
  </si>
  <si>
    <t>ノグチ　マオ</t>
  </si>
  <si>
    <t>ノザキ　オウ</t>
  </si>
  <si>
    <t>ノジリ　セイト</t>
  </si>
  <si>
    <t>ハシグチ　ユウト</t>
  </si>
  <si>
    <t>ハシモト　ソウシ</t>
  </si>
  <si>
    <t>ハタ　ソウイチロウ</t>
  </si>
  <si>
    <t>ハタナカ　ソウタ</t>
  </si>
  <si>
    <t>ハタノ　エイト</t>
  </si>
  <si>
    <t>ハタベ　キイチ</t>
  </si>
  <si>
    <t>ハダノ　タカト</t>
  </si>
  <si>
    <t>ハダノ　ユウト</t>
  </si>
  <si>
    <t>ハマスナ　ウタトラ</t>
  </si>
  <si>
    <t>ハヤシ　シュンノスケ</t>
  </si>
  <si>
    <t>ハヤシ　トモノリ</t>
  </si>
  <si>
    <t>ハヤシ　マサヤ</t>
  </si>
  <si>
    <t>ハヤシ　ユウキ</t>
  </si>
  <si>
    <t>ハラ　リョウマ</t>
  </si>
  <si>
    <t>ハラグチ　ヒカル</t>
  </si>
  <si>
    <t>ハラダ　エイジ</t>
  </si>
  <si>
    <t>ハラダ　ケイオウ</t>
  </si>
  <si>
    <t>ハルタ　キスケ</t>
  </si>
  <si>
    <t>ハンダ　ケイスケ</t>
  </si>
  <si>
    <t>ハンダ　ユウヘイ</t>
  </si>
  <si>
    <t>ヒガシ　リイチ</t>
  </si>
  <si>
    <t>ヒグチ　タクミ</t>
  </si>
  <si>
    <t>ヒグマ　シンセイ</t>
  </si>
  <si>
    <t>ヒサカ　ヒロト</t>
  </si>
  <si>
    <t>ヒダカ　ミズキ</t>
  </si>
  <si>
    <t>ヒノ　ソウタ</t>
  </si>
  <si>
    <t>ヒャクダ　コウタロウ</t>
  </si>
  <si>
    <t>ヒョウドウ　イオリ</t>
  </si>
  <si>
    <t>ヒライ　アユム</t>
  </si>
  <si>
    <t>ヒライシ　ショウゴ</t>
  </si>
  <si>
    <t>ヒラソウズ　ソラ</t>
  </si>
  <si>
    <t>ヒラタ　ナオト</t>
  </si>
  <si>
    <t>ヒラノ　レント</t>
  </si>
  <si>
    <t>ヒラバル　タイチ</t>
  </si>
  <si>
    <t>ヒラモト　リョウタ</t>
  </si>
  <si>
    <t>ヒラヤマ　ユウ</t>
  </si>
  <si>
    <t>ヒロイケ　ラク</t>
  </si>
  <si>
    <t>ヒロカド　コタロウ</t>
  </si>
  <si>
    <t>ヒロセ　タカトモ</t>
  </si>
  <si>
    <t>ヒロセ　ルイ</t>
  </si>
  <si>
    <t>ヒロタ　セイガ</t>
  </si>
  <si>
    <t>フクイズミ　シノブ</t>
  </si>
  <si>
    <t>フクダ　アユム</t>
  </si>
  <si>
    <t>フクナガ　ユウキ</t>
  </si>
  <si>
    <t>フジイ　アラン</t>
  </si>
  <si>
    <t>フジカワ　イブキ</t>
  </si>
  <si>
    <t>フジカワ　タク</t>
  </si>
  <si>
    <t>フジタカ　ハルキ</t>
  </si>
  <si>
    <t>フジワラ　ショウヘイ</t>
  </si>
  <si>
    <t>フジワラ　セイ</t>
  </si>
  <si>
    <t>フチノ　ショウタ</t>
  </si>
  <si>
    <t>フナツ　コウタロウ</t>
  </si>
  <si>
    <t>ヘギ　ダイチ</t>
  </si>
  <si>
    <t>ホシ　キョウスケ</t>
  </si>
  <si>
    <t>ホリ　ナオト</t>
  </si>
  <si>
    <t>ホリ　ナナミ</t>
  </si>
  <si>
    <t>ホリ　マコト</t>
  </si>
  <si>
    <t>ホリキリ　レオ</t>
  </si>
  <si>
    <t>ホンダ　シオン</t>
  </si>
  <si>
    <t>マエダ　リュウシン</t>
  </si>
  <si>
    <t>マサキ　ジュンヤ</t>
  </si>
  <si>
    <t>マスダ　ソウガ</t>
  </si>
  <si>
    <t>マスダ　マサト</t>
  </si>
  <si>
    <t>マツウラ　トウマ</t>
  </si>
  <si>
    <t>マツオ　イッセイ</t>
  </si>
  <si>
    <t>マツオ　ユウセイ</t>
  </si>
  <si>
    <t>マツキ　フウル</t>
  </si>
  <si>
    <t>マツシタ　ナオキ</t>
  </si>
  <si>
    <t>マツダ　ユウゴ</t>
  </si>
  <si>
    <t>マツモト　ユキヤ</t>
  </si>
  <si>
    <t>マルヤマ　メイ</t>
  </si>
  <si>
    <t>ミエノ　シンジ</t>
  </si>
  <si>
    <t>ミエノ　マサヒロ</t>
  </si>
  <si>
    <t>ミカジリ　ケイスケ</t>
  </si>
  <si>
    <t>ミキ　ユウト</t>
  </si>
  <si>
    <t>ミチガシラ　マナブ</t>
  </si>
  <si>
    <t>ミナミ　カズキ</t>
  </si>
  <si>
    <t>ミナミ　ジュリ</t>
  </si>
  <si>
    <t>ミナミ　ヒデカズ</t>
  </si>
  <si>
    <t>ミナミ　ヒュウガ</t>
  </si>
  <si>
    <t>ミネオ　マサル</t>
  </si>
  <si>
    <t>ミネノ　コウガ</t>
  </si>
  <si>
    <t>ミヤガワ　サキ</t>
  </si>
  <si>
    <t>ミヤザキ　コウイチロウ</t>
  </si>
  <si>
    <t>ミヤザキ　ユウショウ</t>
  </si>
  <si>
    <t>ミヤモト　ヨシミツ</t>
  </si>
  <si>
    <t>ミヤワキ　タケル</t>
  </si>
  <si>
    <t>ムコウ　タクマ</t>
  </si>
  <si>
    <t>ムチマ　リュウヤ</t>
  </si>
  <si>
    <t>ムライシ　ヨシタカ</t>
  </si>
  <si>
    <t>ムラカミ　アンナ</t>
  </si>
  <si>
    <t>ムラカミ　コウタロウ</t>
  </si>
  <si>
    <t>ムラカミ　リョウタロウ</t>
  </si>
  <si>
    <t>ムラカミ　リンタロウ</t>
  </si>
  <si>
    <t>モトヒサ　ワタル</t>
  </si>
  <si>
    <t>モトムロ　リクト</t>
  </si>
  <si>
    <t>モモタ　トキ</t>
  </si>
  <si>
    <t>モリ　ユウセイ</t>
  </si>
  <si>
    <t>モリ　ユウダイ</t>
  </si>
  <si>
    <t>モリキ　タイガ</t>
  </si>
  <si>
    <t>モリサコ　ヒロト</t>
  </si>
  <si>
    <t>モリタ　ソラ</t>
  </si>
  <si>
    <t>モリタ　レンヤ</t>
  </si>
  <si>
    <t>モロトミ　タカヨシ</t>
  </si>
  <si>
    <t>ヤスダ　タクミ</t>
  </si>
  <si>
    <t>ヤスマツ　リョウ</t>
  </si>
  <si>
    <t>ヤスモト　ダイキ</t>
  </si>
  <si>
    <t>ヤナイダ　シュン</t>
  </si>
  <si>
    <t>ヤノ　ケイゴ</t>
  </si>
  <si>
    <t>ヤノ　タイヨウ</t>
  </si>
  <si>
    <t>ヤノ　ヨシロウ</t>
  </si>
  <si>
    <t>ヤノ　リュウセイ</t>
  </si>
  <si>
    <t>ヤマオカ　テツヤ</t>
  </si>
  <si>
    <t>ヤマグチ　コウヘイ</t>
  </si>
  <si>
    <t>ヤマグチ　シュン</t>
  </si>
  <si>
    <t>ヤマグチ　タク</t>
  </si>
  <si>
    <t>ヤマグチ　ムネフミ</t>
  </si>
  <si>
    <t>ヤマサキ　ジュンタ</t>
  </si>
  <si>
    <t>ヤマサキ　ハルト</t>
  </si>
  <si>
    <t>ヤマサキ　リュウト</t>
  </si>
  <si>
    <t>ヤマシタ　ユウヤ</t>
  </si>
  <si>
    <t>ヤマシタ　リュウキ</t>
  </si>
  <si>
    <t>ヤマダ　ソウタロウ</t>
  </si>
  <si>
    <t>ヤマダ　ナギ</t>
  </si>
  <si>
    <t>ヤマダ　ヒビキ</t>
  </si>
  <si>
    <t>ヤマナカ　マサタカ</t>
  </si>
  <si>
    <t>ヤマモト　カイ</t>
  </si>
  <si>
    <t>ヤマモト　カズサ</t>
  </si>
  <si>
    <t>ヤマモト　コウセイ</t>
  </si>
  <si>
    <t>ヤマモト　ロイ</t>
  </si>
  <si>
    <t>ユキ　イブキ</t>
  </si>
  <si>
    <t>ユキ　コウジロウ</t>
  </si>
  <si>
    <t>ユキ　タクマ</t>
  </si>
  <si>
    <t>ヨコオオジ　ケイタ</t>
  </si>
  <si>
    <t>ヨコヤマ　コウジ</t>
  </si>
  <si>
    <t>ヨシウラ　ユウノスケ</t>
  </si>
  <si>
    <t>ヨシオカ　ユウキ</t>
  </si>
  <si>
    <t>ヨシカワ　リンタロウ</t>
  </si>
  <si>
    <t>ヨシザキ　シュンジ</t>
  </si>
  <si>
    <t>ヨシザキ　リオ</t>
  </si>
  <si>
    <t>ヨシタニ　トシヤ</t>
  </si>
  <si>
    <t>ヨシダ　カズノリ</t>
  </si>
  <si>
    <t>ヨシダ　タイガ</t>
  </si>
  <si>
    <t>ヨシダ　ツバサ</t>
  </si>
  <si>
    <t>ヨシダ　リュウク</t>
  </si>
  <si>
    <t>ヨシヒロ　リュウゴ</t>
  </si>
  <si>
    <t>ヨシミズ　ソウマ</t>
  </si>
  <si>
    <t>ヨシムラ　ナノハ</t>
  </si>
  <si>
    <t>ヨシムラ　マオ</t>
  </si>
  <si>
    <t>ヨシヤ　ヨウタ</t>
  </si>
  <si>
    <t>ヨリヒロ　リクト</t>
  </si>
  <si>
    <t>ワサダ　エイタ</t>
  </si>
  <si>
    <t>ワタナベ　コウガ</t>
  </si>
  <si>
    <t>ワタナベ　シュウヘイ</t>
  </si>
  <si>
    <t>ワタナベ　トシノリ</t>
  </si>
  <si>
    <t>ワタナベ　ハルマ</t>
  </si>
  <si>
    <t>ワタナベ　ヒロヤ</t>
  </si>
  <si>
    <t>ワタナベ　ユキフミ</t>
  </si>
  <si>
    <t>ワタナベ　リョウヘイ</t>
  </si>
  <si>
    <t>ワダ　シュンセイ</t>
  </si>
  <si>
    <t>沖縄県</t>
  </si>
  <si>
    <t>7月1日（土）8：50～大分スポーツ公園　レゾナック サッカー・ラグビー場　Bコートにて開会式を行いますので、全チームの関係者は参加願います。また、閉会式は、7月2日（日）の決勝戦終了後に行いますので、優勝・準優勝・3位チームの関係者は参加願います。但し、コロナ感染状況に応じて開閉会式の簡素化など対策を行う場合がございますのでご理解願います。</t>
    <rPh sb="1" eb="2">
      <t>ガツ</t>
    </rPh>
    <rPh sb="3" eb="4">
      <t>ニチ</t>
    </rPh>
    <rPh sb="5" eb="6">
      <t>ツチ</t>
    </rPh>
    <rPh sb="44" eb="46">
      <t>カイカイ</t>
    </rPh>
    <rPh sb="46" eb="47">
      <t>シキ</t>
    </rPh>
    <rPh sb="48" eb="49">
      <t>オコナ</t>
    </rPh>
    <rPh sb="55" eb="56">
      <t>ゼン</t>
    </rPh>
    <rPh sb="60" eb="63">
      <t>カンケイシャ</t>
    </rPh>
    <rPh sb="64" eb="67">
      <t>サンカネガ</t>
    </rPh>
    <rPh sb="74" eb="77">
      <t>ヘイカイシキ</t>
    </rPh>
    <rPh sb="80" eb="81">
      <t>ガツ</t>
    </rPh>
    <rPh sb="82" eb="83">
      <t>ニチ</t>
    </rPh>
    <rPh sb="84" eb="85">
      <t>ニチ</t>
    </rPh>
    <rPh sb="87" eb="89">
      <t>ケッショウ</t>
    </rPh>
    <rPh sb="89" eb="90">
      <t>セン</t>
    </rPh>
    <rPh sb="90" eb="92">
      <t>シュウリョウ</t>
    </rPh>
    <rPh sb="92" eb="93">
      <t>ゴ</t>
    </rPh>
    <rPh sb="94" eb="95">
      <t>オコナ</t>
    </rPh>
    <rPh sb="101" eb="103">
      <t>ユウショウ</t>
    </rPh>
    <rPh sb="104" eb="105">
      <t>ジュン</t>
    </rPh>
    <rPh sb="105" eb="107">
      <t>ユウショウ</t>
    </rPh>
    <rPh sb="109" eb="110">
      <t>イ</t>
    </rPh>
    <rPh sb="114" eb="117">
      <t>カンケイシャ</t>
    </rPh>
    <rPh sb="118" eb="121">
      <t>サンカネガ</t>
    </rPh>
    <rPh sb="125" eb="126">
      <t>タダ</t>
    </rPh>
    <rPh sb="131" eb="133">
      <t>カンセン</t>
    </rPh>
    <rPh sb="133" eb="135">
      <t>ジョウキョウ</t>
    </rPh>
    <rPh sb="136" eb="137">
      <t>オウ</t>
    </rPh>
    <rPh sb="139" eb="143">
      <t>カイヘイカイシキ</t>
    </rPh>
    <rPh sb="144" eb="147">
      <t>カンソカ</t>
    </rPh>
    <rPh sb="149" eb="151">
      <t>タイサク</t>
    </rPh>
    <rPh sb="152" eb="153">
      <t>オコナ</t>
    </rPh>
    <rPh sb="154" eb="156">
      <t>バアイ</t>
    </rPh>
    <rPh sb="165" eb="168">
      <t>リカイネガ</t>
    </rPh>
    <phoneticPr fontId="64"/>
  </si>
  <si>
    <t>末永　久成</t>
  </si>
  <si>
    <t>末永　久成</t>
    <phoneticPr fontId="5"/>
  </si>
  <si>
    <t>平尾　彰敏</t>
  </si>
  <si>
    <t>平尾　彰敏</t>
    <phoneticPr fontId="5"/>
  </si>
  <si>
    <t>秋吉　明</t>
    <phoneticPr fontId="5"/>
  </si>
  <si>
    <t>R008537139</t>
    <phoneticPr fontId="5"/>
  </si>
  <si>
    <t>R008798013</t>
    <phoneticPr fontId="5"/>
  </si>
  <si>
    <t>R001263350</t>
    <phoneticPr fontId="5"/>
  </si>
  <si>
    <t>R010599590</t>
    <phoneticPr fontId="5"/>
  </si>
  <si>
    <t>R003972391</t>
    <phoneticPr fontId="5"/>
  </si>
  <si>
    <t>R001256402</t>
    <phoneticPr fontId="5"/>
  </si>
  <si>
    <t>R010538358</t>
    <phoneticPr fontId="5"/>
  </si>
  <si>
    <t>R010542171</t>
    <phoneticPr fontId="5"/>
  </si>
  <si>
    <t>R006664864</t>
    <phoneticPr fontId="5"/>
  </si>
  <si>
    <t>R009670176</t>
    <phoneticPr fontId="5"/>
  </si>
  <si>
    <t>R008634706</t>
    <phoneticPr fontId="5"/>
  </si>
  <si>
    <t>R010376269</t>
    <phoneticPr fontId="5"/>
  </si>
  <si>
    <t>R010376269</t>
    <phoneticPr fontId="5"/>
  </si>
  <si>
    <t>R006591364</t>
    <phoneticPr fontId="5"/>
  </si>
  <si>
    <t>R010388050</t>
    <phoneticPr fontId="5"/>
  </si>
  <si>
    <t>R010256872</t>
    <phoneticPr fontId="5"/>
  </si>
  <si>
    <t>R001263183</t>
    <phoneticPr fontId="5"/>
  </si>
  <si>
    <t>R010281856</t>
    <phoneticPr fontId="5"/>
  </si>
  <si>
    <t>R005405699</t>
    <phoneticPr fontId="5"/>
  </si>
  <si>
    <t>R010599588</t>
    <phoneticPr fontId="5"/>
  </si>
  <si>
    <t>R010638053</t>
    <phoneticPr fontId="5"/>
  </si>
  <si>
    <t>R010214556</t>
    <phoneticPr fontId="5"/>
  </si>
  <si>
    <t>R007606238</t>
    <phoneticPr fontId="5"/>
  </si>
  <si>
    <t>R008634229</t>
    <phoneticPr fontId="5"/>
  </si>
  <si>
    <t>R001264304</t>
    <phoneticPr fontId="5"/>
  </si>
  <si>
    <t>R001262698</t>
    <phoneticPr fontId="5"/>
  </si>
  <si>
    <t>R009408904</t>
    <phoneticPr fontId="5"/>
  </si>
  <si>
    <t>R008798217</t>
    <phoneticPr fontId="5"/>
  </si>
  <si>
    <t>R010613632</t>
    <phoneticPr fontId="5"/>
  </si>
  <si>
    <t>反スポ</t>
    <rPh sb="0" eb="1">
      <t>ハン</t>
    </rPh>
    <phoneticPr fontId="5"/>
  </si>
  <si>
    <t>ラフ</t>
    <phoneticPr fontId="5"/>
  </si>
  <si>
    <t>警告2</t>
    <phoneticPr fontId="5"/>
  </si>
  <si>
    <t>R010542202</t>
    <phoneticPr fontId="5"/>
  </si>
  <si>
    <t>大会規定によるPK結果</t>
    <rPh sb="0" eb="2">
      <t>タイカイ</t>
    </rPh>
    <rPh sb="2" eb="4">
      <t>キテイ</t>
    </rPh>
    <rPh sb="9" eb="11">
      <t>ケッカ</t>
    </rPh>
    <phoneticPr fontId="5"/>
  </si>
  <si>
    <t>玖珠</t>
    <rPh sb="0" eb="2">
      <t>クス</t>
    </rPh>
    <phoneticPr fontId="5"/>
  </si>
  <si>
    <t>金池長浜</t>
    <rPh sb="0" eb="2">
      <t>カナイケ</t>
    </rPh>
    <rPh sb="2" eb="4">
      <t>ナガハマ</t>
    </rPh>
    <phoneticPr fontId="5"/>
  </si>
  <si>
    <t>スマイス・セレソン</t>
    <phoneticPr fontId="5"/>
  </si>
  <si>
    <t>鶴居</t>
    <rPh sb="0" eb="2">
      <t>ツルイ</t>
    </rPh>
    <phoneticPr fontId="5"/>
  </si>
  <si>
    <t>Match No：25</t>
    <phoneticPr fontId="5"/>
  </si>
  <si>
    <t>M N:25 負</t>
    <phoneticPr fontId="5"/>
  </si>
  <si>
    <t>Match No：27  負</t>
    <phoneticPr fontId="5"/>
  </si>
  <si>
    <t>Match No：25  負</t>
    <phoneticPr fontId="5"/>
  </si>
  <si>
    <t>M N:25 勝</t>
  </si>
  <si>
    <t>Match No：25  勝</t>
  </si>
  <si>
    <t>M N:26 勝</t>
  </si>
  <si>
    <t>Match No：26  勝</t>
  </si>
  <si>
    <t>M N:27 勝</t>
  </si>
  <si>
    <t>Match No：27  勝</t>
  </si>
  <si>
    <t>M N:28 勝</t>
  </si>
  <si>
    <t>Match No：28  勝</t>
  </si>
  <si>
    <t>R001265385</t>
    <phoneticPr fontId="5"/>
  </si>
  <si>
    <t>R001264580</t>
    <phoneticPr fontId="5"/>
  </si>
  <si>
    <t>R001264580</t>
    <phoneticPr fontId="5"/>
  </si>
  <si>
    <t>Match No：25
0 前半 1
0 後半 1</t>
    <phoneticPr fontId="5"/>
  </si>
  <si>
    <t>Match No：26
1 前半 0
0 後半 1
3 ＰＫ 4</t>
    <phoneticPr fontId="5"/>
  </si>
  <si>
    <t>玖珠</t>
    <rPh sb="0" eb="2">
      <t>クス</t>
    </rPh>
    <phoneticPr fontId="5"/>
  </si>
  <si>
    <t>ティエラフットボールクラブＵ－１２</t>
    <phoneticPr fontId="5"/>
  </si>
  <si>
    <t>ブルーウイングフットボールクラブ</t>
    <phoneticPr fontId="5"/>
  </si>
  <si>
    <t>Match No：27
1 前半 0
2 後半 0</t>
    <phoneticPr fontId="5"/>
  </si>
  <si>
    <t>Match No：28
0 前半 0
1 後半 1
3 ＰＫ 2</t>
    <phoneticPr fontId="5"/>
  </si>
  <si>
    <t>Match No：29
4 前半 0
2 後半 1</t>
    <phoneticPr fontId="5"/>
  </si>
  <si>
    <t>Match No：30
0 前半 0
0 後半 2</t>
    <phoneticPr fontId="5"/>
  </si>
  <si>
    <t>ブルーウイングフットボールクラブ</t>
    <phoneticPr fontId="5"/>
  </si>
  <si>
    <t>大分　市</t>
    <rPh sb="0" eb="2">
      <t>オオイタ</t>
    </rPh>
    <rPh sb="3" eb="4">
      <t>シ</t>
    </rPh>
    <phoneticPr fontId="5"/>
  </si>
  <si>
    <t>スマイス・セレソン</t>
    <phoneticPr fontId="5"/>
  </si>
  <si>
    <t>鶴居</t>
    <phoneticPr fontId="5"/>
  </si>
  <si>
    <t>ＫＩＮＧＳ　ＦＯＯＴＢＡＬＬＣＬＵＢ　Ｕ－１２</t>
    <phoneticPr fontId="5"/>
  </si>
  <si>
    <t>金池長浜サッカースポーツ少年団</t>
    <phoneticPr fontId="5"/>
  </si>
  <si>
    <t>・ティエラフットボールクラブＵ－１２</t>
    <phoneticPr fontId="5"/>
  </si>
  <si>
    <t>ＫＩＮＧＳ　ＦＯＯＴＢＡＬＬＣＬＵＢ　Ｕ－１２</t>
    <phoneticPr fontId="5"/>
  </si>
  <si>
    <t>・金池長浜サッカースポーツ少年団</t>
    <phoneticPr fontId="5"/>
  </si>
  <si>
    <t>Match No：32
2 前半 3
1 後半 1</t>
    <phoneticPr fontId="5"/>
  </si>
  <si>
    <t>Match No：31
1 前半 0
2 後半 0</t>
    <phoneticPr fontId="5"/>
  </si>
  <si>
    <t>Match No：33
1 前半 1
2 後半 0</t>
    <phoneticPr fontId="5"/>
  </si>
  <si>
    <t>・ＫＩＮＧＳ　ＦＯＯＴＢＡＬＬＣＬＵＢ　Ｕ－１２</t>
    <phoneticPr fontId="5"/>
  </si>
  <si>
    <t>①</t>
    <phoneticPr fontId="5"/>
  </si>
  <si>
    <t>HT</t>
    <phoneticPr fontId="5"/>
  </si>
  <si>
    <t>10～S</t>
    <phoneticPr fontId="5"/>
  </si>
  <si>
    <t>11～S</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</si>
</sst>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mm/dd;@"/>
    <numFmt numFmtId="177" formatCode="0.0_ "/>
  </numFmts>
  <fonts count="10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20"/>
      <name val="ＭＳ Ｐゴシック"/>
      <family val="3"/>
      <charset val="128"/>
    </font>
    <font>
      <sz val="16"/>
      <name val="ＭＳ Ｐゴシック"/>
      <family val="3"/>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8.5"/>
      <color indexed="12"/>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b/>
      <sz val="11"/>
      <name val="ＭＳ Ｐゴシック"/>
      <family val="3"/>
      <charset val="128"/>
    </font>
    <font>
      <b/>
      <sz val="18"/>
      <name val="ＭＳ Ｐゴシック"/>
      <family val="3"/>
      <charset val="128"/>
    </font>
    <font>
      <sz val="12"/>
      <name val="ＭＳ 明朝"/>
      <family val="1"/>
      <charset val="128"/>
    </font>
    <font>
      <sz val="12"/>
      <color indexed="8"/>
      <name val="ＭＳ Ｐゴシック"/>
      <family val="3"/>
      <charset val="128"/>
    </font>
    <font>
      <sz val="12"/>
      <color indexed="9"/>
      <name val="ＭＳ Ｐゴシック"/>
      <family val="3"/>
      <charset val="128"/>
    </font>
    <font>
      <b/>
      <sz val="12"/>
      <color indexed="8"/>
      <name val="ＭＳ Ｐゴシック"/>
      <family val="3"/>
      <charset val="128"/>
    </font>
    <font>
      <sz val="12"/>
      <color indexed="60"/>
      <name val="ＭＳ Ｐゴシック"/>
      <family val="3"/>
      <charset val="128"/>
    </font>
    <font>
      <u/>
      <sz val="11"/>
      <color indexed="12"/>
      <name val="ＭＳ Ｐゴシック"/>
      <family val="3"/>
      <charset val="128"/>
    </font>
    <font>
      <u/>
      <sz val="12"/>
      <name val="ＭＳ Ｐゴシック"/>
      <family val="3"/>
      <charset val="128"/>
    </font>
    <font>
      <u/>
      <sz val="10"/>
      <name val="ＭＳ Ｐゴシック"/>
      <family val="3"/>
      <charset val="128"/>
    </font>
    <font>
      <b/>
      <sz val="10"/>
      <name val="ＭＳ Ｐゴシック"/>
      <family val="3"/>
      <charset val="128"/>
    </font>
    <font>
      <b/>
      <u/>
      <sz val="18"/>
      <name val="ＭＳ Ｐゴシック"/>
      <family val="3"/>
      <charset val="128"/>
    </font>
    <font>
      <b/>
      <sz val="11"/>
      <name val="HG丸ｺﾞｼｯｸM-PRO"/>
      <family val="3"/>
      <charset val="128"/>
    </font>
    <font>
      <b/>
      <sz val="12"/>
      <name val="HG丸ｺﾞｼｯｸM-PRO"/>
      <family val="3"/>
      <charset val="128"/>
    </font>
    <font>
      <sz val="11"/>
      <name val="HG丸ｺﾞｼｯｸM-PRO"/>
      <family val="3"/>
      <charset val="128"/>
    </font>
    <font>
      <sz val="12"/>
      <name val="HGP創英角ｺﾞｼｯｸUB"/>
      <family val="3"/>
      <charset val="128"/>
    </font>
    <font>
      <sz val="6"/>
      <name val="ＭＳ 明朝"/>
      <family val="1"/>
      <charset val="128"/>
    </font>
    <font>
      <sz val="9"/>
      <name val="HG丸ｺﾞｼｯｸM-PRO"/>
      <family val="3"/>
      <charset val="128"/>
    </font>
    <font>
      <b/>
      <sz val="9"/>
      <name val="HG丸ｺﾞｼｯｸM-PRO"/>
      <family val="3"/>
      <charset val="128"/>
    </font>
    <font>
      <sz val="10"/>
      <name val="HG丸ｺﾞｼｯｸM-PRO"/>
      <family val="3"/>
      <charset val="128"/>
    </font>
    <font>
      <sz val="8.5"/>
      <name val="ＭＳ 明朝"/>
      <family val="1"/>
      <charset val="128"/>
    </font>
    <font>
      <sz val="6"/>
      <name val="HG丸ｺﾞｼｯｸM-PRO"/>
      <family val="3"/>
      <charset val="128"/>
    </font>
    <font>
      <sz val="12"/>
      <name val="HG丸ｺﾞｼｯｸM-PRO"/>
      <family val="3"/>
      <charset val="128"/>
    </font>
    <font>
      <sz val="11"/>
      <color theme="1"/>
      <name val="ＭＳ Ｐゴシック"/>
      <family val="3"/>
      <charset val="128"/>
      <scheme val="minor"/>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6"/>
      <color theme="1"/>
      <name val="ＭＳ Ｐゴシック"/>
      <family val="3"/>
      <charset val="128"/>
    </font>
    <font>
      <sz val="9"/>
      <color theme="1"/>
      <name val="ＭＳ Ｐゴシック"/>
      <family val="3"/>
      <charset val="128"/>
      <scheme val="minor"/>
    </font>
    <font>
      <b/>
      <sz val="16"/>
      <color theme="1"/>
      <name val="ＭＳ Ｐゴシック"/>
      <family val="3"/>
      <charset val="128"/>
    </font>
    <font>
      <b/>
      <sz val="11"/>
      <color theme="1"/>
      <name val="ＭＳ Ｐゴシック"/>
      <family val="3"/>
      <charset val="128"/>
    </font>
    <font>
      <sz val="10"/>
      <color rgb="FFFF0000"/>
      <name val="HG丸ｺﾞｼｯｸM-PRO"/>
      <family val="3"/>
      <charset val="128"/>
    </font>
    <font>
      <sz val="6"/>
      <name val="ＭＳ Ｐゴシック"/>
      <family val="2"/>
      <charset val="128"/>
      <scheme val="minor"/>
    </font>
    <font>
      <b/>
      <sz val="20"/>
      <name val="ＭＳ Ｐゴシック"/>
      <family val="3"/>
      <charset val="128"/>
    </font>
    <font>
      <sz val="14"/>
      <name val="Arial"/>
      <family val="2"/>
    </font>
    <font>
      <sz val="11"/>
      <name val="Meiryo UI"/>
      <family val="3"/>
      <charset val="128"/>
    </font>
    <font>
      <sz val="11"/>
      <color theme="1"/>
      <name val="Meiryo UI"/>
      <family val="3"/>
      <charset val="128"/>
    </font>
    <font>
      <sz val="12"/>
      <name val="Meiryo UI"/>
      <family val="3"/>
      <charset val="128"/>
    </font>
    <font>
      <sz val="12"/>
      <color theme="1"/>
      <name val="Meiryo UI"/>
      <family val="3"/>
      <charset val="128"/>
    </font>
    <font>
      <sz val="9"/>
      <name val="Meiryo UI"/>
      <family val="3"/>
      <charset val="128"/>
    </font>
    <font>
      <sz val="14"/>
      <name val="Meiryo UI"/>
      <family val="3"/>
      <charset val="128"/>
    </font>
    <font>
      <b/>
      <sz val="10"/>
      <name val="Meiryo UI"/>
      <family val="3"/>
      <charset val="128"/>
    </font>
    <font>
      <b/>
      <sz val="11"/>
      <name val="Meiryo UI"/>
      <family val="3"/>
      <charset val="128"/>
    </font>
    <font>
      <b/>
      <u/>
      <sz val="11"/>
      <name val="Meiryo UI"/>
      <family val="3"/>
      <charset val="128"/>
    </font>
    <font>
      <u/>
      <sz val="11"/>
      <name val="Meiryo UI"/>
      <family val="3"/>
      <charset val="128"/>
    </font>
    <font>
      <b/>
      <sz val="12"/>
      <name val="Meiryo UI"/>
      <family val="3"/>
      <charset val="128"/>
    </font>
    <font>
      <b/>
      <sz val="20"/>
      <color theme="1"/>
      <name val="Meiryo UI"/>
      <family val="3"/>
      <charset val="128"/>
    </font>
    <font>
      <sz val="14"/>
      <color theme="1"/>
      <name val="Meiryo UI"/>
      <family val="3"/>
      <charset val="128"/>
    </font>
    <font>
      <sz val="20"/>
      <color theme="1"/>
      <name val="Meiryo UI"/>
      <family val="3"/>
      <charset val="128"/>
    </font>
    <font>
      <b/>
      <sz val="24"/>
      <color theme="1"/>
      <name val="Meiryo UI"/>
      <family val="3"/>
      <charset val="128"/>
    </font>
    <font>
      <b/>
      <sz val="18"/>
      <color theme="1"/>
      <name val="Meiryo UI"/>
      <family val="3"/>
      <charset val="128"/>
    </font>
    <font>
      <sz val="9"/>
      <color theme="1"/>
      <name val="Meiryo UI"/>
      <family val="3"/>
      <charset val="128"/>
    </font>
    <font>
      <b/>
      <sz val="14"/>
      <color theme="1"/>
      <name val="Meiryo UI"/>
      <family val="3"/>
      <charset val="128"/>
    </font>
    <font>
      <sz val="22"/>
      <color theme="1"/>
      <name val="Meiryo UI"/>
      <family val="3"/>
      <charset val="128"/>
    </font>
    <font>
      <sz val="18"/>
      <color theme="1"/>
      <name val="Meiryo UI"/>
      <family val="3"/>
      <charset val="128"/>
    </font>
    <font>
      <sz val="8"/>
      <color theme="1"/>
      <name val="Meiryo UI"/>
      <family val="3"/>
      <charset val="128"/>
    </font>
    <font>
      <sz val="16"/>
      <color theme="1"/>
      <name val="Meiryo UI"/>
      <family val="3"/>
      <charset val="128"/>
    </font>
    <font>
      <sz val="10"/>
      <color theme="1"/>
      <name val="Meiryo UI"/>
      <family val="3"/>
      <charset val="128"/>
    </font>
    <font>
      <b/>
      <sz val="12"/>
      <color theme="1"/>
      <name val="Meiryo UI"/>
      <family val="3"/>
      <charset val="128"/>
    </font>
    <font>
      <b/>
      <sz val="20"/>
      <color rgb="FFFF0000"/>
      <name val="Meiryo UI"/>
      <family val="3"/>
      <charset val="128"/>
    </font>
    <font>
      <sz val="11"/>
      <color rgb="FFFF0000"/>
      <name val="Meiryo UI"/>
      <family val="3"/>
      <charset val="128"/>
    </font>
    <font>
      <b/>
      <sz val="11"/>
      <color theme="1"/>
      <name val="Meiryo UI"/>
      <family val="3"/>
      <charset val="128"/>
    </font>
    <font>
      <sz val="10"/>
      <color rgb="FFFF0000"/>
      <name val="ＭＳ Ｐゴシック"/>
      <family val="3"/>
      <charset val="128"/>
    </font>
    <font>
      <b/>
      <sz val="10"/>
      <color rgb="FFFF0000"/>
      <name val="ＭＳ Ｐゴシック"/>
      <family val="3"/>
      <charset val="128"/>
    </font>
    <font>
      <sz val="11"/>
      <name val="HG丸ｺﾞｼｯｸM-PRO"/>
      <family val="3"/>
    </font>
    <font>
      <sz val="6"/>
      <name val="ＭＳ Ｐゴシック"/>
      <family val="3"/>
    </font>
    <font>
      <sz val="10"/>
      <name val="HG丸ｺﾞｼｯｸM-PRO"/>
      <family val="3"/>
    </font>
    <font>
      <sz val="9"/>
      <name val="HG丸ｺﾞｼｯｸM-PRO"/>
      <family val="3"/>
    </font>
    <font>
      <sz val="10"/>
      <color rgb="FFFF0000"/>
      <name val="HG丸ｺﾞｼｯｸM-PRO"/>
      <family val="3"/>
    </font>
    <font>
      <b/>
      <sz val="11"/>
      <color rgb="FFFF0000"/>
      <name val="Meiryo UI"/>
      <family val="3"/>
      <charset val="128"/>
    </font>
    <font>
      <sz val="14"/>
      <color rgb="FFFF0000"/>
      <name val="Meiryo UI"/>
      <family val="3"/>
      <charset val="128"/>
    </font>
    <font>
      <sz val="12"/>
      <color theme="0" tint="-0.249977111117893"/>
      <name val="Meiryo UI"/>
      <family val="3"/>
      <charset val="128"/>
    </font>
    <font>
      <b/>
      <sz val="12"/>
      <color theme="0" tint="-0.249977111117893"/>
      <name val="Meiryo UI"/>
      <family val="3"/>
      <charset val="128"/>
    </font>
    <font>
      <sz val="10"/>
      <color theme="1"/>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2"/>
        <bgColor indexed="64"/>
      </patternFill>
    </fill>
    <fill>
      <patternFill patternType="solid">
        <fgColor indexed="45"/>
        <bgColor indexed="64"/>
      </patternFill>
    </fill>
    <fill>
      <patternFill patternType="solid">
        <fgColor indexed="22"/>
        <bgColor indexed="64"/>
      </patternFill>
    </fill>
    <fill>
      <patternFill patternType="solid">
        <fgColor indexed="41"/>
        <bgColor indexed="64"/>
      </patternFill>
    </fill>
    <fill>
      <patternFill patternType="solid">
        <fgColor rgb="FFFFFF0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499984740745262"/>
        <bgColor indexed="64"/>
      </patternFill>
    </fill>
  </fills>
  <borders count="1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dotted">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double">
        <color indexed="64"/>
      </right>
      <top/>
      <bottom/>
      <diagonal/>
    </border>
    <border>
      <left/>
      <right style="double">
        <color indexed="64"/>
      </right>
      <top/>
      <bottom style="medium">
        <color indexed="64"/>
      </bottom>
      <diagonal/>
    </border>
    <border>
      <left/>
      <right style="thin">
        <color indexed="64"/>
      </right>
      <top/>
      <bottom/>
      <diagonal/>
    </border>
    <border>
      <left/>
      <right/>
      <top style="medium">
        <color indexed="64"/>
      </top>
      <bottom style="dotted">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hair">
        <color indexed="64"/>
      </left>
      <right style="hair">
        <color indexed="64"/>
      </right>
      <top style="double">
        <color indexed="64"/>
      </top>
      <bottom/>
      <diagonal/>
    </border>
    <border>
      <left/>
      <right style="medium">
        <color indexed="64"/>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right style="medium">
        <color indexed="64"/>
      </right>
      <top/>
      <bottom style="hair">
        <color indexed="64"/>
      </bottom>
      <diagonal/>
    </border>
    <border>
      <left style="hair">
        <color indexed="64"/>
      </left>
      <right style="hair">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hair">
        <color indexed="64"/>
      </left>
      <right style="hair">
        <color indexed="64"/>
      </right>
      <top/>
      <bottom style="double">
        <color indexed="64"/>
      </bottom>
      <diagonal/>
    </border>
    <border>
      <left/>
      <right style="medium">
        <color indexed="64"/>
      </right>
      <top style="hair">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top/>
      <bottom style="double">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diagonalUp="1">
      <left/>
      <right/>
      <top/>
      <bottom/>
      <diagonal style="thin">
        <color indexed="64"/>
      </diagonal>
    </border>
    <border diagonalUp="1">
      <left/>
      <right/>
      <top/>
      <bottom style="thin">
        <color indexed="64"/>
      </bottom>
      <diagonal style="thin">
        <color indexed="64"/>
      </diagonal>
    </border>
    <border diagonalDown="1">
      <left/>
      <right/>
      <top/>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right/>
      <top style="medium">
        <color indexed="64"/>
      </top>
      <bottom style="dashed">
        <color indexed="64"/>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bottom style="thin">
        <color indexed="64"/>
      </bottom>
      <diagonal/>
    </border>
    <border>
      <left/>
      <right/>
      <top style="dashed">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right style="medium">
        <color indexed="64"/>
      </right>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bottom style="double">
        <color indexed="64"/>
      </bottom>
      <diagonal/>
    </border>
    <border>
      <left style="hair">
        <color indexed="64"/>
      </left>
      <right style="thin">
        <color indexed="64"/>
      </right>
      <top style="hair">
        <color indexed="64"/>
      </top>
      <bottom style="thin">
        <color indexed="64"/>
      </bottom>
      <diagonal/>
    </border>
    <border>
      <left style="hair">
        <color indexed="64"/>
      </left>
      <right/>
      <top style="medium">
        <color indexed="64"/>
      </top>
      <bottom/>
      <diagonal/>
    </border>
    <border>
      <left style="hair">
        <color indexed="64"/>
      </left>
      <right/>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right/>
      <top style="thick">
        <color rgb="FFFF0000"/>
      </top>
      <bottom/>
      <diagonal/>
    </border>
    <border>
      <left style="thick">
        <color rgb="FFFF0000"/>
      </left>
      <right/>
      <top/>
      <bottom/>
      <diagonal/>
    </border>
    <border>
      <left style="thick">
        <color rgb="FFFF0000"/>
      </left>
      <right/>
      <top style="thin">
        <color indexed="64"/>
      </top>
      <bottom style="thick">
        <color rgb="FFFF0000"/>
      </bottom>
      <diagonal/>
    </border>
    <border>
      <left style="thick">
        <color rgb="FFFF0000"/>
      </left>
      <right/>
      <top/>
      <bottom style="thin">
        <color theme="1"/>
      </bottom>
      <diagonal/>
    </border>
    <border>
      <left style="thick">
        <color rgb="FFFF0000"/>
      </left>
      <right/>
      <top style="thin">
        <color indexed="64"/>
      </top>
      <bottom/>
      <diagonal/>
    </border>
    <border>
      <left/>
      <right style="thick">
        <color rgb="FFFF0000"/>
      </right>
      <top/>
      <bottom style="thin">
        <color indexed="64"/>
      </bottom>
      <diagonal/>
    </border>
    <border>
      <left/>
      <right style="thick">
        <color rgb="FFFF0000"/>
      </right>
      <top/>
      <bottom/>
      <diagonal/>
    </border>
    <border>
      <left/>
      <right style="thick">
        <color rgb="FFFF0000"/>
      </right>
      <top style="thin">
        <color indexed="64"/>
      </top>
      <bottom style="thin">
        <color indexed="64"/>
      </bottom>
      <diagonal/>
    </border>
    <border>
      <left/>
      <right style="thick">
        <color rgb="FFFF0000"/>
      </right>
      <top/>
      <bottom style="thick">
        <color rgb="FFFF0000"/>
      </bottom>
      <diagonal/>
    </border>
    <border>
      <left/>
      <right/>
      <top/>
      <bottom style="thick">
        <color rgb="FFFF0000"/>
      </bottom>
      <diagonal/>
    </border>
    <border>
      <left/>
      <right style="thick">
        <color rgb="FFFF0000"/>
      </right>
      <top style="thin">
        <color indexed="64"/>
      </top>
      <bottom style="thick">
        <color rgb="FFFF0000"/>
      </bottom>
      <diagonal/>
    </border>
  </borders>
  <cellStyleXfs count="86">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34" fillId="8" borderId="0" applyNumberFormat="0" applyBorder="0" applyAlignment="0" applyProtection="0"/>
    <xf numFmtId="0" fontId="34" fillId="7"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34" fillId="14" borderId="0" applyNumberFormat="0" applyBorder="0" applyAlignment="0" applyProtection="0"/>
    <xf numFmtId="0" fontId="34" fillId="11"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0" borderId="0" applyNumberFormat="0" applyBorder="0" applyAlignment="0" applyProtection="0"/>
    <xf numFmtId="0" fontId="34" fillId="7" borderId="0" applyNumberFormat="0" applyBorder="0" applyAlignment="0" applyProtection="0"/>
    <xf numFmtId="0" fontId="13" fillId="16"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35" fillId="18" borderId="0" applyNumberFormat="0" applyBorder="0" applyAlignment="0" applyProtection="0"/>
    <xf numFmtId="0" fontId="35" fillId="11"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8" borderId="0" applyNumberFormat="0" applyBorder="0" applyAlignment="0" applyProtection="0"/>
    <xf numFmtId="0" fontId="35" fillId="7" borderId="0" applyNumberFormat="0" applyBorder="0" applyAlignment="0" applyProtection="0"/>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23" borderId="0" applyNumberFormat="0" applyBorder="0" applyAlignment="0" applyProtection="0">
      <alignment vertical="center"/>
    </xf>
    <xf numFmtId="0" fontId="14" fillId="0" borderId="0" applyNumberFormat="0" applyFill="0" applyBorder="0" applyAlignment="0" applyProtection="0">
      <alignment vertical="center"/>
    </xf>
    <xf numFmtId="0" fontId="15" fillId="24" borderId="1" applyNumberFormat="0" applyAlignment="0" applyProtection="0">
      <alignment vertical="center"/>
    </xf>
    <xf numFmtId="0" fontId="16" fillId="15" borderId="0" applyNumberFormat="0" applyBorder="0" applyAlignment="0" applyProtection="0">
      <alignment vertical="center"/>
    </xf>
    <xf numFmtId="0" fontId="1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4" fillId="9"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14" borderId="4" applyNumberFormat="0" applyAlignment="0" applyProtection="0">
      <alignment vertical="center"/>
    </xf>
    <xf numFmtId="0" fontId="21" fillId="0" borderId="0" applyNumberFormat="0" applyFill="0" applyBorder="0" applyAlignment="0" applyProtection="0">
      <alignment vertical="center"/>
    </xf>
    <xf numFmtId="38" fontId="4"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36" fillId="0" borderId="8" applyNumberFormat="0" applyFill="0" applyAlignment="0" applyProtection="0"/>
    <xf numFmtId="0" fontId="25" fillId="0" borderId="9" applyNumberFormat="0" applyFill="0" applyAlignment="0" applyProtection="0">
      <alignment vertical="center"/>
    </xf>
    <xf numFmtId="0" fontId="26" fillId="14" borderId="10" applyNumberFormat="0" applyAlignment="0" applyProtection="0">
      <alignment vertical="center"/>
    </xf>
    <xf numFmtId="0" fontId="27" fillId="0" borderId="0" applyNumberFormat="0" applyFill="0" applyBorder="0" applyAlignment="0" applyProtection="0">
      <alignment vertical="center"/>
    </xf>
    <xf numFmtId="6" fontId="4" fillId="0" borderId="0" applyFont="0" applyFill="0" applyBorder="0" applyAlignment="0" applyProtection="0">
      <alignment vertical="center"/>
    </xf>
    <xf numFmtId="0" fontId="28" fillId="7" borderId="4" applyNumberFormat="0" applyAlignment="0" applyProtection="0">
      <alignment vertical="center"/>
    </xf>
    <xf numFmtId="0" fontId="4" fillId="0" borderId="0">
      <alignment vertical="center"/>
    </xf>
    <xf numFmtId="0" fontId="4" fillId="0" borderId="0"/>
    <xf numFmtId="0" fontId="5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54" fillId="0" borderId="0">
      <alignment vertical="center"/>
    </xf>
    <xf numFmtId="0" fontId="51" fillId="0" borderId="0"/>
    <xf numFmtId="0" fontId="33" fillId="0" borderId="0"/>
    <xf numFmtId="0" fontId="4" fillId="0" borderId="0">
      <alignment vertical="center"/>
    </xf>
    <xf numFmtId="0" fontId="4" fillId="0" borderId="0"/>
    <xf numFmtId="0" fontId="4" fillId="0" borderId="0">
      <alignment vertical="center"/>
    </xf>
    <xf numFmtId="0" fontId="4" fillId="0" borderId="0">
      <alignment vertical="center"/>
    </xf>
    <xf numFmtId="0" fontId="37" fillId="15" borderId="0" applyNumberFormat="0" applyBorder="0" applyAlignment="0" applyProtection="0"/>
    <xf numFmtId="0" fontId="29" fillId="4" borderId="0" applyNumberFormat="0" applyBorder="0" applyAlignment="0" applyProtection="0">
      <alignment vertical="center"/>
    </xf>
    <xf numFmtId="0" fontId="3" fillId="0" borderId="0">
      <alignment vertical="center"/>
    </xf>
    <xf numFmtId="0" fontId="2" fillId="0" borderId="0">
      <alignment vertical="center"/>
    </xf>
    <xf numFmtId="0" fontId="4" fillId="0" borderId="0"/>
    <xf numFmtId="0" fontId="1" fillId="0" borderId="0">
      <alignment vertical="center"/>
    </xf>
  </cellStyleXfs>
  <cellXfs count="1021">
    <xf numFmtId="0" fontId="0" fillId="0" borderId="0" xfId="0"/>
    <xf numFmtId="0" fontId="0" fillId="0" borderId="0" xfId="0" applyAlignment="1">
      <alignment vertical="center"/>
    </xf>
    <xf numFmtId="0" fontId="60" fillId="0" borderId="0" xfId="66" applyFont="1">
      <alignment vertical="center"/>
    </xf>
    <xf numFmtId="0" fontId="54" fillId="0" borderId="0" xfId="66">
      <alignment vertical="center"/>
    </xf>
    <xf numFmtId="0" fontId="60" fillId="29" borderId="0" xfId="66" applyFont="1" applyFill="1">
      <alignment vertical="center"/>
    </xf>
    <xf numFmtId="0" fontId="54" fillId="0" borderId="0" xfId="66" applyAlignment="1">
      <alignment horizontal="center" vertical="center"/>
    </xf>
    <xf numFmtId="0" fontId="56" fillId="0" borderId="0" xfId="0" applyFont="1" applyAlignment="1">
      <alignment vertical="center"/>
    </xf>
    <xf numFmtId="0" fontId="61" fillId="0" borderId="0" xfId="76" applyFont="1">
      <alignment vertical="center"/>
    </xf>
    <xf numFmtId="0" fontId="59" fillId="0" borderId="0" xfId="0" applyFont="1" applyAlignment="1">
      <alignment horizontal="center" vertical="center"/>
    </xf>
    <xf numFmtId="0" fontId="56" fillId="0" borderId="0" xfId="0" applyFont="1" applyAlignment="1">
      <alignment horizontal="center" vertical="center"/>
    </xf>
    <xf numFmtId="0" fontId="62" fillId="0" borderId="0" xfId="76" applyFont="1">
      <alignment vertical="center"/>
    </xf>
    <xf numFmtId="0" fontId="62" fillId="0" borderId="0" xfId="76" applyFont="1" applyAlignment="1">
      <alignment horizontal="center" vertical="center"/>
    </xf>
    <xf numFmtId="0" fontId="56" fillId="30" borderId="38" xfId="0" applyFont="1" applyFill="1" applyBorder="1" applyAlignment="1">
      <alignment horizontal="center" vertical="center"/>
    </xf>
    <xf numFmtId="0" fontId="56" fillId="30" borderId="39" xfId="0" applyFont="1" applyFill="1" applyBorder="1" applyAlignment="1">
      <alignment horizontal="center" vertical="center"/>
    </xf>
    <xf numFmtId="0" fontId="56" fillId="30" borderId="40" xfId="0" applyFont="1" applyFill="1" applyBorder="1" applyAlignment="1">
      <alignment horizontal="center" vertical="center"/>
    </xf>
    <xf numFmtId="20" fontId="56" fillId="0" borderId="41" xfId="0" applyNumberFormat="1" applyFont="1" applyBorder="1" applyAlignment="1">
      <alignment horizontal="center" vertical="center"/>
    </xf>
    <xf numFmtId="0" fontId="56" fillId="0" borderId="42" xfId="0" applyFont="1" applyBorder="1" applyAlignment="1">
      <alignment horizontal="center" vertical="center"/>
    </xf>
    <xf numFmtId="0" fontId="56" fillId="27" borderId="43" xfId="0" applyFont="1" applyFill="1" applyBorder="1" applyAlignment="1">
      <alignment horizontal="center" vertical="center"/>
    </xf>
    <xf numFmtId="0" fontId="56" fillId="0" borderId="44" xfId="0" applyFont="1" applyBorder="1" applyAlignment="1">
      <alignment horizontal="center" vertical="center"/>
    </xf>
    <xf numFmtId="20" fontId="56" fillId="0" borderId="45" xfId="0" applyNumberFormat="1" applyFont="1" applyBorder="1" applyAlignment="1">
      <alignment horizontal="center" vertical="center"/>
    </xf>
    <xf numFmtId="0" fontId="56" fillId="30" borderId="46" xfId="0" applyFont="1" applyFill="1" applyBorder="1" applyAlignment="1">
      <alignment horizontal="center" vertical="center"/>
    </xf>
    <xf numFmtId="0" fontId="56" fillId="0" borderId="46" xfId="0" applyFont="1" applyBorder="1" applyAlignment="1">
      <alignment horizontal="center" vertical="center"/>
    </xf>
    <xf numFmtId="0" fontId="56" fillId="27" borderId="47" xfId="0" applyFont="1" applyFill="1" applyBorder="1" applyAlignment="1">
      <alignment horizontal="center" vertical="center"/>
    </xf>
    <xf numFmtId="0" fontId="56" fillId="30" borderId="48" xfId="0" applyFont="1" applyFill="1" applyBorder="1" applyAlignment="1">
      <alignment horizontal="center" vertical="center"/>
    </xf>
    <xf numFmtId="20" fontId="56" fillId="0" borderId="24" xfId="0" applyNumberFormat="1" applyFont="1" applyBorder="1" applyAlignment="1">
      <alignment horizontal="center" vertical="center"/>
    </xf>
    <xf numFmtId="0" fontId="56" fillId="30" borderId="22" xfId="0" applyFont="1" applyFill="1" applyBorder="1" applyAlignment="1">
      <alignment horizontal="center" vertical="center"/>
    </xf>
    <xf numFmtId="0" fontId="56" fillId="0" borderId="22" xfId="0" applyFont="1" applyBorder="1" applyAlignment="1">
      <alignment horizontal="center" vertical="center"/>
    </xf>
    <xf numFmtId="0" fontId="56" fillId="27" borderId="49" xfId="0" applyFont="1" applyFill="1" applyBorder="1" applyAlignment="1">
      <alignment horizontal="center" vertical="center"/>
    </xf>
    <xf numFmtId="0" fontId="56" fillId="30" borderId="25" xfId="0" applyFont="1" applyFill="1" applyBorder="1" applyAlignment="1">
      <alignment horizontal="center" vertical="center"/>
    </xf>
    <xf numFmtId="0" fontId="56" fillId="0" borderId="26" xfId="0" applyFont="1" applyBorder="1" applyAlignment="1">
      <alignment horizontal="center" vertical="center" shrinkToFit="1"/>
    </xf>
    <xf numFmtId="0" fontId="56" fillId="30" borderId="50" xfId="0" applyFont="1" applyFill="1" applyBorder="1" applyAlignment="1">
      <alignment horizontal="center" vertical="center" shrinkToFit="1"/>
    </xf>
    <xf numFmtId="20" fontId="56" fillId="0" borderId="51" xfId="0" applyNumberFormat="1" applyFont="1" applyBorder="1" applyAlignment="1">
      <alignment horizontal="center" vertical="center"/>
    </xf>
    <xf numFmtId="0" fontId="56" fillId="30" borderId="52" xfId="0" applyFont="1" applyFill="1" applyBorder="1" applyAlignment="1">
      <alignment horizontal="center" vertical="center"/>
    </xf>
    <xf numFmtId="0" fontId="56" fillId="0" borderId="52" xfId="0" applyFont="1" applyBorder="1" applyAlignment="1">
      <alignment horizontal="center" vertical="center"/>
    </xf>
    <xf numFmtId="0" fontId="56" fillId="30" borderId="53" xfId="0" applyFont="1" applyFill="1" applyBorder="1" applyAlignment="1">
      <alignment horizontal="center" vertical="center"/>
    </xf>
    <xf numFmtId="20" fontId="56" fillId="0" borderId="54" xfId="0" applyNumberFormat="1" applyFont="1" applyBorder="1" applyAlignment="1">
      <alignment horizontal="center" vertical="center"/>
    </xf>
    <xf numFmtId="0" fontId="56" fillId="30" borderId="55" xfId="0" applyFont="1" applyFill="1" applyBorder="1" applyAlignment="1">
      <alignment horizontal="center" vertical="center"/>
    </xf>
    <xf numFmtId="0" fontId="56" fillId="0" borderId="55" xfId="0" applyFont="1" applyBorder="1" applyAlignment="1">
      <alignment horizontal="center" vertical="center"/>
    </xf>
    <xf numFmtId="0" fontId="56" fillId="30" borderId="56" xfId="0" applyFont="1" applyFill="1" applyBorder="1" applyAlignment="1">
      <alignment horizontal="center" vertical="center"/>
    </xf>
    <xf numFmtId="20" fontId="56" fillId="0" borderId="0" xfId="0" applyNumberFormat="1" applyFont="1" applyAlignment="1">
      <alignment horizontal="center" vertical="center"/>
    </xf>
    <xf numFmtId="0" fontId="56" fillId="0" borderId="43" xfId="0" applyFont="1" applyBorder="1" applyAlignment="1">
      <alignment horizontal="center" vertical="center"/>
    </xf>
    <xf numFmtId="0" fontId="56" fillId="30" borderId="52" xfId="0" applyFont="1" applyFill="1" applyBorder="1" applyAlignment="1">
      <alignment horizontal="center" vertical="center" shrinkToFit="1"/>
    </xf>
    <xf numFmtId="0" fontId="56" fillId="0" borderId="47" xfId="0" applyFont="1" applyBorder="1" applyAlignment="1">
      <alignment horizontal="center" vertical="center"/>
    </xf>
    <xf numFmtId="0" fontId="56" fillId="30" borderId="53" xfId="0" applyFont="1" applyFill="1" applyBorder="1" applyAlignment="1">
      <alignment horizontal="center" vertical="center" shrinkToFit="1"/>
    </xf>
    <xf numFmtId="20" fontId="56" fillId="0" borderId="61" xfId="0" applyNumberFormat="1" applyFont="1" applyBorder="1" applyAlignment="1">
      <alignment horizontal="center" vertical="center"/>
    </xf>
    <xf numFmtId="0" fontId="56" fillId="30" borderId="62" xfId="0" applyFont="1" applyFill="1" applyBorder="1" applyAlignment="1">
      <alignment horizontal="center" vertical="center"/>
    </xf>
    <xf numFmtId="0" fontId="56" fillId="0" borderId="62" xfId="0" applyFont="1" applyBorder="1" applyAlignment="1">
      <alignment horizontal="center" vertical="center"/>
    </xf>
    <xf numFmtId="0" fontId="56" fillId="0" borderId="63" xfId="0" applyFont="1" applyBorder="1" applyAlignment="1">
      <alignment horizontal="center" vertical="center"/>
    </xf>
    <xf numFmtId="0" fontId="56" fillId="30" borderId="64" xfId="0" applyFont="1" applyFill="1" applyBorder="1" applyAlignment="1">
      <alignment horizontal="center" vertical="center"/>
    </xf>
    <xf numFmtId="0" fontId="56" fillId="0" borderId="49" xfId="0" applyFont="1" applyBorder="1" applyAlignment="1">
      <alignment horizontal="center" vertical="center"/>
    </xf>
    <xf numFmtId="0" fontId="57" fillId="0" borderId="72" xfId="72" applyFont="1" applyBorder="1" applyAlignment="1">
      <alignment horizontal="center" vertical="center" shrinkToFit="1"/>
    </xf>
    <xf numFmtId="0" fontId="57" fillId="0" borderId="73" xfId="72" applyFont="1" applyBorder="1" applyAlignment="1">
      <alignment horizontal="center" vertical="center" shrinkToFit="1"/>
    </xf>
    <xf numFmtId="0" fontId="55" fillId="0" borderId="74" xfId="72" applyFont="1" applyBorder="1" applyAlignment="1">
      <alignment horizontal="center" vertical="center" shrinkToFit="1"/>
    </xf>
    <xf numFmtId="0" fontId="57" fillId="0" borderId="74" xfId="72" applyFont="1" applyBorder="1" applyAlignment="1">
      <alignment horizontal="center" vertical="center" shrinkToFit="1"/>
    </xf>
    <xf numFmtId="0" fontId="57" fillId="0" borderId="77" xfId="72" applyFont="1" applyBorder="1" applyAlignment="1">
      <alignment horizontal="center" vertical="center" shrinkToFit="1"/>
    </xf>
    <xf numFmtId="0" fontId="57" fillId="0" borderId="80" xfId="72" applyFont="1" applyBorder="1" applyAlignment="1">
      <alignment horizontal="center" vertical="center" shrinkToFit="1"/>
    </xf>
    <xf numFmtId="0" fontId="57" fillId="0" borderId="81" xfId="72" applyFont="1" applyBorder="1" applyAlignment="1">
      <alignment horizontal="center" vertical="center" shrinkToFit="1"/>
    </xf>
    <xf numFmtId="0" fontId="57" fillId="0" borderId="0" xfId="72" applyFont="1" applyAlignment="1">
      <alignment vertical="center"/>
    </xf>
    <xf numFmtId="0" fontId="57" fillId="0" borderId="83" xfId="72" applyFont="1" applyBorder="1" applyAlignment="1">
      <alignment vertical="center"/>
    </xf>
    <xf numFmtId="0" fontId="57" fillId="0" borderId="84" xfId="72" applyFont="1" applyBorder="1" applyAlignment="1">
      <alignment vertical="center"/>
    </xf>
    <xf numFmtId="0" fontId="57" fillId="0" borderId="60" xfId="72" applyFont="1" applyBorder="1" applyAlignment="1">
      <alignment vertical="center"/>
    </xf>
    <xf numFmtId="0" fontId="57" fillId="0" borderId="85" xfId="72" applyFont="1" applyBorder="1" applyAlignment="1">
      <alignment horizontal="center" vertical="center" shrinkToFit="1"/>
    </xf>
    <xf numFmtId="0" fontId="57" fillId="0" borderId="86" xfId="72" applyFont="1" applyBorder="1" applyAlignment="1">
      <alignment horizontal="center" vertical="center" shrinkToFit="1"/>
    </xf>
    <xf numFmtId="0" fontId="43" fillId="0" borderId="0" xfId="69" applyFont="1">
      <alignment vertical="center"/>
    </xf>
    <xf numFmtId="0" fontId="30" fillId="0" borderId="0" xfId="69" applyFont="1" applyAlignment="1">
      <alignment horizontal="center" vertical="center"/>
    </xf>
    <xf numFmtId="0" fontId="44" fillId="0" borderId="0" xfId="69" applyFont="1" applyAlignment="1">
      <alignment horizontal="left" vertical="center"/>
    </xf>
    <xf numFmtId="0" fontId="44" fillId="0" borderId="0" xfId="69" applyFont="1" applyAlignment="1">
      <alignment vertical="center" shrinkToFit="1"/>
    </xf>
    <xf numFmtId="0" fontId="45" fillId="0" borderId="0" xfId="69" applyFont="1">
      <alignment vertical="center"/>
    </xf>
    <xf numFmtId="0" fontId="46" fillId="0" borderId="0" xfId="69" applyFont="1">
      <alignment vertical="center"/>
    </xf>
    <xf numFmtId="0" fontId="31" fillId="0" borderId="0" xfId="69" applyFont="1">
      <alignment vertical="center"/>
    </xf>
    <xf numFmtId="0" fontId="48" fillId="0" borderId="0" xfId="69" applyFont="1">
      <alignment vertical="center"/>
    </xf>
    <xf numFmtId="0" fontId="49" fillId="0" borderId="0" xfId="69" applyFont="1">
      <alignment vertical="center"/>
    </xf>
    <xf numFmtId="0" fontId="48" fillId="0" borderId="0" xfId="69" applyFont="1" applyAlignment="1">
      <alignment vertical="center" shrinkToFit="1"/>
    </xf>
    <xf numFmtId="0" fontId="50" fillId="0" borderId="0" xfId="69" applyFont="1">
      <alignment vertical="center"/>
    </xf>
    <xf numFmtId="0" fontId="45" fillId="0" borderId="0" xfId="69" applyFont="1" applyAlignment="1">
      <alignment vertical="center" wrapText="1"/>
    </xf>
    <xf numFmtId="0" fontId="45" fillId="0" borderId="0" xfId="74" applyFont="1" applyAlignment="1">
      <alignment vertical="center"/>
    </xf>
    <xf numFmtId="0" fontId="45" fillId="0" borderId="0" xfId="71" applyFont="1">
      <alignment vertical="center"/>
    </xf>
    <xf numFmtId="0" fontId="50" fillId="0" borderId="0" xfId="71" applyFont="1" applyAlignment="1">
      <alignment horizontal="center" vertical="top"/>
    </xf>
    <xf numFmtId="0" fontId="50" fillId="0" borderId="0" xfId="71" applyFont="1" applyAlignment="1">
      <alignment vertical="top"/>
    </xf>
    <xf numFmtId="0" fontId="52" fillId="0" borderId="0" xfId="69" applyFont="1">
      <alignment vertical="center"/>
    </xf>
    <xf numFmtId="0" fontId="50" fillId="0" borderId="0" xfId="71" applyFont="1">
      <alignment vertical="center"/>
    </xf>
    <xf numFmtId="0" fontId="53" fillId="0" borderId="0" xfId="69" applyFont="1">
      <alignment vertical="center"/>
    </xf>
    <xf numFmtId="0" fontId="45" fillId="0" borderId="0" xfId="69" applyFont="1" applyAlignment="1">
      <alignment vertical="top"/>
    </xf>
    <xf numFmtId="0" fontId="56" fillId="30" borderId="26" xfId="0" applyFont="1" applyFill="1" applyBorder="1" applyAlignment="1">
      <alignment horizontal="center" vertical="center" shrinkToFit="1"/>
    </xf>
    <xf numFmtId="0" fontId="56" fillId="0" borderId="19" xfId="0" applyFont="1" applyBorder="1" applyAlignment="1">
      <alignment horizontal="center" vertical="center"/>
    </xf>
    <xf numFmtId="0" fontId="56" fillId="0" borderId="101" xfId="0" applyFont="1" applyBorder="1" applyAlignment="1">
      <alignment horizontal="center" vertical="center"/>
    </xf>
    <xf numFmtId="0" fontId="57" fillId="0" borderId="89" xfId="72" applyFont="1" applyBorder="1" applyAlignment="1">
      <alignment horizontal="center" vertical="center" shrinkToFit="1"/>
    </xf>
    <xf numFmtId="0" fontId="57" fillId="0" borderId="76" xfId="72" applyFont="1" applyBorder="1" applyAlignment="1">
      <alignment horizontal="center" vertical="center" shrinkToFit="1"/>
    </xf>
    <xf numFmtId="0" fontId="57" fillId="0" borderId="87" xfId="72" applyFont="1" applyBorder="1" applyAlignment="1">
      <alignment horizontal="center" vertical="center" shrinkToFit="1"/>
    </xf>
    <xf numFmtId="0" fontId="57" fillId="0" borderId="82" xfId="72" applyFont="1" applyBorder="1" applyAlignment="1">
      <alignment horizontal="center" vertical="center" shrinkToFit="1"/>
    </xf>
    <xf numFmtId="0" fontId="57" fillId="0" borderId="78" xfId="72" applyFont="1" applyBorder="1" applyAlignment="1">
      <alignment horizontal="center" vertical="center" shrinkToFit="1"/>
    </xf>
    <xf numFmtId="0" fontId="57" fillId="0" borderId="58" xfId="72" applyFont="1" applyBorder="1" applyAlignment="1">
      <alignment vertical="center"/>
    </xf>
    <xf numFmtId="0" fontId="57" fillId="0" borderId="66" xfId="72" applyFont="1" applyBorder="1" applyAlignment="1">
      <alignment horizontal="center" vertical="center" shrinkToFit="1"/>
    </xf>
    <xf numFmtId="0" fontId="57" fillId="0" borderId="30" xfId="72" applyFont="1" applyBorder="1" applyAlignment="1">
      <alignment horizontal="center" vertical="center" shrinkToFit="1"/>
    </xf>
    <xf numFmtId="0" fontId="57" fillId="0" borderId="79" xfId="72" applyFont="1" applyBorder="1" applyAlignment="1">
      <alignment horizontal="center" vertical="center" shrinkToFit="1"/>
    </xf>
    <xf numFmtId="0" fontId="55" fillId="0" borderId="19" xfId="72" applyFont="1" applyBorder="1" applyAlignment="1">
      <alignment horizontal="center" vertical="center" shrinkToFit="1"/>
    </xf>
    <xf numFmtId="0" fontId="55" fillId="0" borderId="75" xfId="72" applyFont="1" applyBorder="1" applyAlignment="1">
      <alignment horizontal="center" vertical="center" shrinkToFit="1"/>
    </xf>
    <xf numFmtId="0" fontId="4" fillId="0" borderId="0" xfId="72" applyAlignment="1">
      <alignment horizontal="center" vertical="center"/>
    </xf>
    <xf numFmtId="0" fontId="4" fillId="0" borderId="22" xfId="72" applyBorder="1" applyAlignment="1">
      <alignment horizontal="center" vertical="center"/>
    </xf>
    <xf numFmtId="0" fontId="4" fillId="0" borderId="0" xfId="72" applyAlignment="1">
      <alignment vertical="center"/>
    </xf>
    <xf numFmtId="0" fontId="6" fillId="0" borderId="76" xfId="72" applyFont="1" applyBorder="1" applyAlignment="1">
      <alignment horizontal="center" vertical="center" shrinkToFit="1"/>
    </xf>
    <xf numFmtId="0" fontId="6" fillId="0" borderId="66" xfId="72" applyFont="1" applyBorder="1" applyAlignment="1">
      <alignment horizontal="center" vertical="center" shrinkToFit="1"/>
    </xf>
    <xf numFmtId="0" fontId="6" fillId="0" borderId="0" xfId="72" applyFont="1" applyAlignment="1">
      <alignment horizontal="center" vertical="center" shrinkToFit="1"/>
    </xf>
    <xf numFmtId="0" fontId="6" fillId="0" borderId="0" xfId="72" applyFont="1" applyAlignment="1">
      <alignment vertical="center" shrinkToFit="1"/>
    </xf>
    <xf numFmtId="0" fontId="6" fillId="0" borderId="78" xfId="72" applyFont="1" applyBorder="1" applyAlignment="1">
      <alignment horizontal="center" vertical="center" shrinkToFit="1"/>
    </xf>
    <xf numFmtId="0" fontId="6" fillId="0" borderId="82" xfId="72" applyFont="1" applyBorder="1" applyAlignment="1">
      <alignment horizontal="center" vertical="center" shrinkToFit="1"/>
    </xf>
    <xf numFmtId="0" fontId="6" fillId="0" borderId="30" xfId="72" applyFont="1" applyBorder="1" applyAlignment="1">
      <alignment horizontal="center" vertical="center" shrinkToFit="1"/>
    </xf>
    <xf numFmtId="0" fontId="6" fillId="0" borderId="89" xfId="72" applyFont="1" applyBorder="1" applyAlignment="1">
      <alignment horizontal="center" vertical="center" shrinkToFit="1"/>
    </xf>
    <xf numFmtId="0" fontId="6" fillId="0" borderId="87" xfId="72" applyFont="1" applyBorder="1" applyAlignment="1">
      <alignment horizontal="center" vertical="center" shrinkToFit="1"/>
    </xf>
    <xf numFmtId="0" fontId="6" fillId="0" borderId="58" xfId="72" applyFont="1" applyBorder="1" applyAlignment="1">
      <alignment horizontal="center" vertical="center" shrinkToFit="1"/>
    </xf>
    <xf numFmtId="0" fontId="6" fillId="0" borderId="26" xfId="72" applyFont="1" applyBorder="1" applyAlignment="1">
      <alignment horizontal="center" vertical="center" shrinkToFit="1"/>
    </xf>
    <xf numFmtId="0" fontId="6" fillId="0" borderId="20" xfId="72" applyFont="1" applyBorder="1" applyAlignment="1">
      <alignment horizontal="center" vertical="center" shrinkToFit="1"/>
    </xf>
    <xf numFmtId="0" fontId="6" fillId="0" borderId="94" xfId="72" applyFont="1" applyBorder="1" applyAlignment="1">
      <alignment horizontal="center" vertical="center" shrinkToFit="1"/>
    </xf>
    <xf numFmtId="0" fontId="6" fillId="0" borderId="17" xfId="72" applyFont="1" applyBorder="1" applyAlignment="1">
      <alignment horizontal="center" vertical="center" shrinkToFit="1"/>
    </xf>
    <xf numFmtId="0" fontId="6" fillId="0" borderId="95" xfId="72" applyFont="1" applyBorder="1" applyAlignment="1">
      <alignment horizontal="center" vertical="center" shrinkToFit="1"/>
    </xf>
    <xf numFmtId="0" fontId="6" fillId="0" borderId="92" xfId="72" applyFont="1" applyBorder="1" applyAlignment="1">
      <alignment horizontal="center" vertical="center" shrinkToFit="1"/>
    </xf>
    <xf numFmtId="0" fontId="6" fillId="0" borderId="50" xfId="72" applyFont="1" applyBorder="1" applyAlignment="1">
      <alignment horizontal="center" vertical="center" shrinkToFit="1"/>
    </xf>
    <xf numFmtId="0" fontId="6" fillId="0" borderId="93" xfId="72" applyFont="1" applyBorder="1" applyAlignment="1">
      <alignment horizontal="center" vertical="center" shrinkToFit="1"/>
    </xf>
    <xf numFmtId="0" fontId="6" fillId="0" borderId="88" xfId="72" applyFont="1" applyBorder="1" applyAlignment="1">
      <alignment horizontal="center" vertical="center" shrinkToFit="1"/>
    </xf>
    <xf numFmtId="0" fontId="6" fillId="0" borderId="59" xfId="72" applyFont="1" applyBorder="1" applyAlignment="1">
      <alignment horizontal="center" vertical="center" shrinkToFit="1"/>
    </xf>
    <xf numFmtId="0" fontId="6" fillId="0" borderId="60" xfId="72" applyFont="1" applyBorder="1" applyAlignment="1">
      <alignment horizontal="center" vertical="center" shrinkToFit="1"/>
    </xf>
    <xf numFmtId="0" fontId="6" fillId="0" borderId="57" xfId="72" applyFont="1" applyBorder="1" applyAlignment="1">
      <alignment vertical="center"/>
    </xf>
    <xf numFmtId="0" fontId="6" fillId="0" borderId="89" xfId="72" applyFont="1" applyBorder="1" applyAlignment="1">
      <alignment vertical="center"/>
    </xf>
    <xf numFmtId="0" fontId="6" fillId="0" borderId="26" xfId="72" applyFont="1" applyBorder="1" applyAlignment="1">
      <alignment vertical="center"/>
    </xf>
    <xf numFmtId="0" fontId="6" fillId="0" borderId="50" xfId="72" applyFont="1" applyBorder="1" applyAlignment="1">
      <alignment vertical="center"/>
    </xf>
    <xf numFmtId="0" fontId="6" fillId="0" borderId="90" xfId="72" applyFont="1" applyBorder="1" applyAlignment="1">
      <alignment horizontal="center" vertical="center" shrinkToFit="1"/>
    </xf>
    <xf numFmtId="0" fontId="6" fillId="0" borderId="78" xfId="72" applyFont="1" applyBorder="1" applyAlignment="1">
      <alignment vertical="center"/>
    </xf>
    <xf numFmtId="0" fontId="6" fillId="0" borderId="0" xfId="72" applyFont="1" applyAlignment="1">
      <alignment vertical="center"/>
    </xf>
    <xf numFmtId="0" fontId="6" fillId="0" borderId="88" xfId="72" applyFont="1" applyBorder="1" applyAlignment="1">
      <alignment vertical="center"/>
    </xf>
    <xf numFmtId="0" fontId="6" fillId="0" borderId="91" xfId="72" applyFont="1" applyBorder="1" applyAlignment="1">
      <alignment horizontal="center" vertical="center" shrinkToFit="1"/>
    </xf>
    <xf numFmtId="0" fontId="6" fillId="0" borderId="92" xfId="72" applyFont="1" applyBorder="1" applyAlignment="1">
      <alignment horizontal="center" vertical="center"/>
    </xf>
    <xf numFmtId="0" fontId="6" fillId="0" borderId="89" xfId="72" applyFont="1" applyBorder="1" applyAlignment="1">
      <alignment horizontal="center" vertical="center"/>
    </xf>
    <xf numFmtId="0" fontId="6" fillId="0" borderId="0" xfId="72" applyFont="1" applyAlignment="1">
      <alignment horizontal="center" vertical="center"/>
    </xf>
    <xf numFmtId="0" fontId="6" fillId="0" borderId="50" xfId="65" applyFont="1" applyBorder="1" applyAlignment="1">
      <alignment vertical="center"/>
    </xf>
    <xf numFmtId="0" fontId="6" fillId="0" borderId="65" xfId="72" applyFont="1" applyBorder="1" applyAlignment="1">
      <alignment horizontal="center" vertical="center"/>
    </xf>
    <xf numFmtId="0" fontId="6" fillId="0" borderId="50" xfId="65" applyFont="1" applyBorder="1" applyAlignment="1">
      <alignment vertical="center" shrinkToFit="1"/>
    </xf>
    <xf numFmtId="0" fontId="6" fillId="0" borderId="57" xfId="72" applyFont="1" applyBorder="1" applyAlignment="1">
      <alignment horizontal="center" vertical="center"/>
    </xf>
    <xf numFmtId="0" fontId="6" fillId="0" borderId="57" xfId="72" applyFont="1" applyBorder="1" applyAlignment="1">
      <alignment horizontal="center" vertical="center" shrinkToFit="1"/>
    </xf>
    <xf numFmtId="0" fontId="6" fillId="0" borderId="87" xfId="72" applyFont="1" applyBorder="1" applyAlignment="1">
      <alignment horizontal="center" vertical="center"/>
    </xf>
    <xf numFmtId="0" fontId="6" fillId="0" borderId="94" xfId="72" applyFont="1" applyBorder="1" applyAlignment="1">
      <alignment horizontal="center" vertical="center"/>
    </xf>
    <xf numFmtId="0" fontId="6" fillId="0" borderId="30" xfId="72" applyFont="1" applyBorder="1" applyAlignment="1">
      <alignment horizontal="center" vertical="center"/>
    </xf>
    <xf numFmtId="0" fontId="6" fillId="0" borderId="17" xfId="72" applyFont="1" applyBorder="1" applyAlignment="1">
      <alignment horizontal="center" vertical="center"/>
    </xf>
    <xf numFmtId="0" fontId="6" fillId="0" borderId="95" xfId="72" applyFont="1" applyBorder="1" applyAlignment="1">
      <alignment horizontal="center" vertical="center"/>
    </xf>
    <xf numFmtId="0" fontId="6" fillId="0" borderId="18" xfId="72" applyFont="1" applyBorder="1" applyAlignment="1">
      <alignment horizontal="center" vertical="center" shrinkToFit="1"/>
    </xf>
    <xf numFmtId="0" fontId="6" fillId="0" borderId="19" xfId="72" applyFont="1" applyBorder="1" applyAlignment="1">
      <alignment horizontal="center" vertical="center" shrinkToFit="1"/>
    </xf>
    <xf numFmtId="0" fontId="6" fillId="0" borderId="21" xfId="72" applyFont="1" applyBorder="1" applyAlignment="1">
      <alignment horizontal="center" vertical="center" shrinkToFit="1"/>
    </xf>
    <xf numFmtId="0" fontId="6" fillId="0" borderId="24" xfId="72" applyFont="1" applyBorder="1" applyAlignment="1">
      <alignment horizontal="center" vertical="center" shrinkToFit="1"/>
    </xf>
    <xf numFmtId="0" fontId="6" fillId="0" borderId="22" xfId="72" applyFont="1" applyBorder="1" applyAlignment="1">
      <alignment horizontal="center" vertical="center" shrinkToFit="1"/>
    </xf>
    <xf numFmtId="0" fontId="6" fillId="0" borderId="23" xfId="72" applyFont="1" applyBorder="1" applyAlignment="1">
      <alignment horizontal="center" vertical="center" shrinkToFit="1"/>
    </xf>
    <xf numFmtId="0" fontId="6" fillId="0" borderId="21" xfId="72" applyFont="1" applyBorder="1" applyAlignment="1">
      <alignment horizontal="center" vertical="center"/>
    </xf>
    <xf numFmtId="0" fontId="6" fillId="0" borderId="23" xfId="72" applyFont="1" applyBorder="1" applyAlignment="1">
      <alignment horizontal="center" vertical="center"/>
    </xf>
    <xf numFmtId="0" fontId="6" fillId="0" borderId="25" xfId="72" applyFont="1" applyBorder="1" applyAlignment="1">
      <alignment horizontal="center" vertical="center"/>
    </xf>
    <xf numFmtId="0" fontId="66" fillId="0" borderId="96" xfId="72" applyFont="1" applyBorder="1" applyAlignment="1">
      <alignment horizontal="center" vertical="center" shrinkToFit="1"/>
    </xf>
    <xf numFmtId="0" fontId="66" fillId="0" borderId="97" xfId="72" applyFont="1" applyBorder="1" applyAlignment="1">
      <alignment horizontal="center" vertical="center" shrinkToFit="1"/>
    </xf>
    <xf numFmtId="0" fontId="6" fillId="0" borderId="97" xfId="72" applyFont="1" applyBorder="1" applyAlignment="1">
      <alignment horizontal="center" vertical="center" shrinkToFit="1"/>
    </xf>
    <xf numFmtId="0" fontId="6" fillId="0" borderId="98" xfId="72" applyFont="1" applyBorder="1" applyAlignment="1">
      <alignment horizontal="center" vertical="center" shrinkToFit="1"/>
    </xf>
    <xf numFmtId="0" fontId="6" fillId="29" borderId="26" xfId="65" applyFont="1" applyFill="1" applyBorder="1" applyAlignment="1">
      <alignment horizontal="center" vertical="center" shrinkToFit="1"/>
    </xf>
    <xf numFmtId="0" fontId="6" fillId="29" borderId="26" xfId="72" applyFont="1" applyFill="1" applyBorder="1" applyAlignment="1">
      <alignment horizontal="center" vertical="center"/>
    </xf>
    <xf numFmtId="0" fontId="4" fillId="0" borderId="0" xfId="65" applyAlignment="1">
      <alignment vertical="center"/>
    </xf>
    <xf numFmtId="0" fontId="4" fillId="0" borderId="0" xfId="65" applyAlignment="1">
      <alignment horizontal="center" vertical="center"/>
    </xf>
    <xf numFmtId="0" fontId="4" fillId="0" borderId="0" xfId="65" applyAlignment="1">
      <alignment horizontal="left" vertical="center"/>
    </xf>
    <xf numFmtId="0" fontId="54" fillId="0" borderId="0" xfId="66" applyAlignment="1">
      <alignment horizontal="left" vertical="center"/>
    </xf>
    <xf numFmtId="0" fontId="67" fillId="0" borderId="0" xfId="65" applyFont="1" applyAlignment="1">
      <alignment vertical="center"/>
    </xf>
    <xf numFmtId="0" fontId="67" fillId="0" borderId="0" xfId="65" applyFont="1" applyAlignment="1">
      <alignment horizontal="center" vertical="center"/>
    </xf>
    <xf numFmtId="0" fontId="68" fillId="0" borderId="0" xfId="66" applyFont="1">
      <alignment vertical="center"/>
    </xf>
    <xf numFmtId="0" fontId="67" fillId="0" borderId="0" xfId="65" applyFont="1" applyAlignment="1">
      <alignment horizontal="left" vertical="center"/>
    </xf>
    <xf numFmtId="0" fontId="67" fillId="0" borderId="12" xfId="65" applyFont="1" applyBorder="1" applyAlignment="1">
      <alignment horizontal="center" vertical="center"/>
    </xf>
    <xf numFmtId="0" fontId="67" fillId="0" borderId="135" xfId="65" applyFont="1" applyBorder="1" applyAlignment="1">
      <alignment vertical="center"/>
    </xf>
    <xf numFmtId="0" fontId="67" fillId="0" borderId="13" xfId="65" applyFont="1" applyBorder="1" applyAlignment="1">
      <alignment horizontal="center" vertical="center"/>
    </xf>
    <xf numFmtId="0" fontId="67" fillId="0" borderId="32" xfId="65" applyFont="1" applyBorder="1" applyAlignment="1">
      <alignment horizontal="center" vertical="center"/>
    </xf>
    <xf numFmtId="0" fontId="70" fillId="0" borderId="14" xfId="66" applyFont="1" applyBorder="1" applyAlignment="1">
      <alignment vertical="center" shrinkToFit="1"/>
    </xf>
    <xf numFmtId="0" fontId="70" fillId="0" borderId="26" xfId="66" applyFont="1" applyBorder="1" applyAlignment="1">
      <alignment vertical="center" shrinkToFit="1"/>
    </xf>
    <xf numFmtId="0" fontId="70" fillId="0" borderId="15" xfId="66" applyFont="1" applyBorder="1" applyAlignment="1">
      <alignment vertical="center" shrinkToFit="1"/>
    </xf>
    <xf numFmtId="0" fontId="71" fillId="0" borderId="0" xfId="66" applyFont="1" applyAlignment="1">
      <alignment horizontal="center" vertical="center"/>
    </xf>
    <xf numFmtId="0" fontId="71" fillId="0" borderId="0" xfId="66" applyFont="1">
      <alignment vertical="center"/>
    </xf>
    <xf numFmtId="0" fontId="72" fillId="0" borderId="0" xfId="0" applyFont="1" applyAlignment="1">
      <alignment horizontal="center" vertical="center"/>
    </xf>
    <xf numFmtId="0" fontId="72" fillId="0" borderId="0" xfId="0" applyFont="1" applyAlignment="1">
      <alignment vertical="center"/>
    </xf>
    <xf numFmtId="0" fontId="67" fillId="0" borderId="0" xfId="0" applyFont="1" applyAlignment="1">
      <alignment vertical="center"/>
    </xf>
    <xf numFmtId="0" fontId="68" fillId="0" borderId="0" xfId="0" applyFont="1" applyAlignment="1">
      <alignment vertical="center"/>
    </xf>
    <xf numFmtId="0" fontId="67" fillId="0" borderId="0" xfId="0" applyFont="1" applyAlignment="1">
      <alignment horizontal="center" vertical="center"/>
    </xf>
    <xf numFmtId="0" fontId="73" fillId="0" borderId="0" xfId="0" applyFont="1" applyAlignment="1">
      <alignment vertical="center"/>
    </xf>
    <xf numFmtId="0" fontId="69" fillId="0" borderId="0" xfId="0" applyFont="1" applyAlignment="1">
      <alignment vertical="center"/>
    </xf>
    <xf numFmtId="0" fontId="69" fillId="0" borderId="0" xfId="0" applyFont="1" applyAlignment="1">
      <alignment horizontal="center" vertical="center"/>
    </xf>
    <xf numFmtId="0" fontId="67" fillId="0" borderId="12" xfId="0" applyFont="1" applyBorder="1" applyAlignment="1">
      <alignment horizontal="center" vertical="center"/>
    </xf>
    <xf numFmtId="0" fontId="67" fillId="0" borderId="13" xfId="0" applyFont="1" applyBorder="1" applyAlignment="1">
      <alignment horizontal="center" vertical="center"/>
    </xf>
    <xf numFmtId="0" fontId="67" fillId="0" borderId="33" xfId="0" applyFont="1" applyBorder="1" applyAlignment="1">
      <alignment horizontal="center" vertical="center"/>
    </xf>
    <xf numFmtId="0" fontId="67" fillId="0" borderId="135" xfId="0" applyFont="1" applyBorder="1" applyAlignment="1">
      <alignment horizontal="center" vertical="center" shrinkToFit="1"/>
    </xf>
    <xf numFmtId="0" fontId="67" fillId="0" borderId="32" xfId="0" applyFont="1" applyBorder="1" applyAlignment="1">
      <alignment horizontal="center" vertical="center"/>
    </xf>
    <xf numFmtId="0" fontId="70" fillId="0" borderId="91" xfId="0" applyFont="1" applyBorder="1" applyAlignment="1">
      <alignment vertical="center" shrinkToFit="1"/>
    </xf>
    <xf numFmtId="176" fontId="70" fillId="0" borderId="91" xfId="0" applyNumberFormat="1" applyFont="1" applyBorder="1" applyAlignment="1">
      <alignment horizontal="center" vertical="center" shrinkToFit="1"/>
    </xf>
    <xf numFmtId="176" fontId="69" fillId="0" borderId="14" xfId="0" applyNumberFormat="1" applyFont="1" applyBorder="1" applyAlignment="1">
      <alignment horizontal="center" vertical="center" shrinkToFit="1"/>
    </xf>
    <xf numFmtId="0" fontId="70" fillId="0" borderId="26" xfId="0" applyFont="1" applyBorder="1" applyAlignment="1">
      <alignment vertical="center" shrinkToFit="1"/>
    </xf>
    <xf numFmtId="176" fontId="70" fillId="0" borderId="26" xfId="0" applyNumberFormat="1" applyFont="1" applyBorder="1" applyAlignment="1">
      <alignment horizontal="center" vertical="center" shrinkToFit="1"/>
    </xf>
    <xf numFmtId="176" fontId="69" fillId="0" borderId="15" xfId="0" applyNumberFormat="1" applyFont="1" applyBorder="1" applyAlignment="1">
      <alignment horizontal="center" vertical="center" shrinkToFit="1"/>
    </xf>
    <xf numFmtId="176" fontId="69" fillId="0" borderId="13" xfId="0" applyNumberFormat="1" applyFont="1" applyBorder="1" applyAlignment="1">
      <alignment horizontal="center" vertical="center" shrinkToFit="1"/>
    </xf>
    <xf numFmtId="176" fontId="70" fillId="0" borderId="13" xfId="0" applyNumberFormat="1" applyFont="1" applyBorder="1" applyAlignment="1">
      <alignment horizontal="center" vertical="center" shrinkToFit="1"/>
    </xf>
    <xf numFmtId="0" fontId="70" fillId="0" borderId="15" xfId="0" applyFont="1" applyBorder="1" applyAlignment="1">
      <alignment vertical="center" shrinkToFit="1"/>
    </xf>
    <xf numFmtId="176" fontId="70" fillId="0" borderId="15" xfId="0" applyNumberFormat="1" applyFont="1" applyBorder="1" applyAlignment="1">
      <alignment horizontal="center" vertical="center" shrinkToFit="1"/>
    </xf>
    <xf numFmtId="0" fontId="67" fillId="0" borderId="26" xfId="0" applyFont="1" applyBorder="1" applyAlignment="1">
      <alignment vertical="center"/>
    </xf>
    <xf numFmtId="0" fontId="67" fillId="0" borderId="0" xfId="78" applyFont="1">
      <alignment vertical="center"/>
    </xf>
    <xf numFmtId="0" fontId="67" fillId="0" borderId="0" xfId="78" applyFont="1" applyAlignment="1">
      <alignment horizontal="center" vertical="center"/>
    </xf>
    <xf numFmtId="0" fontId="67" fillId="0" borderId="0" xfId="0" applyFont="1" applyAlignment="1">
      <alignment horizontal="center"/>
    </xf>
    <xf numFmtId="0" fontId="67" fillId="0" borderId="0" xfId="0" applyFont="1"/>
    <xf numFmtId="0" fontId="67" fillId="0" borderId="0" xfId="78" applyFont="1" applyAlignment="1">
      <alignment horizontal="right" vertical="center"/>
    </xf>
    <xf numFmtId="0" fontId="77" fillId="0" borderId="16" xfId="78" applyFont="1" applyBorder="1" applyAlignment="1">
      <alignment horizontal="center" vertical="center"/>
    </xf>
    <xf numFmtId="0" fontId="77" fillId="0" borderId="0" xfId="78" applyFont="1" applyAlignment="1">
      <alignment horizontal="center" vertical="center"/>
    </xf>
    <xf numFmtId="0" fontId="67" fillId="25" borderId="0" xfId="78" applyFont="1" applyFill="1" applyAlignment="1">
      <alignment horizontal="center" vertical="center"/>
    </xf>
    <xf numFmtId="0" fontId="67" fillId="0" borderId="11" xfId="0" applyFont="1" applyBorder="1" applyAlignment="1">
      <alignment shrinkToFit="1"/>
    </xf>
    <xf numFmtId="0" fontId="67" fillId="0" borderId="0" xfId="0" applyFont="1" applyAlignment="1">
      <alignment shrinkToFit="1"/>
    </xf>
    <xf numFmtId="0" fontId="67" fillId="0" borderId="0" xfId="78" applyFont="1" applyAlignment="1">
      <alignment horizontal="center" vertical="center" shrinkToFit="1"/>
    </xf>
    <xf numFmtId="0" fontId="67" fillId="0" borderId="0" xfId="78" applyFont="1" applyAlignment="1">
      <alignment horizontal="left" vertical="center" shrinkToFit="1"/>
    </xf>
    <xf numFmtId="0" fontId="71" fillId="0" borderId="0" xfId="78" applyFont="1" applyAlignment="1">
      <alignment horizontal="center" vertical="center" shrinkToFit="1"/>
    </xf>
    <xf numFmtId="0" fontId="71" fillId="0" borderId="0" xfId="78" applyFont="1" applyAlignment="1">
      <alignment horizontal="left" vertical="center" shrinkToFit="1"/>
    </xf>
    <xf numFmtId="0" fontId="71" fillId="0" borderId="17" xfId="78" applyFont="1" applyBorder="1" applyAlignment="1">
      <alignment horizontal="left" vertical="center" shrinkToFit="1"/>
    </xf>
    <xf numFmtId="0" fontId="67" fillId="0" borderId="0" xfId="78" applyFont="1" applyAlignment="1">
      <alignment horizontal="right" vertical="center" shrinkToFit="1"/>
    </xf>
    <xf numFmtId="0" fontId="67" fillId="0" borderId="0" xfId="78" applyFont="1" applyAlignment="1">
      <alignment vertical="center" shrinkToFit="1"/>
    </xf>
    <xf numFmtId="0" fontId="67" fillId="26" borderId="0" xfId="0" applyFont="1" applyFill="1" applyAlignment="1">
      <alignment horizontal="center" vertical="center"/>
    </xf>
    <xf numFmtId="0" fontId="67" fillId="0" borderId="27" xfId="0" applyFont="1" applyBorder="1" applyAlignment="1">
      <alignment shrinkToFit="1"/>
    </xf>
    <xf numFmtId="0" fontId="67" fillId="29" borderId="0" xfId="78" applyFont="1" applyFill="1">
      <alignment vertical="center"/>
    </xf>
    <xf numFmtId="0" fontId="67" fillId="29" borderId="0" xfId="0" applyFont="1" applyFill="1" applyAlignment="1">
      <alignment horizontal="center" vertical="center"/>
    </xf>
    <xf numFmtId="0" fontId="67" fillId="29" borderId="0" xfId="0" applyFont="1" applyFill="1" applyAlignment="1">
      <alignment horizontal="center"/>
    </xf>
    <xf numFmtId="0" fontId="67" fillId="29" borderId="0" xfId="0" applyFont="1" applyFill="1" applyAlignment="1">
      <alignment shrinkToFit="1"/>
    </xf>
    <xf numFmtId="0" fontId="67" fillId="29" borderId="0" xfId="78" applyFont="1" applyFill="1" applyAlignment="1">
      <alignment horizontal="center" vertical="center"/>
    </xf>
    <xf numFmtId="0" fontId="67" fillId="29" borderId="0" xfId="0" applyFont="1" applyFill="1"/>
    <xf numFmtId="0" fontId="78" fillId="0" borderId="0" xfId="0" applyFont="1" applyAlignment="1">
      <alignment vertical="center"/>
    </xf>
    <xf numFmtId="0" fontId="79" fillId="0" borderId="0" xfId="0" applyFont="1" applyAlignment="1">
      <alignment vertical="center"/>
    </xf>
    <xf numFmtId="0" fontId="80" fillId="0" borderId="0" xfId="0" applyFont="1" applyAlignment="1">
      <alignment vertical="center"/>
    </xf>
    <xf numFmtId="0" fontId="81" fillId="0" borderId="0" xfId="0" applyFont="1" applyAlignment="1">
      <alignment vertical="center"/>
    </xf>
    <xf numFmtId="0" fontId="81" fillId="0" borderId="69" xfId="0" applyFont="1" applyBorder="1" applyAlignment="1">
      <alignment vertical="center"/>
    </xf>
    <xf numFmtId="0" fontId="81" fillId="0" borderId="70" xfId="0" applyFont="1" applyBorder="1" applyAlignment="1">
      <alignment horizontal="center" vertical="center"/>
    </xf>
    <xf numFmtId="0" fontId="81" fillId="0" borderId="71" xfId="0" applyFont="1" applyBorder="1" applyAlignment="1">
      <alignment vertical="center"/>
    </xf>
    <xf numFmtId="0" fontId="81" fillId="0" borderId="70" xfId="0" applyFont="1" applyBorder="1" applyAlignment="1">
      <alignment vertical="center"/>
    </xf>
    <xf numFmtId="0" fontId="81" fillId="0" borderId="69" xfId="0" applyFont="1" applyBorder="1" applyAlignment="1">
      <alignment vertical="center" shrinkToFit="1"/>
    </xf>
    <xf numFmtId="0" fontId="81" fillId="0" borderId="71" xfId="0" applyFont="1" applyBorder="1" applyAlignment="1">
      <alignment vertical="center" shrinkToFit="1"/>
    </xf>
    <xf numFmtId="0" fontId="68" fillId="0" borderId="0" xfId="0" applyFont="1" applyAlignment="1">
      <alignment vertical="center" shrinkToFit="1"/>
    </xf>
    <xf numFmtId="0" fontId="68" fillId="0" borderId="20" xfId="0" applyFont="1" applyBorder="1" applyAlignment="1">
      <alignment vertical="center" shrinkToFit="1"/>
    </xf>
    <xf numFmtId="0" fontId="68" fillId="0" borderId="91" xfId="0" applyFont="1" applyBorder="1" applyAlignment="1">
      <alignment horizontal="center" vertical="center" shrinkToFit="1"/>
    </xf>
    <xf numFmtId="0" fontId="68" fillId="0" borderId="23" xfId="0" applyFont="1" applyBorder="1" applyAlignment="1">
      <alignment horizontal="center" vertical="center" shrinkToFit="1"/>
    </xf>
    <xf numFmtId="0" fontId="68" fillId="0" borderId="20" xfId="0" applyFont="1" applyBorder="1" applyAlignment="1">
      <alignment horizontal="center" vertical="center" shrinkToFit="1"/>
    </xf>
    <xf numFmtId="0" fontId="68" fillId="0" borderId="109" xfId="0" applyFont="1" applyBorder="1" applyAlignment="1">
      <alignment horizontal="center" vertical="center" shrinkToFit="1"/>
    </xf>
    <xf numFmtId="0" fontId="68" fillId="0" borderId="22" xfId="0" applyFont="1" applyBorder="1" applyAlignment="1">
      <alignment horizontal="center" vertical="center" shrinkToFit="1"/>
    </xf>
    <xf numFmtId="0" fontId="68" fillId="0" borderId="36" xfId="0" applyFont="1" applyBorder="1" applyAlignment="1">
      <alignment horizontal="center" vertical="center" shrinkToFit="1"/>
    </xf>
    <xf numFmtId="0" fontId="70" fillId="0" borderId="26" xfId="0" applyFont="1" applyBorder="1" applyAlignment="1">
      <alignment horizontal="center" vertical="center" shrinkToFit="1"/>
    </xf>
    <xf numFmtId="0" fontId="70" fillId="0" borderId="50" xfId="0" applyFont="1" applyBorder="1" applyAlignment="1">
      <alignment horizontal="center" vertical="center"/>
    </xf>
    <xf numFmtId="0" fontId="82" fillId="28" borderId="110" xfId="0" applyFont="1" applyFill="1" applyBorder="1" applyAlignment="1">
      <alignment horizontal="center" vertical="center" shrinkToFit="1"/>
    </xf>
    <xf numFmtId="0" fontId="82" fillId="28" borderId="111" xfId="0" applyFont="1" applyFill="1" applyBorder="1" applyAlignment="1">
      <alignment horizontal="center" vertical="center" shrinkToFit="1"/>
    </xf>
    <xf numFmtId="0" fontId="82" fillId="28" borderId="112" xfId="0" applyFont="1" applyFill="1" applyBorder="1" applyAlignment="1">
      <alignment horizontal="center" vertical="center" shrinkToFit="1"/>
    </xf>
    <xf numFmtId="0" fontId="79" fillId="0" borderId="12" xfId="0" applyFont="1" applyBorder="1" applyAlignment="1">
      <alignment horizontal="center" vertical="center"/>
    </xf>
    <xf numFmtId="0" fontId="79" fillId="0" borderId="13" xfId="0" applyFont="1" applyBorder="1" applyAlignment="1">
      <alignment horizontal="center" vertical="center"/>
    </xf>
    <xf numFmtId="0" fontId="79" fillId="0" borderId="32" xfId="0" applyFont="1" applyBorder="1" applyAlignment="1">
      <alignment horizontal="center" vertical="center"/>
    </xf>
    <xf numFmtId="0" fontId="83" fillId="0" borderId="12" xfId="0" applyFont="1" applyBorder="1" applyAlignment="1">
      <alignment horizontal="center" vertical="center"/>
    </xf>
    <xf numFmtId="0" fontId="83" fillId="0" borderId="91" xfId="0" applyFont="1" applyBorder="1" applyAlignment="1">
      <alignment horizontal="center" vertical="center" shrinkToFit="1"/>
    </xf>
    <xf numFmtId="0" fontId="83" fillId="0" borderId="26" xfId="0" applyFont="1" applyBorder="1" applyAlignment="1">
      <alignment horizontal="center" vertical="center" shrinkToFit="1"/>
    </xf>
    <xf numFmtId="20" fontId="68" fillId="0" borderId="0" xfId="0" applyNumberFormat="1" applyFont="1" applyAlignment="1">
      <alignment vertical="center"/>
    </xf>
    <xf numFmtId="0" fontId="83" fillId="0" borderId="88" xfId="0" applyFont="1" applyBorder="1" applyAlignment="1">
      <alignment horizontal="center" vertical="center" shrinkToFit="1"/>
    </xf>
    <xf numFmtId="0" fontId="86" fillId="0" borderId="0" xfId="0" applyFont="1" applyAlignment="1">
      <alignment vertical="center"/>
    </xf>
    <xf numFmtId="0" fontId="83" fillId="0" borderId="15" xfId="0" applyFont="1" applyBorder="1" applyAlignment="1">
      <alignment horizontal="center" vertical="center" shrinkToFit="1"/>
    </xf>
    <xf numFmtId="0" fontId="68" fillId="0" borderId="0" xfId="0" applyFont="1" applyAlignment="1">
      <alignment horizontal="center" vertical="center"/>
    </xf>
    <xf numFmtId="0" fontId="87" fillId="0" borderId="0" xfId="0" applyFont="1" applyAlignment="1">
      <alignment horizontal="center" vertical="center" wrapText="1" shrinkToFit="1"/>
    </xf>
    <xf numFmtId="0" fontId="85" fillId="0" borderId="0" xfId="77" applyFont="1" applyAlignment="1">
      <alignment vertical="center"/>
    </xf>
    <xf numFmtId="0" fontId="68" fillId="0" borderId="0" xfId="77" applyFont="1" applyAlignment="1">
      <alignment horizontal="center" vertical="center"/>
    </xf>
    <xf numFmtId="0" fontId="79" fillId="0" borderId="0" xfId="77" applyFont="1" applyAlignment="1">
      <alignment horizontal="center" vertical="center"/>
    </xf>
    <xf numFmtId="0" fontId="79" fillId="0" borderId="0" xfId="77" applyFont="1" applyAlignment="1">
      <alignment vertical="center"/>
    </xf>
    <xf numFmtId="0" fontId="79" fillId="0" borderId="20" xfId="77" applyFont="1" applyBorder="1" applyAlignment="1">
      <alignment vertical="center" shrinkToFit="1"/>
    </xf>
    <xf numFmtId="0" fontId="79" fillId="0" borderId="0" xfId="77" applyFont="1" applyAlignment="1">
      <alignment vertical="center" shrinkToFit="1"/>
    </xf>
    <xf numFmtId="0" fontId="79" fillId="0" borderId="28" xfId="77" applyFont="1" applyBorder="1" applyAlignment="1">
      <alignment vertical="center" shrinkToFit="1"/>
    </xf>
    <xf numFmtId="0" fontId="79" fillId="0" borderId="23" xfId="77" applyFont="1" applyBorder="1" applyAlignment="1">
      <alignment vertical="center" shrinkToFit="1"/>
    </xf>
    <xf numFmtId="0" fontId="70" fillId="0" borderId="0" xfId="75" applyFont="1" applyAlignment="1">
      <alignment horizontal="center" vertical="center"/>
    </xf>
    <xf numFmtId="0" fontId="86" fillId="0" borderId="0" xfId="75" applyFont="1" applyAlignment="1">
      <alignment horizontal="left" vertical="center"/>
    </xf>
    <xf numFmtId="0" fontId="70" fillId="0" borderId="20" xfId="75" applyFont="1" applyBorder="1" applyAlignment="1">
      <alignment horizontal="center" vertical="center"/>
    </xf>
    <xf numFmtId="0" fontId="70" fillId="0" borderId="28" xfId="75" applyFont="1" applyBorder="1" applyAlignment="1">
      <alignment horizontal="center" vertical="center"/>
    </xf>
    <xf numFmtId="0" fontId="70" fillId="0" borderId="23" xfId="75" applyFont="1" applyBorder="1" applyAlignment="1">
      <alignment horizontal="center" vertical="center"/>
    </xf>
    <xf numFmtId="0" fontId="68" fillId="0" borderId="0" xfId="75" applyFont="1" applyAlignment="1">
      <alignment horizontal="center" vertical="center"/>
    </xf>
    <xf numFmtId="0" fontId="68" fillId="0" borderId="0" xfId="79" applyFont="1">
      <alignment vertical="center"/>
    </xf>
    <xf numFmtId="0" fontId="68" fillId="0" borderId="20" xfId="79" applyFont="1" applyBorder="1">
      <alignment vertical="center"/>
    </xf>
    <xf numFmtId="0" fontId="68" fillId="0" borderId="23" xfId="75" applyFont="1" applyBorder="1" applyAlignment="1">
      <alignment horizontal="center" vertical="center"/>
    </xf>
    <xf numFmtId="0" fontId="70" fillId="0" borderId="29" xfId="75" applyFont="1" applyBorder="1" applyAlignment="1">
      <alignment horizontal="center" vertical="center"/>
    </xf>
    <xf numFmtId="0" fontId="79" fillId="0" borderId="20" xfId="77" applyFont="1" applyBorder="1" applyAlignment="1">
      <alignment horizontal="center" vertical="center"/>
    </xf>
    <xf numFmtId="0" fontId="79" fillId="0" borderId="30" xfId="77" applyFont="1" applyBorder="1" applyAlignment="1">
      <alignment vertical="center"/>
    </xf>
    <xf numFmtId="0" fontId="70" fillId="0" borderId="31" xfId="75" applyFont="1" applyBorder="1" applyAlignment="1">
      <alignment horizontal="center" vertical="center" shrinkToFit="1"/>
    </xf>
    <xf numFmtId="0" fontId="88" fillId="0" borderId="100" xfId="75" applyFont="1" applyBorder="1" applyAlignment="1">
      <alignment horizontal="center" vertical="center" shrinkToFit="1"/>
    </xf>
    <xf numFmtId="0" fontId="88" fillId="0" borderId="0" xfId="75" applyFont="1" applyAlignment="1">
      <alignment horizontal="center" vertical="center"/>
    </xf>
    <xf numFmtId="0" fontId="88" fillId="0" borderId="0" xfId="79" applyFont="1">
      <alignment vertical="center"/>
    </xf>
    <xf numFmtId="20" fontId="88" fillId="0" borderId="0" xfId="79" applyNumberFormat="1" applyFont="1">
      <alignment vertical="center"/>
    </xf>
    <xf numFmtId="0" fontId="70" fillId="0" borderId="0" xfId="75" applyFont="1" applyAlignment="1">
      <alignment vertical="center" shrinkToFit="1"/>
    </xf>
    <xf numFmtId="0" fontId="70" fillId="0" borderId="0" xfId="75" applyFont="1" applyAlignment="1">
      <alignment horizontal="center" vertical="center" shrinkToFit="1"/>
    </xf>
    <xf numFmtId="0" fontId="88" fillId="0" borderId="0" xfId="75" applyFont="1" applyAlignment="1">
      <alignment vertical="center" shrinkToFit="1"/>
    </xf>
    <xf numFmtId="0" fontId="88" fillId="0" borderId="0" xfId="75" applyFont="1" applyAlignment="1">
      <alignment horizontal="center" vertical="center" shrinkToFit="1"/>
    </xf>
    <xf numFmtId="0" fontId="70" fillId="0" borderId="0" xfId="75" applyFont="1" applyAlignment="1">
      <alignment vertical="center"/>
    </xf>
    <xf numFmtId="0" fontId="70" fillId="0" borderId="0" xfId="75" applyFont="1" applyAlignment="1">
      <alignment horizontal="right" vertical="center"/>
    </xf>
    <xf numFmtId="0" fontId="70" fillId="0" borderId="26" xfId="75" applyFont="1" applyBorder="1" applyAlignment="1">
      <alignment horizontal="center" vertical="center"/>
    </xf>
    <xf numFmtId="0" fontId="70" fillId="0" borderId="26" xfId="75" applyFont="1" applyBorder="1" applyAlignment="1" applyProtection="1">
      <alignment horizontal="center" vertical="center"/>
      <protection locked="0"/>
    </xf>
    <xf numFmtId="0" fontId="89" fillId="0" borderId="26" xfId="75" applyFont="1" applyBorder="1" applyAlignment="1">
      <alignment horizontal="center" vertical="center"/>
    </xf>
    <xf numFmtId="0" fontId="70" fillId="0" borderId="33" xfId="75" applyFont="1" applyBorder="1" applyAlignment="1">
      <alignment horizontal="center" vertical="center" shrinkToFit="1"/>
    </xf>
    <xf numFmtId="0" fontId="70" fillId="0" borderId="13" xfId="75" applyFont="1" applyBorder="1" applyAlignment="1">
      <alignment horizontal="center" vertical="center" wrapText="1" shrinkToFit="1"/>
    </xf>
    <xf numFmtId="0" fontId="70" fillId="0" borderId="13" xfId="75" applyFont="1" applyBorder="1" applyAlignment="1">
      <alignment horizontal="center" vertical="center" shrinkToFit="1"/>
    </xf>
    <xf numFmtId="0" fontId="70" fillId="31" borderId="18" xfId="75" applyFont="1" applyFill="1" applyBorder="1" applyAlignment="1">
      <alignment horizontal="center" vertical="center" shrinkToFit="1"/>
    </xf>
    <xf numFmtId="0" fontId="70" fillId="31" borderId="19" xfId="75" applyFont="1" applyFill="1" applyBorder="1" applyAlignment="1">
      <alignment horizontal="center" vertical="center" shrinkToFit="1"/>
    </xf>
    <xf numFmtId="0" fontId="70" fillId="31" borderId="75" xfId="75" applyFont="1" applyFill="1" applyBorder="1" applyAlignment="1">
      <alignment horizontal="center" vertical="center" shrinkToFit="1"/>
    </xf>
    <xf numFmtId="0" fontId="70" fillId="0" borderId="102" xfId="75" applyFont="1" applyBorder="1" applyAlignment="1">
      <alignment horizontal="center" vertical="center" shrinkToFit="1"/>
    </xf>
    <xf numFmtId="0" fontId="70" fillId="0" borderId="103" xfId="75" applyFont="1" applyBorder="1" applyAlignment="1">
      <alignment horizontal="center" vertical="center" shrinkToFit="1"/>
    </xf>
    <xf numFmtId="0" fontId="70" fillId="31" borderId="0" xfId="75" applyFont="1" applyFill="1" applyAlignment="1">
      <alignment horizontal="center" vertical="center" shrinkToFit="1"/>
    </xf>
    <xf numFmtId="0" fontId="70" fillId="31" borderId="30" xfId="75" applyFont="1" applyFill="1" applyBorder="1" applyAlignment="1">
      <alignment horizontal="center" vertical="center" shrinkToFit="1"/>
    </xf>
    <xf numFmtId="0" fontId="70" fillId="31" borderId="94" xfId="75" applyFont="1" applyFill="1" applyBorder="1" applyAlignment="1">
      <alignment horizontal="center" vertical="center" shrinkToFit="1"/>
    </xf>
    <xf numFmtId="0" fontId="90" fillId="31" borderId="17" xfId="75" applyFont="1" applyFill="1" applyBorder="1" applyAlignment="1">
      <alignment horizontal="center" vertical="center" shrinkToFit="1"/>
    </xf>
    <xf numFmtId="0" fontId="68" fillId="31" borderId="87" xfId="75" applyFont="1" applyFill="1" applyBorder="1" applyAlignment="1">
      <alignment horizontal="center" vertical="center" shrinkToFit="1"/>
    </xf>
    <xf numFmtId="0" fontId="70" fillId="0" borderId="76" xfId="75" applyFont="1" applyBorder="1" applyAlignment="1">
      <alignment horizontal="center" vertical="center" shrinkToFit="1"/>
    </xf>
    <xf numFmtId="0" fontId="90" fillId="0" borderId="0" xfId="75" applyFont="1" applyAlignment="1">
      <alignment horizontal="center" vertical="center" shrinkToFit="1"/>
    </xf>
    <xf numFmtId="0" fontId="70" fillId="0" borderId="87" xfId="75" applyFont="1" applyBorder="1" applyAlignment="1">
      <alignment horizontal="center" vertical="center" shrinkToFit="1"/>
    </xf>
    <xf numFmtId="0" fontId="70" fillId="0" borderId="17" xfId="75" applyFont="1" applyBorder="1" applyAlignment="1">
      <alignment horizontal="center" vertical="center" shrinkToFit="1"/>
    </xf>
    <xf numFmtId="0" fontId="90" fillId="0" borderId="104" xfId="75" applyFont="1" applyBorder="1" applyAlignment="1">
      <alignment horizontal="center" vertical="center" shrinkToFit="1"/>
    </xf>
    <xf numFmtId="0" fontId="70" fillId="31" borderId="17" xfId="75" applyFont="1" applyFill="1" applyBorder="1" applyAlignment="1">
      <alignment horizontal="center" vertical="center" shrinkToFit="1"/>
    </xf>
    <xf numFmtId="0" fontId="70" fillId="0" borderId="108" xfId="75" applyFont="1" applyBorder="1" applyAlignment="1">
      <alignment horizontal="center" vertical="center" shrinkToFit="1"/>
    </xf>
    <xf numFmtId="0" fontId="70" fillId="0" borderId="105" xfId="75" applyFont="1" applyBorder="1" applyAlignment="1">
      <alignment horizontal="center" vertical="center" shrinkToFit="1"/>
    </xf>
    <xf numFmtId="0" fontId="70" fillId="0" borderId="106" xfId="75" applyFont="1" applyBorder="1" applyAlignment="1">
      <alignment horizontal="center" vertical="center" shrinkToFit="1"/>
    </xf>
    <xf numFmtId="0" fontId="70" fillId="31" borderId="82" xfId="75" applyFont="1" applyFill="1" applyBorder="1" applyAlignment="1">
      <alignment horizontal="center" vertical="center" shrinkToFit="1"/>
    </xf>
    <xf numFmtId="0" fontId="70" fillId="31" borderId="58" xfId="75" applyFont="1" applyFill="1" applyBorder="1" applyAlignment="1">
      <alignment horizontal="center" vertical="center" shrinkToFit="1"/>
    </xf>
    <xf numFmtId="0" fontId="70" fillId="31" borderId="78" xfId="75" applyFont="1" applyFill="1" applyBorder="1" applyAlignment="1">
      <alignment horizontal="center" vertical="center" shrinkToFit="1"/>
    </xf>
    <xf numFmtId="0" fontId="70" fillId="0" borderId="107" xfId="75" applyFont="1" applyBorder="1" applyAlignment="1">
      <alignment horizontal="center" vertical="center" shrinkToFit="1"/>
    </xf>
    <xf numFmtId="0" fontId="70" fillId="0" borderId="16" xfId="75" applyFont="1" applyBorder="1" applyAlignment="1">
      <alignment horizontal="center" vertical="center" shrinkToFit="1"/>
    </xf>
    <xf numFmtId="0" fontId="70" fillId="0" borderId="94" xfId="75" applyFont="1" applyBorder="1" applyAlignment="1">
      <alignment horizontal="center" vertical="center" shrinkToFit="1"/>
    </xf>
    <xf numFmtId="0" fontId="70" fillId="31" borderId="76" xfId="75" applyFont="1" applyFill="1" applyBorder="1" applyAlignment="1">
      <alignment horizontal="center" vertical="center" shrinkToFit="1"/>
    </xf>
    <xf numFmtId="0" fontId="70" fillId="31" borderId="87" xfId="75" applyFont="1" applyFill="1" applyBorder="1" applyAlignment="1">
      <alignment horizontal="center" vertical="center" shrinkToFit="1"/>
    </xf>
    <xf numFmtId="0" fontId="70" fillId="0" borderId="76" xfId="75" applyFont="1" applyBorder="1" applyAlignment="1" applyProtection="1">
      <alignment horizontal="center" vertical="center" shrinkToFit="1"/>
      <protection locked="0"/>
    </xf>
    <xf numFmtId="0" fontId="70" fillId="0" borderId="87" xfId="75" applyFont="1" applyBorder="1" applyAlignment="1" applyProtection="1">
      <alignment horizontal="center" vertical="center" shrinkToFit="1"/>
      <protection locked="0"/>
    </xf>
    <xf numFmtId="0" fontId="70" fillId="0" borderId="24" xfId="75" applyFont="1" applyBorder="1" applyAlignment="1">
      <alignment horizontal="center" vertical="center" shrinkToFit="1"/>
    </xf>
    <xf numFmtId="0" fontId="90" fillId="0" borderId="22" xfId="75" applyFont="1" applyBorder="1" applyAlignment="1">
      <alignment horizontal="center" vertical="center" shrinkToFit="1"/>
    </xf>
    <xf numFmtId="0" fontId="70" fillId="0" borderId="68" xfId="75" applyFont="1" applyBorder="1" applyAlignment="1">
      <alignment horizontal="center" vertical="center" shrinkToFit="1"/>
    </xf>
    <xf numFmtId="0" fontId="70" fillId="0" borderId="67" xfId="75" applyFont="1" applyBorder="1" applyAlignment="1" applyProtection="1">
      <alignment horizontal="center" vertical="center" shrinkToFit="1"/>
      <protection locked="0"/>
    </xf>
    <xf numFmtId="0" fontId="70" fillId="0" borderId="68" xfId="75" applyFont="1" applyBorder="1" applyAlignment="1" applyProtection="1">
      <alignment horizontal="center" vertical="center" shrinkToFit="1"/>
      <protection locked="0"/>
    </xf>
    <xf numFmtId="0" fontId="70" fillId="31" borderId="67" xfId="75" applyFont="1" applyFill="1" applyBorder="1" applyAlignment="1">
      <alignment horizontal="center" vertical="center" shrinkToFit="1"/>
    </xf>
    <xf numFmtId="0" fontId="90" fillId="31" borderId="22" xfId="75" applyFont="1" applyFill="1" applyBorder="1" applyAlignment="1">
      <alignment horizontal="center" vertical="center" shrinkToFit="1"/>
    </xf>
    <xf numFmtId="0" fontId="70" fillId="31" borderId="68" xfId="75" applyFont="1" applyFill="1" applyBorder="1" applyAlignment="1">
      <alignment horizontal="center" vertical="center" shrinkToFit="1"/>
    </xf>
    <xf numFmtId="0" fontId="70" fillId="0" borderId="22" xfId="75" applyFont="1" applyBorder="1" applyAlignment="1">
      <alignment horizontal="center" vertical="center" shrinkToFit="1"/>
    </xf>
    <xf numFmtId="0" fontId="68" fillId="0" borderId="0" xfId="75" applyFont="1" applyAlignment="1">
      <alignment horizontal="center" vertical="center" shrinkToFit="1"/>
    </xf>
    <xf numFmtId="0" fontId="68" fillId="0" borderId="0" xfId="79" applyFont="1" applyAlignment="1">
      <alignment vertical="center" shrinkToFit="1"/>
    </xf>
    <xf numFmtId="0" fontId="83" fillId="0" borderId="18" xfId="0" applyFont="1" applyBorder="1" applyAlignment="1">
      <alignment horizontal="center" vertical="center"/>
    </xf>
    <xf numFmtId="0" fontId="92" fillId="29" borderId="0" xfId="0" applyFont="1" applyFill="1"/>
    <xf numFmtId="0" fontId="84" fillId="0" borderId="0" xfId="0" applyFont="1" applyAlignment="1">
      <alignment vertical="center"/>
    </xf>
    <xf numFmtId="0" fontId="88" fillId="0" borderId="0" xfId="0" applyFont="1" applyAlignment="1">
      <alignment horizontal="left" vertical="center"/>
    </xf>
    <xf numFmtId="0" fontId="88" fillId="0" borderId="0" xfId="0" applyFont="1" applyAlignment="1">
      <alignment vertical="center"/>
    </xf>
    <xf numFmtId="0" fontId="68" fillId="0" borderId="17" xfId="0" applyFont="1" applyBorder="1" applyAlignment="1">
      <alignment vertical="center"/>
    </xf>
    <xf numFmtId="0" fontId="93" fillId="0" borderId="0" xfId="0" applyFont="1" applyAlignment="1">
      <alignment horizontal="center" vertical="center"/>
    </xf>
    <xf numFmtId="0" fontId="68" fillId="0" borderId="0" xfId="0" applyFont="1" applyAlignment="1">
      <alignment horizontal="center" vertical="center" shrinkToFit="1"/>
    </xf>
    <xf numFmtId="0" fontId="93" fillId="0" borderId="0" xfId="0" applyFont="1" applyAlignment="1">
      <alignment vertical="center"/>
    </xf>
    <xf numFmtId="0" fontId="88" fillId="0" borderId="0" xfId="0" applyFont="1" applyAlignment="1">
      <alignment horizontal="center" vertical="center"/>
    </xf>
    <xf numFmtId="0" fontId="68" fillId="0" borderId="0" xfId="0" applyFont="1" applyAlignment="1">
      <alignment horizontal="center" vertical="center" wrapText="1"/>
    </xf>
    <xf numFmtId="0" fontId="86" fillId="0" borderId="0" xfId="0" applyFont="1" applyAlignment="1">
      <alignment horizontal="center" vertical="center"/>
    </xf>
    <xf numFmtId="0" fontId="79" fillId="0" borderId="0" xfId="0" applyFont="1" applyAlignment="1">
      <alignment horizontal="center" vertical="center"/>
    </xf>
    <xf numFmtId="0" fontId="80" fillId="0" borderId="0" xfId="0" applyFont="1" applyAlignment="1">
      <alignment horizontal="center" vertical="center"/>
    </xf>
    <xf numFmtId="0" fontId="88" fillId="0" borderId="0" xfId="0" applyFont="1" applyAlignment="1">
      <alignment vertical="center" shrinkToFit="1"/>
    </xf>
    <xf numFmtId="0" fontId="68" fillId="0" borderId="24" xfId="0" applyFont="1" applyBorder="1" applyAlignment="1">
      <alignment vertical="center"/>
    </xf>
    <xf numFmtId="0" fontId="68" fillId="0" borderId="22" xfId="0" applyFont="1" applyBorder="1" applyAlignment="1">
      <alignment vertical="center"/>
    </xf>
    <xf numFmtId="0" fontId="68" fillId="0" borderId="25" xfId="0" applyFont="1" applyBorder="1" applyAlignment="1">
      <alignment vertical="center"/>
    </xf>
    <xf numFmtId="0" fontId="79" fillId="0" borderId="18" xfId="0" applyFont="1" applyBorder="1" applyAlignment="1">
      <alignment horizontal="center" vertical="center"/>
    </xf>
    <xf numFmtId="0" fontId="79" fillId="0" borderId="19" xfId="0" applyFont="1" applyBorder="1" applyAlignment="1">
      <alignment horizontal="center" vertical="center"/>
    </xf>
    <xf numFmtId="0" fontId="68" fillId="0" borderId="19" xfId="0" applyFont="1" applyBorder="1" applyAlignment="1">
      <alignment vertical="center"/>
    </xf>
    <xf numFmtId="0" fontId="79" fillId="0" borderId="21" xfId="0" applyFont="1" applyBorder="1" applyAlignment="1">
      <alignment horizontal="center" vertical="center"/>
    </xf>
    <xf numFmtId="0" fontId="68" fillId="0" borderId="23" xfId="0" applyFont="1" applyBorder="1" applyAlignment="1">
      <alignment vertical="center"/>
    </xf>
    <xf numFmtId="0" fontId="68" fillId="0" borderId="0" xfId="0" quotePrefix="1" applyFont="1" applyAlignment="1">
      <alignment vertical="center"/>
    </xf>
    <xf numFmtId="0" fontId="67" fillId="0" borderId="0" xfId="0" quotePrefix="1" applyFont="1" applyAlignment="1">
      <alignment vertical="center"/>
    </xf>
    <xf numFmtId="56" fontId="67" fillId="0" borderId="0" xfId="78" applyNumberFormat="1" applyFont="1">
      <alignment vertical="center"/>
    </xf>
    <xf numFmtId="20" fontId="67" fillId="0" borderId="0" xfId="78" applyNumberFormat="1" applyFont="1">
      <alignment vertical="center"/>
    </xf>
    <xf numFmtId="0" fontId="92" fillId="29" borderId="0" xfId="0" applyFont="1" applyFill="1" applyAlignment="1">
      <alignment vertical="center"/>
    </xf>
    <xf numFmtId="0" fontId="92" fillId="29" borderId="0" xfId="0" applyFont="1" applyFill="1" applyAlignment="1">
      <alignment horizontal="left"/>
    </xf>
    <xf numFmtId="0" fontId="56" fillId="0" borderId="26" xfId="0" applyFont="1" applyBorder="1" applyAlignment="1">
      <alignment horizontal="center" vertical="center"/>
    </xf>
    <xf numFmtId="0" fontId="56" fillId="0" borderId="26" xfId="0" applyFont="1" applyBorder="1" applyAlignment="1">
      <alignment horizontal="center" vertical="center" wrapText="1"/>
    </xf>
    <xf numFmtId="0" fontId="79" fillId="0" borderId="22" xfId="0" applyFont="1" applyBorder="1" applyAlignment="1">
      <alignment vertical="center"/>
    </xf>
    <xf numFmtId="49" fontId="79" fillId="0" borderId="0" xfId="0" applyNumberFormat="1" applyFont="1" applyAlignment="1">
      <alignment horizontal="right" vertical="center" wrapText="1"/>
    </xf>
    <xf numFmtId="49" fontId="79" fillId="0" borderId="22" xfId="0" applyNumberFormat="1" applyFont="1" applyBorder="1" applyAlignment="1">
      <alignment horizontal="right" vertical="center" wrapText="1"/>
    </xf>
    <xf numFmtId="0" fontId="79" fillId="0" borderId="22" xfId="0" applyFont="1" applyBorder="1" applyAlignment="1">
      <alignment vertical="top" wrapText="1"/>
    </xf>
    <xf numFmtId="0" fontId="70" fillId="0" borderId="125" xfId="0" applyFont="1" applyBorder="1" applyAlignment="1">
      <alignment horizontal="center" vertical="center"/>
    </xf>
    <xf numFmtId="0" fontId="70" fillId="0" borderId="0" xfId="0" applyFont="1" applyAlignment="1">
      <alignment horizontal="center" vertical="center"/>
    </xf>
    <xf numFmtId="0" fontId="70" fillId="0" borderId="14" xfId="0" applyFont="1" applyBorder="1" applyAlignment="1">
      <alignment vertical="center" shrinkToFit="1"/>
    </xf>
    <xf numFmtId="0" fontId="70" fillId="0" borderId="65" xfId="0" applyFont="1" applyBorder="1" applyAlignment="1">
      <alignment horizontal="center" vertical="center"/>
    </xf>
    <xf numFmtId="0" fontId="70" fillId="0" borderId="13" xfId="0" applyFont="1" applyBorder="1" applyAlignment="1">
      <alignment vertical="center" shrinkToFit="1"/>
    </xf>
    <xf numFmtId="0" fontId="70" fillId="0" borderId="12" xfId="0" applyFont="1" applyBorder="1" applyAlignment="1">
      <alignment horizontal="center" vertical="center" shrinkToFit="1"/>
    </xf>
    <xf numFmtId="0" fontId="70" fillId="0" borderId="36" xfId="0" applyFont="1" applyBorder="1" applyAlignment="1">
      <alignment horizontal="center" vertical="center"/>
    </xf>
    <xf numFmtId="0" fontId="68" fillId="0" borderId="0" xfId="0" applyFont="1" applyAlignment="1">
      <alignment horizontal="right" vertical="center"/>
    </xf>
    <xf numFmtId="0" fontId="56" fillId="0" borderId="0" xfId="76" applyFont="1">
      <alignment vertical="center"/>
    </xf>
    <xf numFmtId="0" fontId="69" fillId="0" borderId="36" xfId="0" applyFont="1" applyBorder="1" applyAlignment="1">
      <alignment horizontal="center" vertical="center"/>
    </xf>
    <xf numFmtId="0" fontId="69" fillId="0" borderId="35" xfId="0" applyFont="1" applyBorder="1" applyAlignment="1">
      <alignment horizontal="center" vertical="center"/>
    </xf>
    <xf numFmtId="0" fontId="69" fillId="0" borderId="32" xfId="0" applyFont="1" applyBorder="1" applyAlignment="1">
      <alignment horizontal="center" vertical="center"/>
    </xf>
    <xf numFmtId="0" fontId="56" fillId="32" borderId="26" xfId="0" applyFont="1" applyFill="1" applyBorder="1" applyAlignment="1">
      <alignment horizontal="center" vertical="center" shrinkToFit="1"/>
    </xf>
    <xf numFmtId="0" fontId="8" fillId="0" borderId="0" xfId="0" applyFont="1" applyAlignment="1">
      <alignment horizontal="center" vertical="top"/>
    </xf>
    <xf numFmtId="0" fontId="41" fillId="0" borderId="0" xfId="0" applyFont="1" applyAlignment="1">
      <alignment vertical="top"/>
    </xf>
    <xf numFmtId="0" fontId="95" fillId="0" borderId="0" xfId="0" applyFont="1" applyAlignment="1">
      <alignment vertical="top"/>
    </xf>
    <xf numFmtId="0" fontId="67" fillId="0" borderId="0" xfId="0" applyFont="1" applyAlignment="1">
      <alignment vertical="center" shrinkToFit="1"/>
    </xf>
    <xf numFmtId="0" fontId="74" fillId="0" borderId="0" xfId="0" applyFont="1" applyAlignment="1">
      <alignment vertical="center"/>
    </xf>
    <xf numFmtId="176" fontId="69" fillId="0" borderId="26" xfId="0" applyNumberFormat="1" applyFont="1" applyBorder="1" applyAlignment="1">
      <alignment horizontal="center" vertical="center" shrinkToFit="1"/>
    </xf>
    <xf numFmtId="0" fontId="69" fillId="0" borderId="65" xfId="0" applyFont="1" applyBorder="1" applyAlignment="1">
      <alignment horizontal="center" vertical="center"/>
    </xf>
    <xf numFmtId="0" fontId="70" fillId="0" borderId="73" xfId="0" applyFont="1" applyBorder="1" applyAlignment="1">
      <alignment vertical="center" shrinkToFit="1"/>
    </xf>
    <xf numFmtId="0" fontId="70" fillId="0" borderId="89" xfId="0" applyFont="1" applyBorder="1" applyAlignment="1">
      <alignment vertical="center" shrinkToFit="1"/>
    </xf>
    <xf numFmtId="0" fontId="70" fillId="0" borderId="134" xfId="0" applyFont="1" applyBorder="1" applyAlignment="1">
      <alignment vertical="center" shrinkToFit="1"/>
    </xf>
    <xf numFmtId="0" fontId="70" fillId="0" borderId="11" xfId="0" applyFont="1" applyBorder="1" applyAlignment="1">
      <alignment horizontal="center" vertical="center" shrinkToFit="1"/>
    </xf>
    <xf numFmtId="0" fontId="6" fillId="0" borderId="0" xfId="0" applyFont="1" applyAlignment="1">
      <alignment horizontal="center" vertical="center" shrinkToFit="1"/>
    </xf>
    <xf numFmtId="0" fontId="4" fillId="0" borderId="22" xfId="0" applyFont="1" applyBorder="1" applyAlignment="1">
      <alignment horizontal="center" vertical="center"/>
    </xf>
    <xf numFmtId="0" fontId="4" fillId="0" borderId="0" xfId="0" applyFont="1" applyAlignment="1">
      <alignment horizontal="center" vertical="center"/>
    </xf>
    <xf numFmtId="0" fontId="6" fillId="0" borderId="115" xfId="0" applyFont="1" applyBorder="1" applyAlignment="1">
      <alignment horizontal="center" vertical="center"/>
    </xf>
    <xf numFmtId="0" fontId="6" fillId="0" borderId="99" xfId="0" applyFont="1" applyBorder="1" applyAlignment="1">
      <alignment horizontal="center" vertical="center"/>
    </xf>
    <xf numFmtId="0" fontId="6" fillId="0" borderId="0" xfId="0" applyFont="1" applyAlignment="1">
      <alignment horizontal="center" vertical="center"/>
    </xf>
    <xf numFmtId="0" fontId="6" fillId="0" borderId="0" xfId="84" applyFont="1" applyAlignment="1">
      <alignment horizontal="center" vertical="center"/>
    </xf>
    <xf numFmtId="0" fontId="4" fillId="0" borderId="0" xfId="84" applyAlignment="1">
      <alignment horizontal="center" vertical="center"/>
    </xf>
    <xf numFmtId="0" fontId="31" fillId="0" borderId="0" xfId="69" quotePrefix="1" applyFont="1" applyAlignment="1">
      <alignment horizontal="center" vertical="center"/>
    </xf>
    <xf numFmtId="0" fontId="31" fillId="0" borderId="0" xfId="69" applyFont="1" applyAlignment="1">
      <alignment horizontal="center" vertical="center"/>
    </xf>
    <xf numFmtId="0" fontId="45" fillId="0" borderId="0" xfId="69" applyFont="1" applyAlignment="1">
      <alignment vertical="center" shrinkToFit="1"/>
    </xf>
    <xf numFmtId="0" fontId="44" fillId="0" borderId="0" xfId="69" applyFont="1">
      <alignment vertical="center"/>
    </xf>
    <xf numFmtId="0" fontId="96" fillId="0" borderId="0" xfId="69" applyFont="1">
      <alignment vertical="center"/>
    </xf>
    <xf numFmtId="0" fontId="98" fillId="0" borderId="0" xfId="71" applyFont="1" applyAlignment="1">
      <alignment vertical="top"/>
    </xf>
    <xf numFmtId="0" fontId="96" fillId="0" borderId="0" xfId="71" applyFont="1" applyAlignment="1">
      <alignment vertical="top"/>
    </xf>
    <xf numFmtId="0" fontId="96" fillId="0" borderId="0" xfId="71" applyFont="1" applyAlignment="1">
      <alignment vertical="distributed"/>
    </xf>
    <xf numFmtId="0" fontId="99" fillId="0" borderId="0" xfId="69" applyFont="1" applyAlignment="1">
      <alignment vertical="distributed" wrapText="1"/>
    </xf>
    <xf numFmtId="0" fontId="99" fillId="0" borderId="0" xfId="71" applyFont="1">
      <alignment vertical="center"/>
    </xf>
    <xf numFmtId="0" fontId="98" fillId="0" borderId="0" xfId="0" applyFont="1" applyAlignment="1">
      <alignment vertical="center"/>
    </xf>
    <xf numFmtId="0" fontId="100" fillId="0" borderId="0" xfId="69" applyFont="1">
      <alignment vertical="center"/>
    </xf>
    <xf numFmtId="0" fontId="98" fillId="0" borderId="0" xfId="69" applyFont="1" applyAlignment="1">
      <alignment vertical="center" shrinkToFit="1"/>
    </xf>
    <xf numFmtId="0" fontId="92" fillId="0" borderId="0" xfId="0" applyFont="1" applyAlignment="1">
      <alignment horizontal="left" vertical="center"/>
    </xf>
    <xf numFmtId="0" fontId="67" fillId="0" borderId="26" xfId="0" applyFont="1" applyBorder="1" applyAlignment="1">
      <alignment horizontal="center" vertical="center"/>
    </xf>
    <xf numFmtId="0" fontId="40" fillId="0" borderId="0" xfId="85" applyFont="1" applyAlignment="1">
      <alignment horizontal="center" vertical="top"/>
    </xf>
    <xf numFmtId="0" fontId="8" fillId="0" borderId="0" xfId="85" applyFont="1" applyAlignment="1">
      <alignment horizontal="center" vertical="top"/>
    </xf>
    <xf numFmtId="0" fontId="8" fillId="0" borderId="0" xfId="0" applyFont="1" applyAlignment="1">
      <alignment horizontal="left" vertical="top"/>
    </xf>
    <xf numFmtId="0" fontId="41" fillId="0" borderId="0" xfId="85" applyFont="1" applyAlignment="1">
      <alignment horizontal="left" vertical="top"/>
    </xf>
    <xf numFmtId="0" fontId="41" fillId="0" borderId="0" xfId="85" applyFont="1" applyAlignment="1">
      <alignment vertical="top"/>
    </xf>
    <xf numFmtId="0" fontId="67" fillId="0" borderId="26" xfId="0" applyFont="1" applyBorder="1" applyAlignment="1">
      <alignment horizontal="center" vertical="center" shrinkToFit="1"/>
    </xf>
    <xf numFmtId="0" fontId="8" fillId="0" borderId="0" xfId="85" applyFont="1" applyAlignment="1">
      <alignment vertical="top"/>
    </xf>
    <xf numFmtId="0" fontId="8" fillId="0" borderId="0" xfId="85" applyFont="1" applyAlignment="1">
      <alignment horizontal="left" vertical="top"/>
    </xf>
    <xf numFmtId="0" fontId="8" fillId="0" borderId="0" xfId="85" applyFont="1" applyAlignment="1">
      <alignment horizontal="left" vertical="top" shrinkToFit="1"/>
    </xf>
    <xf numFmtId="0" fontId="8" fillId="0" borderId="0" xfId="0" applyFont="1" applyAlignment="1">
      <alignment vertical="top"/>
    </xf>
    <xf numFmtId="0" fontId="92" fillId="0" borderId="0" xfId="0" applyFont="1" applyAlignment="1">
      <alignment vertical="center"/>
    </xf>
    <xf numFmtId="0" fontId="0" fillId="0" borderId="131" xfId="65" applyFont="1" applyBorder="1" applyAlignment="1">
      <alignment horizontal="center" vertical="center"/>
    </xf>
    <xf numFmtId="0" fontId="4" fillId="30" borderId="26" xfId="65" applyFill="1" applyBorder="1" applyAlignment="1">
      <alignment horizontal="center" vertical="center"/>
    </xf>
    <xf numFmtId="0" fontId="4" fillId="0" borderId="26" xfId="65" applyBorder="1" applyAlignment="1">
      <alignment horizontal="center" vertical="center"/>
    </xf>
    <xf numFmtId="0" fontId="4" fillId="0" borderId="65" xfId="65" applyBorder="1" applyAlignment="1">
      <alignment horizontal="center" vertical="center"/>
    </xf>
    <xf numFmtId="0" fontId="0" fillId="0" borderId="109" xfId="65" applyFont="1" applyBorder="1" applyAlignment="1">
      <alignment horizontal="center" vertical="center"/>
    </xf>
    <xf numFmtId="0" fontId="4" fillId="30" borderId="15" xfId="65" applyFill="1" applyBorder="1" applyAlignment="1">
      <alignment horizontal="center" vertical="center"/>
    </xf>
    <xf numFmtId="0" fontId="4" fillId="0" borderId="15" xfId="65" applyBorder="1" applyAlignment="1">
      <alignment horizontal="center" vertical="center"/>
    </xf>
    <xf numFmtId="0" fontId="4" fillId="0" borderId="36" xfId="65" applyBorder="1" applyAlignment="1">
      <alignment horizontal="center" vertical="center"/>
    </xf>
    <xf numFmtId="0" fontId="79" fillId="0" borderId="0" xfId="0" applyFont="1" applyAlignment="1">
      <alignment vertical="center" wrapText="1"/>
    </xf>
    <xf numFmtId="49" fontId="79" fillId="0" borderId="0" xfId="0" applyNumberFormat="1" applyFont="1" applyAlignment="1">
      <alignment horizontal="right" vertical="top"/>
    </xf>
    <xf numFmtId="0" fontId="79" fillId="0" borderId="0" xfId="0" applyFont="1" applyAlignment="1">
      <alignment vertical="top" wrapText="1"/>
    </xf>
    <xf numFmtId="49" fontId="102" fillId="0" borderId="0" xfId="0" applyNumberFormat="1" applyFont="1" applyAlignment="1">
      <alignment horizontal="right" vertical="center" wrapText="1"/>
    </xf>
    <xf numFmtId="49" fontId="102" fillId="0" borderId="0" xfId="0" applyNumberFormat="1" applyFont="1" applyAlignment="1">
      <alignment horizontal="right" vertical="top"/>
    </xf>
    <xf numFmtId="0" fontId="94" fillId="0" borderId="0" xfId="85" applyFont="1" applyAlignment="1">
      <alignment vertical="top"/>
    </xf>
    <xf numFmtId="0" fontId="68" fillId="0" borderId="58" xfId="0" applyFont="1" applyBorder="1" applyAlignment="1">
      <alignment horizontal="center" vertical="center"/>
    </xf>
    <xf numFmtId="0" fontId="68" fillId="0" borderId="78" xfId="0" applyFont="1" applyBorder="1" applyAlignment="1">
      <alignment horizontal="center" vertical="center"/>
    </xf>
    <xf numFmtId="0" fontId="68" fillId="0" borderId="66" xfId="0" applyFont="1" applyBorder="1" applyAlignment="1">
      <alignment vertical="center"/>
    </xf>
    <xf numFmtId="0" fontId="68" fillId="0" borderId="87" xfId="0" applyFont="1" applyBorder="1" applyAlignment="1">
      <alignment horizontal="center" vertical="center"/>
    </xf>
    <xf numFmtId="0" fontId="68" fillId="0" borderId="76" xfId="0" applyFont="1" applyBorder="1" applyAlignment="1">
      <alignment vertical="center"/>
    </xf>
    <xf numFmtId="0" fontId="93" fillId="0" borderId="78" xfId="0" applyFont="1" applyBorder="1" applyAlignment="1">
      <alignment horizontal="center" vertical="center"/>
    </xf>
    <xf numFmtId="0" fontId="93" fillId="0" borderId="66" xfId="0" applyFont="1" applyBorder="1" applyAlignment="1">
      <alignment vertical="center"/>
    </xf>
    <xf numFmtId="0" fontId="93" fillId="0" borderId="30" xfId="0" applyFont="1" applyBorder="1" applyAlignment="1">
      <alignment horizontal="center" vertical="center"/>
    </xf>
    <xf numFmtId="56" fontId="70" fillId="0" borderId="13" xfId="0" applyNumberFormat="1" applyFont="1" applyBorder="1" applyAlignment="1">
      <alignment vertical="center" shrinkToFit="1"/>
    </xf>
    <xf numFmtId="0" fontId="57" fillId="0" borderId="17" xfId="72" applyFont="1" applyBorder="1" applyAlignment="1">
      <alignment vertical="center"/>
    </xf>
    <xf numFmtId="0" fontId="57" fillId="0" borderId="113" xfId="72" applyFont="1" applyBorder="1" applyAlignment="1">
      <alignment vertical="center"/>
    </xf>
    <xf numFmtId="0" fontId="57" fillId="0" borderId="114" xfId="72" applyFont="1" applyBorder="1" applyAlignment="1">
      <alignment vertical="center"/>
    </xf>
    <xf numFmtId="0" fontId="57" fillId="0" borderId="95" xfId="72" applyFont="1" applyBorder="1" applyAlignment="1">
      <alignment vertical="center"/>
    </xf>
    <xf numFmtId="0" fontId="93" fillId="0" borderId="87" xfId="0" applyFont="1" applyBorder="1" applyAlignment="1">
      <alignment horizontal="center" vertical="center"/>
    </xf>
    <xf numFmtId="0" fontId="68" fillId="0" borderId="57" xfId="0" applyFont="1" applyBorder="1" applyAlignment="1">
      <alignment horizontal="center" vertical="center"/>
    </xf>
    <xf numFmtId="0" fontId="56" fillId="0" borderId="46" xfId="0" applyFont="1" applyBorder="1" applyAlignment="1">
      <alignment horizontal="center" vertical="center" shrinkToFit="1"/>
    </xf>
    <xf numFmtId="0" fontId="56" fillId="0" borderId="52" xfId="0" applyFont="1" applyBorder="1" applyAlignment="1">
      <alignment horizontal="center" vertical="center" shrinkToFit="1"/>
    </xf>
    <xf numFmtId="0" fontId="92" fillId="0" borderId="0" xfId="75" applyFont="1" applyAlignment="1">
      <alignment horizontal="right" vertical="center"/>
    </xf>
    <xf numFmtId="0" fontId="0" fillId="0" borderId="0" xfId="72" applyFont="1" applyAlignment="1">
      <alignment vertical="center"/>
    </xf>
    <xf numFmtId="0" fontId="68" fillId="0" borderId="169" xfId="0" applyFont="1" applyBorder="1" applyAlignment="1">
      <alignment vertical="center"/>
    </xf>
    <xf numFmtId="0" fontId="88" fillId="0" borderId="169" xfId="0" applyFont="1" applyBorder="1" applyAlignment="1">
      <alignment vertical="center"/>
    </xf>
    <xf numFmtId="0" fontId="93" fillId="0" borderId="170" xfId="0" applyFont="1" applyBorder="1" applyAlignment="1">
      <alignment vertical="center"/>
    </xf>
    <xf numFmtId="0" fontId="93" fillId="0" borderId="170" xfId="0" applyFont="1" applyBorder="1" applyAlignment="1">
      <alignment horizontal="center" vertical="center"/>
    </xf>
    <xf numFmtId="0" fontId="88" fillId="0" borderId="171" xfId="0" applyFont="1" applyBorder="1" applyAlignment="1">
      <alignment vertical="center"/>
    </xf>
    <xf numFmtId="0" fontId="68" fillId="0" borderId="172" xfId="0" applyFont="1" applyBorder="1" applyAlignment="1">
      <alignment vertical="center"/>
    </xf>
    <xf numFmtId="0" fontId="68" fillId="0" borderId="172" xfId="0" applyFont="1" applyBorder="1" applyAlignment="1">
      <alignment horizontal="center" vertical="center"/>
    </xf>
    <xf numFmtId="0" fontId="68" fillId="0" borderId="173" xfId="0" applyFont="1" applyBorder="1" applyAlignment="1">
      <alignment vertical="center"/>
    </xf>
    <xf numFmtId="0" fontId="68" fillId="0" borderId="170" xfId="0" applyFont="1" applyBorder="1" applyAlignment="1">
      <alignment vertical="center"/>
    </xf>
    <xf numFmtId="0" fontId="79" fillId="0" borderId="57" xfId="0" applyFont="1" applyBorder="1" applyAlignment="1">
      <alignment horizontal="left" vertical="center"/>
    </xf>
    <xf numFmtId="0" fontId="68" fillId="0" borderId="57" xfId="0" applyFont="1" applyBorder="1" applyAlignment="1">
      <alignment horizontal="center" vertical="center" shrinkToFit="1"/>
    </xf>
    <xf numFmtId="0" fontId="93" fillId="0" borderId="175" xfId="0" applyFont="1" applyBorder="1" applyAlignment="1">
      <alignment horizontal="center" vertical="center"/>
    </xf>
    <xf numFmtId="0" fontId="93" fillId="0" borderId="174" xfId="0" applyFont="1" applyBorder="1" applyAlignment="1">
      <alignment horizontal="center" vertical="center"/>
    </xf>
    <xf numFmtId="0" fontId="68" fillId="0" borderId="176" xfId="0" applyFont="1" applyBorder="1" applyAlignment="1">
      <alignment horizontal="center" vertical="center" shrinkToFit="1"/>
    </xf>
    <xf numFmtId="0" fontId="88" fillId="0" borderId="178" xfId="0" applyFont="1" applyBorder="1" applyAlignment="1">
      <alignment horizontal="left" vertical="center"/>
    </xf>
    <xf numFmtId="18" fontId="79" fillId="0" borderId="177" xfId="0" quotePrefix="1" applyNumberFormat="1" applyFont="1" applyBorder="1" applyAlignment="1">
      <alignment horizontal="right" vertical="center"/>
    </xf>
    <xf numFmtId="0" fontId="88" fillId="0" borderId="57" xfId="0" applyFont="1" applyBorder="1" applyAlignment="1">
      <alignment vertical="center"/>
    </xf>
    <xf numFmtId="0" fontId="68" fillId="0" borderId="57" xfId="0" applyFont="1" applyBorder="1" applyAlignment="1">
      <alignment vertical="center"/>
    </xf>
    <xf numFmtId="0" fontId="93" fillId="0" borderId="175" xfId="0" applyFont="1" applyBorder="1" applyAlignment="1">
      <alignment vertical="center"/>
    </xf>
    <xf numFmtId="0" fontId="68" fillId="0" borderId="174" xfId="0" applyFont="1" applyBorder="1" applyAlignment="1">
      <alignment vertical="center"/>
    </xf>
    <xf numFmtId="0" fontId="93" fillId="0" borderId="174" xfId="0" applyFont="1" applyBorder="1" applyAlignment="1">
      <alignment vertical="center"/>
    </xf>
    <xf numFmtId="0" fontId="68" fillId="0" borderId="174" xfId="0" applyFont="1" applyBorder="1" applyAlignment="1">
      <alignment horizontal="center" vertical="center" shrinkToFit="1"/>
    </xf>
    <xf numFmtId="0" fontId="88" fillId="0" borderId="177" xfId="0" applyFont="1" applyBorder="1" applyAlignment="1">
      <alignment horizontal="left" vertical="center"/>
    </xf>
    <xf numFmtId="0" fontId="68" fillId="0" borderId="177" xfId="0" applyFont="1" applyBorder="1" applyAlignment="1">
      <alignment vertical="center"/>
    </xf>
    <xf numFmtId="0" fontId="88" fillId="0" borderId="179" xfId="0" applyFont="1" applyBorder="1" applyAlignment="1">
      <alignment horizontal="left" vertical="center"/>
    </xf>
    <xf numFmtId="0" fontId="93" fillId="0" borderId="76" xfId="0" applyFont="1" applyBorder="1" applyAlignment="1">
      <alignment vertical="center"/>
    </xf>
    <xf numFmtId="0" fontId="93" fillId="0" borderId="17" xfId="0" applyFont="1" applyBorder="1" applyAlignment="1">
      <alignment vertical="center"/>
    </xf>
    <xf numFmtId="0" fontId="68" fillId="0" borderId="175" xfId="0" applyFont="1" applyBorder="1" applyAlignment="1">
      <alignment vertical="center"/>
    </xf>
    <xf numFmtId="0" fontId="68" fillId="0" borderId="176" xfId="0" applyFont="1" applyBorder="1" applyAlignment="1">
      <alignment horizontal="center" vertical="center" wrapText="1"/>
    </xf>
    <xf numFmtId="0" fontId="68" fillId="0" borderId="178" xfId="0" applyFont="1" applyBorder="1" applyAlignment="1">
      <alignment vertical="center"/>
    </xf>
    <xf numFmtId="0" fontId="70" fillId="0" borderId="0" xfId="0" applyFont="1" applyAlignment="1">
      <alignment vertical="center"/>
    </xf>
    <xf numFmtId="0" fontId="67" fillId="0" borderId="26" xfId="0" applyFont="1" applyBorder="1" applyAlignment="1">
      <alignment horizontal="center" vertical="center"/>
    </xf>
    <xf numFmtId="0" fontId="68" fillId="0" borderId="26" xfId="0" applyFont="1" applyBorder="1" applyAlignment="1">
      <alignment horizontal="center" vertical="center" wrapText="1"/>
    </xf>
    <xf numFmtId="0" fontId="68" fillId="0" borderId="26" xfId="0" applyFont="1" applyBorder="1" applyAlignment="1">
      <alignment horizontal="center" vertical="center"/>
    </xf>
    <xf numFmtId="0" fontId="72" fillId="0" borderId="0" xfId="0" applyFont="1" applyAlignment="1">
      <alignment horizontal="center" vertical="center"/>
    </xf>
    <xf numFmtId="0" fontId="70" fillId="0" borderId="116" xfId="0" applyFont="1" applyBorder="1" applyAlignment="1">
      <alignment horizontal="center" vertical="center" shrinkToFit="1"/>
    </xf>
    <xf numFmtId="0" fontId="70" fillId="0" borderId="117" xfId="0" applyFont="1" applyBorder="1" applyAlignment="1">
      <alignment horizontal="center" vertical="center" shrinkToFit="1"/>
    </xf>
    <xf numFmtId="0" fontId="69" fillId="0" borderId="118" xfId="0" applyFont="1" applyBorder="1" applyAlignment="1">
      <alignment horizontal="center" vertical="center" shrinkToFit="1"/>
    </xf>
    <xf numFmtId="0" fontId="69" fillId="0" borderId="117" xfId="0" applyFont="1" applyBorder="1" applyAlignment="1">
      <alignment horizontal="center" vertical="center" shrinkToFit="1"/>
    </xf>
    <xf numFmtId="0" fontId="70" fillId="0" borderId="118" xfId="0" applyFont="1" applyBorder="1" applyAlignment="1">
      <alignment horizontal="center" vertical="center" shrinkToFit="1"/>
    </xf>
    <xf numFmtId="0" fontId="8" fillId="0" borderId="0" xfId="85" applyFont="1" applyAlignment="1">
      <alignment vertical="top" wrapText="1"/>
    </xf>
    <xf numFmtId="0" fontId="8" fillId="0" borderId="0" xfId="85" applyFont="1" applyAlignment="1">
      <alignment vertical="top"/>
    </xf>
    <xf numFmtId="0" fontId="8" fillId="0" borderId="0" xfId="85" applyFont="1" applyAlignment="1">
      <alignment horizontal="left" vertical="top"/>
    </xf>
    <xf numFmtId="0" fontId="8" fillId="0" borderId="0" xfId="85" applyFont="1" applyAlignment="1">
      <alignment horizontal="left" vertical="top" wrapText="1"/>
    </xf>
    <xf numFmtId="0" fontId="94" fillId="0" borderId="0" xfId="0" applyFont="1" applyAlignment="1">
      <alignment horizontal="left" vertical="top" wrapText="1"/>
    </xf>
    <xf numFmtId="0" fontId="94" fillId="0" borderId="0" xfId="0" applyFont="1" applyAlignment="1">
      <alignment horizontal="left" vertical="top"/>
    </xf>
    <xf numFmtId="0" fontId="39" fillId="0" borderId="0" xfId="0" applyFont="1" applyAlignment="1">
      <alignment horizontal="center" vertical="top"/>
    </xf>
    <xf numFmtId="0" fontId="94" fillId="0" borderId="0" xfId="85" applyFont="1" applyAlignment="1">
      <alignment vertical="top" wrapText="1"/>
    </xf>
    <xf numFmtId="0" fontId="94" fillId="0" borderId="0" xfId="85" applyFont="1" applyAlignment="1">
      <alignment vertical="top"/>
    </xf>
    <xf numFmtId="0" fontId="94" fillId="0" borderId="0" xfId="85" applyFont="1" applyAlignment="1">
      <alignment horizontal="left" vertical="top"/>
    </xf>
    <xf numFmtId="0" fontId="8" fillId="0" borderId="0" xfId="85" applyFont="1" applyAlignment="1">
      <alignment horizontal="left" vertical="top" shrinkToFit="1"/>
    </xf>
    <xf numFmtId="0" fontId="94" fillId="0" borderId="0" xfId="0" applyFont="1" applyAlignment="1">
      <alignment vertical="top"/>
    </xf>
    <xf numFmtId="0" fontId="8" fillId="0" borderId="0" xfId="0" applyFont="1" applyAlignment="1">
      <alignment vertical="top" wrapText="1"/>
    </xf>
    <xf numFmtId="0" fontId="8" fillId="0" borderId="0" xfId="0" applyFont="1" applyAlignment="1">
      <alignment vertical="top"/>
    </xf>
    <xf numFmtId="0" fontId="7" fillId="0" borderId="0" xfId="85" applyFont="1" applyAlignment="1">
      <alignment vertical="top" shrinkToFit="1"/>
    </xf>
    <xf numFmtId="0" fontId="50" fillId="0" borderId="0" xfId="71" applyFont="1" applyAlignment="1">
      <alignment horizontal="left" vertical="distributed" wrapText="1"/>
    </xf>
    <xf numFmtId="0" fontId="50" fillId="0" borderId="0" xfId="71" applyFont="1" applyAlignment="1">
      <alignment vertical="distributed" wrapText="1"/>
    </xf>
    <xf numFmtId="0" fontId="45" fillId="0" borderId="0" xfId="69" applyFont="1" applyAlignment="1">
      <alignment horizontal="left" vertical="center"/>
    </xf>
    <xf numFmtId="0" fontId="50" fillId="0" borderId="0" xfId="69" applyFont="1" applyAlignment="1">
      <alignment vertical="center" wrapText="1"/>
    </xf>
    <xf numFmtId="0" fontId="31" fillId="0" borderId="0" xfId="69" quotePrefix="1" applyFont="1" applyAlignment="1">
      <alignment horizontal="center" vertical="center"/>
    </xf>
    <xf numFmtId="0" fontId="31" fillId="0" borderId="0" xfId="69" applyFont="1" applyAlignment="1">
      <alignment horizontal="center" vertical="center"/>
    </xf>
    <xf numFmtId="0" fontId="98" fillId="0" borderId="0" xfId="71" applyFont="1" applyAlignment="1">
      <alignment horizontal="left" vertical="top" wrapText="1"/>
    </xf>
    <xf numFmtId="0" fontId="63" fillId="0" borderId="0" xfId="71" applyFont="1" applyAlignment="1">
      <alignment horizontal="left" vertical="top" wrapText="1"/>
    </xf>
    <xf numFmtId="0" fontId="50" fillId="0" borderId="0" xfId="71" applyFont="1" applyAlignment="1">
      <alignment horizontal="left" vertical="top" wrapText="1"/>
    </xf>
    <xf numFmtId="0" fontId="50" fillId="0" borderId="0" xfId="74" applyFont="1" applyAlignment="1">
      <alignment horizontal="left" vertical="center" shrinkToFit="1"/>
    </xf>
    <xf numFmtId="0" fontId="50" fillId="0" borderId="0" xfId="69" applyFont="1" applyAlignment="1">
      <alignment horizontal="left" vertical="distributed" wrapText="1"/>
    </xf>
    <xf numFmtId="0" fontId="50" fillId="0" borderId="0" xfId="69" applyFont="1" applyAlignment="1">
      <alignment horizontal="left" vertical="distributed"/>
    </xf>
    <xf numFmtId="0" fontId="48" fillId="0" borderId="0" xfId="69" applyFont="1" applyAlignment="1">
      <alignment horizontal="left" vertical="distributed" wrapText="1"/>
    </xf>
    <xf numFmtId="0" fontId="45" fillId="0" borderId="0" xfId="69" applyFont="1" applyAlignment="1">
      <alignment horizontal="center" vertical="center"/>
    </xf>
    <xf numFmtId="0" fontId="63" fillId="0" borderId="0" xfId="71" applyFont="1" applyAlignment="1">
      <alignment horizontal="left" vertical="center" wrapText="1"/>
    </xf>
    <xf numFmtId="0" fontId="50" fillId="0" borderId="0" xfId="69" applyFont="1" applyAlignment="1">
      <alignment horizontal="center" vertical="center"/>
    </xf>
    <xf numFmtId="0" fontId="45" fillId="0" borderId="0" xfId="69" applyFont="1" applyAlignment="1">
      <alignment horizontal="center" vertical="center" shrinkToFit="1"/>
    </xf>
    <xf numFmtId="0" fontId="99" fillId="0" borderId="0" xfId="69" applyFont="1" applyAlignment="1">
      <alignment horizontal="left" vertical="distributed" wrapText="1"/>
    </xf>
    <xf numFmtId="0" fontId="99" fillId="0" borderId="0" xfId="71" applyFont="1" applyAlignment="1">
      <alignment horizontal="left" vertical="center" wrapText="1"/>
    </xf>
    <xf numFmtId="0" fontId="99" fillId="0" borderId="0" xfId="71" applyFont="1" applyAlignment="1">
      <alignment horizontal="left" vertical="top" wrapText="1"/>
    </xf>
    <xf numFmtId="0" fontId="45" fillId="0" borderId="0" xfId="69" applyFont="1" applyAlignment="1">
      <alignment vertical="center" shrinkToFit="1"/>
    </xf>
    <xf numFmtId="0" fontId="48" fillId="0" borderId="0" xfId="69" applyFont="1" applyAlignment="1">
      <alignment horizontal="center" vertical="center" shrinkToFit="1"/>
    </xf>
    <xf numFmtId="56" fontId="44" fillId="0" borderId="0" xfId="69" applyNumberFormat="1" applyFont="1" applyAlignment="1">
      <alignment horizontal="center" vertical="center"/>
    </xf>
    <xf numFmtId="0" fontId="44" fillId="0" borderId="0" xfId="69" applyFont="1" applyAlignment="1">
      <alignment horizontal="center" vertical="center"/>
    </xf>
    <xf numFmtId="20" fontId="44" fillId="0" borderId="0" xfId="69" applyNumberFormat="1" applyFont="1" applyAlignment="1">
      <alignment horizontal="left" vertical="center"/>
    </xf>
    <xf numFmtId="0" fontId="44" fillId="0" borderId="0" xfId="69" applyFont="1" applyAlignment="1">
      <alignment horizontal="center" vertical="center" shrinkToFit="1"/>
    </xf>
    <xf numFmtId="0" fontId="43" fillId="0" borderId="0" xfId="69" applyFont="1" applyAlignment="1">
      <alignment horizontal="left" vertical="center" wrapText="1" shrinkToFit="1"/>
    </xf>
    <xf numFmtId="0" fontId="43" fillId="0" borderId="0" xfId="69" applyFont="1" applyAlignment="1">
      <alignment horizontal="left" vertical="center" shrinkToFit="1"/>
    </xf>
    <xf numFmtId="0" fontId="42" fillId="0" borderId="0" xfId="69" applyFont="1" applyAlignment="1">
      <alignment horizontal="center" vertical="center"/>
    </xf>
    <xf numFmtId="0" fontId="30" fillId="0" borderId="0" xfId="69" applyFont="1" applyAlignment="1">
      <alignment horizontal="center" vertical="center" shrinkToFit="1"/>
    </xf>
    <xf numFmtId="0" fontId="44" fillId="0" borderId="0" xfId="69" applyFont="1" applyAlignment="1">
      <alignment horizontal="right" vertical="center"/>
    </xf>
    <xf numFmtId="0" fontId="44" fillId="0" borderId="0" xfId="69" applyFont="1" applyAlignment="1">
      <alignment horizontal="left" vertical="center" shrinkToFit="1"/>
    </xf>
    <xf numFmtId="0" fontId="70" fillId="0" borderId="124" xfId="0" applyFont="1" applyBorder="1" applyAlignment="1">
      <alignment vertical="center" shrinkToFit="1"/>
    </xf>
    <xf numFmtId="0" fontId="70" fillId="0" borderId="126" xfId="0" applyFont="1" applyBorder="1" applyAlignment="1">
      <alignment vertical="center" shrinkToFit="1"/>
    </xf>
    <xf numFmtId="0" fontId="70" fillId="0" borderId="37" xfId="0" applyFont="1" applyBorder="1" applyAlignment="1">
      <alignment vertical="center" shrinkToFit="1"/>
    </xf>
    <xf numFmtId="0" fontId="69" fillId="0" borderId="116" xfId="66" applyFont="1" applyBorder="1" applyAlignment="1">
      <alignment horizontal="center" vertical="center" shrinkToFit="1"/>
    </xf>
    <xf numFmtId="0" fontId="69" fillId="0" borderId="118" xfId="66" applyFont="1" applyBorder="1" applyAlignment="1">
      <alignment horizontal="center" vertical="center" shrinkToFit="1"/>
    </xf>
    <xf numFmtId="0" fontId="69" fillId="0" borderId="117" xfId="66" applyFont="1" applyBorder="1" applyAlignment="1">
      <alignment horizontal="center" vertical="center" shrinkToFit="1"/>
    </xf>
    <xf numFmtId="0" fontId="70" fillId="0" borderId="143" xfId="0" applyFont="1" applyBorder="1" applyAlignment="1">
      <alignment horizontal="center" vertical="center" shrinkToFit="1"/>
    </xf>
    <xf numFmtId="0" fontId="70" fillId="0" borderId="131" xfId="0" applyFont="1" applyBorder="1" applyAlignment="1">
      <alignment horizontal="center" vertical="center" shrinkToFit="1"/>
    </xf>
    <xf numFmtId="0" fontId="70" fillId="0" borderId="109" xfId="0" applyFont="1" applyBorder="1" applyAlignment="1">
      <alignment horizontal="center" vertical="center" shrinkToFit="1"/>
    </xf>
    <xf numFmtId="0" fontId="70" fillId="0" borderId="11" xfId="0" applyFont="1" applyBorder="1" applyAlignment="1">
      <alignment horizontal="center" vertical="center" shrinkToFit="1"/>
    </xf>
    <xf numFmtId="0" fontId="77" fillId="0" borderId="0" xfId="78" applyFont="1" applyAlignment="1">
      <alignment horizontal="center" vertical="center"/>
    </xf>
    <xf numFmtId="0" fontId="67" fillId="0" borderId="121" xfId="78" applyFont="1" applyBorder="1" applyAlignment="1">
      <alignment horizontal="center" vertical="center" shrinkToFit="1"/>
    </xf>
    <xf numFmtId="0" fontId="71" fillId="0" borderId="0" xfId="78" applyFont="1" applyAlignment="1">
      <alignment horizontal="center" vertical="center" shrinkToFit="1"/>
    </xf>
    <xf numFmtId="0" fontId="67" fillId="0" borderId="119" xfId="78" applyFont="1" applyBorder="1" applyAlignment="1">
      <alignment horizontal="center" vertical="center"/>
    </xf>
    <xf numFmtId="0" fontId="67" fillId="0" borderId="120" xfId="78" applyFont="1" applyBorder="1" applyAlignment="1">
      <alignment horizontal="center" vertical="center"/>
    </xf>
    <xf numFmtId="0" fontId="67" fillId="0" borderId="82" xfId="78" applyFont="1" applyBorder="1" applyAlignment="1">
      <alignment horizontal="center" vertical="center" shrinkToFit="1"/>
    </xf>
    <xf numFmtId="0" fontId="67" fillId="0" borderId="78" xfId="78" applyFont="1" applyBorder="1" applyAlignment="1">
      <alignment horizontal="center" vertical="center" shrinkToFit="1"/>
    </xf>
    <xf numFmtId="0" fontId="67" fillId="0" borderId="76" xfId="78" applyFont="1" applyBorder="1" applyAlignment="1">
      <alignment horizontal="center" vertical="center" shrinkToFit="1"/>
    </xf>
    <xf numFmtId="0" fontId="67" fillId="0" borderId="87" xfId="78" applyFont="1" applyBorder="1" applyAlignment="1">
      <alignment horizontal="center" vertical="center" shrinkToFit="1"/>
    </xf>
    <xf numFmtId="0" fontId="67" fillId="29" borderId="88" xfId="78" applyFont="1" applyFill="1" applyBorder="1" applyAlignment="1">
      <alignment horizontal="center" vertical="center" shrinkToFit="1"/>
    </xf>
    <xf numFmtId="0" fontId="67" fillId="29" borderId="91" xfId="78" applyFont="1" applyFill="1" applyBorder="1" applyAlignment="1">
      <alignment horizontal="center" vertical="center" shrinkToFit="1"/>
    </xf>
    <xf numFmtId="0" fontId="67" fillId="0" borderId="0" xfId="78" applyFont="1" applyAlignment="1">
      <alignment horizontal="center" vertical="center" shrinkToFit="1"/>
    </xf>
    <xf numFmtId="0" fontId="67" fillId="0" borderId="11" xfId="0" applyFont="1" applyBorder="1" applyAlignment="1">
      <alignment horizontal="center" vertical="center" shrinkToFit="1"/>
    </xf>
    <xf numFmtId="0" fontId="68" fillId="0" borderId="88" xfId="78" applyFont="1" applyBorder="1" applyAlignment="1">
      <alignment horizontal="center" vertical="center" shrinkToFit="1"/>
    </xf>
    <xf numFmtId="0" fontId="68" fillId="0" borderId="91" xfId="78" applyFont="1" applyBorder="1" applyAlignment="1">
      <alignment horizontal="center" vertical="center" shrinkToFit="1"/>
    </xf>
    <xf numFmtId="0" fontId="67" fillId="0" borderId="88" xfId="78" applyFont="1" applyBorder="1" applyAlignment="1">
      <alignment horizontal="center" vertical="center" shrinkToFit="1"/>
    </xf>
    <xf numFmtId="0" fontId="67" fillId="0" borderId="91" xfId="78" applyFont="1" applyBorder="1" applyAlignment="1">
      <alignment horizontal="center" vertical="center" shrinkToFit="1"/>
    </xf>
    <xf numFmtId="0" fontId="68" fillId="0" borderId="82" xfId="78" applyFont="1" applyBorder="1" applyAlignment="1">
      <alignment horizontal="center" vertical="center" shrinkToFit="1"/>
    </xf>
    <xf numFmtId="0" fontId="68" fillId="0" borderId="78" xfId="78" applyFont="1" applyBorder="1" applyAlignment="1">
      <alignment horizontal="center" vertical="center" shrinkToFit="1"/>
    </xf>
    <xf numFmtId="0" fontId="68" fillId="0" borderId="76" xfId="78" applyFont="1" applyBorder="1" applyAlignment="1">
      <alignment horizontal="center" vertical="center" shrinkToFit="1"/>
    </xf>
    <xf numFmtId="0" fontId="68" fillId="0" borderId="87" xfId="78" applyFont="1" applyBorder="1" applyAlignment="1">
      <alignment horizontal="center" vertical="center" shrinkToFit="1"/>
    </xf>
    <xf numFmtId="0" fontId="102" fillId="0" borderId="0" xfId="0" applyFont="1" applyAlignment="1">
      <alignment horizontal="left" vertical="center" wrapText="1"/>
    </xf>
    <xf numFmtId="0" fontId="68" fillId="0" borderId="122" xfId="0" applyFont="1" applyBorder="1" applyAlignment="1">
      <alignment horizontal="center" vertical="center" shrinkToFit="1"/>
    </xf>
    <xf numFmtId="0" fontId="68" fillId="0" borderId="117" xfId="0" applyFont="1" applyBorder="1" applyAlignment="1">
      <alignment horizontal="center" vertical="center" shrinkToFit="1"/>
    </xf>
    <xf numFmtId="0" fontId="68" fillId="0" borderId="124" xfId="0" applyFont="1" applyBorder="1" applyAlignment="1">
      <alignment horizontal="center" vertical="center" shrinkToFit="1"/>
    </xf>
    <xf numFmtId="0" fontId="68" fillId="0" borderId="125" xfId="0" applyFont="1" applyBorder="1" applyAlignment="1">
      <alignment horizontal="center" vertical="center" shrinkToFit="1"/>
    </xf>
    <xf numFmtId="0" fontId="68" fillId="0" borderId="37" xfId="0" applyFont="1" applyBorder="1" applyAlignment="1">
      <alignment horizontal="center" vertical="center" shrinkToFit="1"/>
    </xf>
    <xf numFmtId="0" fontId="68" fillId="0" borderId="123" xfId="0" applyFont="1" applyBorder="1" applyAlignment="1">
      <alignment horizontal="center" vertical="center" shrinkToFit="1"/>
    </xf>
    <xf numFmtId="0" fontId="85" fillId="0" borderId="59" xfId="0" applyFont="1" applyBorder="1" applyAlignment="1">
      <alignment horizontal="center" vertical="center" shrinkToFit="1"/>
    </xf>
    <xf numFmtId="0" fontId="85" fillId="0" borderId="58" xfId="0" applyFont="1" applyBorder="1" applyAlignment="1">
      <alignment horizontal="center" vertical="center" shrinkToFit="1"/>
    </xf>
    <xf numFmtId="0" fontId="85" fillId="0" borderId="60" xfId="0" applyFont="1" applyBorder="1" applyAlignment="1">
      <alignment horizontal="center" vertical="center" shrinkToFit="1"/>
    </xf>
    <xf numFmtId="0" fontId="85" fillId="0" borderId="94" xfId="0" applyFont="1" applyBorder="1" applyAlignment="1">
      <alignment horizontal="center" vertical="center" shrinkToFit="1"/>
    </xf>
    <xf numFmtId="0" fontId="85" fillId="0" borderId="17" xfId="0" applyFont="1" applyBorder="1" applyAlignment="1">
      <alignment horizontal="center" vertical="center" shrinkToFit="1"/>
    </xf>
    <xf numFmtId="0" fontId="85" fillId="0" borderId="95" xfId="0" applyFont="1" applyBorder="1" applyAlignment="1">
      <alignment horizontal="center" vertical="center" shrinkToFit="1"/>
    </xf>
    <xf numFmtId="20" fontId="84" fillId="0" borderId="82" xfId="0" applyNumberFormat="1" applyFont="1" applyBorder="1" applyAlignment="1">
      <alignment horizontal="right" vertical="center"/>
    </xf>
    <xf numFmtId="20" fontId="84" fillId="0" borderId="76" xfId="0" applyNumberFormat="1" applyFont="1" applyBorder="1" applyAlignment="1">
      <alignment horizontal="right" vertical="center"/>
    </xf>
    <xf numFmtId="0" fontId="78" fillId="0" borderId="0" xfId="0" applyFont="1" applyAlignment="1">
      <alignment horizontal="left" vertical="center"/>
    </xf>
    <xf numFmtId="0" fontId="68" fillId="0" borderId="118" xfId="0" applyFont="1" applyBorder="1" applyAlignment="1">
      <alignment horizontal="center" vertical="center" shrinkToFit="1"/>
    </xf>
    <xf numFmtId="0" fontId="78" fillId="0" borderId="69" xfId="0" applyFont="1" applyBorder="1" applyAlignment="1">
      <alignment horizontal="center" vertical="center" shrinkToFit="1"/>
    </xf>
    <xf numFmtId="0" fontId="78" fillId="0" borderId="70" xfId="0" applyFont="1" applyBorder="1" applyAlignment="1">
      <alignment horizontal="center" vertical="center" shrinkToFit="1"/>
    </xf>
    <xf numFmtId="0" fontId="78" fillId="0" borderId="71" xfId="0" applyFont="1" applyBorder="1" applyAlignment="1">
      <alignment horizontal="center" vertical="center" shrinkToFit="1"/>
    </xf>
    <xf numFmtId="0" fontId="68" fillId="0" borderId="126" xfId="0" applyFont="1" applyBorder="1" applyAlignment="1">
      <alignment horizontal="center" vertical="center" shrinkToFit="1"/>
    </xf>
    <xf numFmtId="0" fontId="83" fillId="0" borderId="18" xfId="0" applyFont="1" applyBorder="1" applyAlignment="1">
      <alignment horizontal="center" vertical="center"/>
    </xf>
    <xf numFmtId="0" fontId="83" fillId="0" borderId="19" xfId="0" applyFont="1" applyBorder="1" applyAlignment="1">
      <alignment horizontal="center" vertical="center"/>
    </xf>
    <xf numFmtId="0" fontId="83" fillId="0" borderId="18" xfId="0" applyFont="1" applyBorder="1" applyAlignment="1">
      <alignment horizontal="center" vertical="center" wrapText="1"/>
    </xf>
    <xf numFmtId="0" fontId="83" fillId="0" borderId="19" xfId="0" applyFont="1" applyBorder="1" applyAlignment="1">
      <alignment horizontal="center" vertical="center" wrapText="1"/>
    </xf>
    <xf numFmtId="0" fontId="83" fillId="0" borderId="21" xfId="0" applyFont="1" applyBorder="1" applyAlignment="1">
      <alignment horizontal="center" vertical="center" wrapText="1"/>
    </xf>
    <xf numFmtId="0" fontId="82" fillId="0" borderId="69" xfId="0" applyFont="1" applyBorder="1" applyAlignment="1">
      <alignment horizontal="center" vertical="center"/>
    </xf>
    <xf numFmtId="0" fontId="82" fillId="0" borderId="70" xfId="0" applyFont="1" applyBorder="1" applyAlignment="1">
      <alignment horizontal="center" vertical="center"/>
    </xf>
    <xf numFmtId="0" fontId="82" fillId="0" borderId="71" xfId="0" applyFont="1" applyBorder="1" applyAlignment="1">
      <alignment horizontal="center" vertical="center"/>
    </xf>
    <xf numFmtId="0" fontId="82" fillId="0" borderId="18" xfId="0" applyFont="1" applyBorder="1" applyAlignment="1">
      <alignment horizontal="center" vertical="center"/>
    </xf>
    <xf numFmtId="0" fontId="82" fillId="0" borderId="19" xfId="0" applyFont="1" applyBorder="1" applyAlignment="1">
      <alignment horizontal="center" vertical="center"/>
    </xf>
    <xf numFmtId="0" fontId="82" fillId="0" borderId="21" xfId="0" applyFont="1" applyBorder="1" applyAlignment="1">
      <alignment horizontal="center" vertical="center"/>
    </xf>
    <xf numFmtId="0" fontId="102" fillId="0" borderId="0" xfId="0" applyFont="1" applyAlignment="1">
      <alignment vertical="top" wrapText="1"/>
    </xf>
    <xf numFmtId="0" fontId="79" fillId="0" borderId="103" xfId="77" applyFont="1" applyBorder="1" applyAlignment="1">
      <alignment horizontal="center" vertical="center" shrinkToFit="1"/>
    </xf>
    <xf numFmtId="0" fontId="79" fillId="0" borderId="137" xfId="77" applyFont="1" applyBorder="1" applyAlignment="1">
      <alignment horizontal="center" vertical="center" shrinkToFit="1"/>
    </xf>
    <xf numFmtId="0" fontId="79" fillId="0" borderId="102" xfId="77" applyFont="1" applyBorder="1" applyAlignment="1">
      <alignment horizontal="center" vertical="center" shrinkToFit="1"/>
    </xf>
    <xf numFmtId="0" fontId="70" fillId="0" borderId="138" xfId="75" applyFont="1" applyBorder="1" applyAlignment="1">
      <alignment horizontal="center" vertical="center" shrinkToFit="1"/>
    </xf>
    <xf numFmtId="0" fontId="70" fillId="0" borderId="128" xfId="75" applyFont="1" applyBorder="1" applyAlignment="1">
      <alignment horizontal="center" vertical="center" shrinkToFit="1"/>
    </xf>
    <xf numFmtId="0" fontId="79" fillId="0" borderId="74" xfId="77" applyFont="1" applyBorder="1" applyAlignment="1">
      <alignment horizontal="center" vertical="center" shrinkToFit="1"/>
    </xf>
    <xf numFmtId="0" fontId="79" fillId="0" borderId="19" xfId="77" applyFont="1" applyBorder="1" applyAlignment="1">
      <alignment horizontal="center" vertical="center" shrinkToFit="1"/>
    </xf>
    <xf numFmtId="0" fontId="79" fillId="0" borderId="21" xfId="77" applyFont="1" applyBorder="1" applyAlignment="1">
      <alignment horizontal="center" vertical="center" shrinkToFit="1"/>
    </xf>
    <xf numFmtId="0" fontId="79" fillId="0" borderId="67" xfId="77" applyFont="1" applyBorder="1" applyAlignment="1">
      <alignment horizontal="center" vertical="center" shrinkToFit="1"/>
    </xf>
    <xf numFmtId="0" fontId="79" fillId="0" borderId="22" xfId="77" applyFont="1" applyBorder="1" applyAlignment="1">
      <alignment horizontal="center" vertical="center" shrinkToFit="1"/>
    </xf>
    <xf numFmtId="0" fontId="79" fillId="0" borderId="25" xfId="77" applyFont="1" applyBorder="1" applyAlignment="1">
      <alignment horizontal="center" vertical="center" shrinkToFit="1"/>
    </xf>
    <xf numFmtId="0" fontId="88" fillId="0" borderId="100" xfId="75" applyFont="1" applyBorder="1" applyAlignment="1">
      <alignment horizontal="center" vertical="center" shrinkToFit="1"/>
    </xf>
    <xf numFmtId="0" fontId="88" fillId="0" borderId="140" xfId="75" applyFont="1" applyBorder="1" applyAlignment="1">
      <alignment horizontal="center" vertical="center" shrinkToFit="1"/>
    </xf>
    <xf numFmtId="0" fontId="88" fillId="0" borderId="149" xfId="75" applyFont="1" applyBorder="1" applyAlignment="1">
      <alignment horizontal="center" vertical="center" shrinkToFit="1"/>
    </xf>
    <xf numFmtId="0" fontId="88" fillId="0" borderId="130" xfId="75" applyFont="1" applyBorder="1" applyAlignment="1">
      <alignment horizontal="center" vertical="center" shrinkToFit="1"/>
    </xf>
    <xf numFmtId="0" fontId="88" fillId="0" borderId="141" xfId="75" applyFont="1" applyBorder="1" applyAlignment="1">
      <alignment horizontal="center" vertical="center" shrinkToFit="1"/>
    </xf>
    <xf numFmtId="0" fontId="79" fillId="0" borderId="139" xfId="77" applyFont="1" applyBorder="1" applyAlignment="1">
      <alignment horizontal="center" vertical="center" shrinkToFit="1"/>
    </xf>
    <xf numFmtId="0" fontId="79" fillId="0" borderId="29" xfId="77" applyFont="1" applyBorder="1" applyAlignment="1">
      <alignment horizontal="center" vertical="center" shrinkToFit="1"/>
    </xf>
    <xf numFmtId="0" fontId="88" fillId="0" borderId="18" xfId="79" applyFont="1" applyBorder="1" applyAlignment="1">
      <alignment horizontal="center" vertical="center"/>
    </xf>
    <xf numFmtId="0" fontId="88" fillId="0" borderId="24" xfId="79" applyFont="1" applyBorder="1" applyAlignment="1">
      <alignment horizontal="center" vertical="center"/>
    </xf>
    <xf numFmtId="20" fontId="88" fillId="0" borderId="19" xfId="79" applyNumberFormat="1" applyFont="1" applyBorder="1" applyAlignment="1">
      <alignment horizontal="center" vertical="center"/>
    </xf>
    <xf numFmtId="20" fontId="88" fillId="0" borderId="22" xfId="79" applyNumberFormat="1" applyFont="1" applyBorder="1" applyAlignment="1">
      <alignment horizontal="center" vertical="center"/>
    </xf>
    <xf numFmtId="0" fontId="70" fillId="0" borderId="127" xfId="75" applyFont="1" applyBorder="1" applyAlignment="1">
      <alignment horizontal="center" vertical="center" shrinkToFit="1"/>
    </xf>
    <xf numFmtId="0" fontId="79" fillId="0" borderId="31" xfId="77" applyFont="1" applyBorder="1" applyAlignment="1">
      <alignment horizontal="center" vertical="center" shrinkToFit="1"/>
    </xf>
    <xf numFmtId="0" fontId="70" fillId="0" borderId="136" xfId="75" applyFont="1" applyBorder="1" applyAlignment="1">
      <alignment horizontal="center" vertical="center" shrinkToFit="1"/>
    </xf>
    <xf numFmtId="0" fontId="70" fillId="0" borderId="91" xfId="75" applyFont="1" applyBorder="1" applyAlignment="1">
      <alignment horizontal="center" vertical="center" shrinkToFit="1"/>
    </xf>
    <xf numFmtId="0" fontId="79" fillId="0" borderId="12" xfId="75" applyFont="1" applyBorder="1" applyAlignment="1" applyProtection="1">
      <alignment horizontal="center" vertical="center" shrinkToFit="1"/>
      <protection locked="0"/>
    </xf>
    <xf numFmtId="0" fontId="79" fillId="0" borderId="13" xfId="75" applyFont="1" applyBorder="1" applyAlignment="1" applyProtection="1">
      <alignment horizontal="center" vertical="center" shrinkToFit="1"/>
      <protection locked="0"/>
    </xf>
    <xf numFmtId="0" fontId="103" fillId="31" borderId="82" xfId="75" applyFont="1" applyFill="1" applyBorder="1" applyAlignment="1">
      <alignment horizontal="center" vertical="center" shrinkToFit="1"/>
    </xf>
    <xf numFmtId="0" fontId="103" fillId="31" borderId="78" xfId="75" applyFont="1" applyFill="1" applyBorder="1" applyAlignment="1">
      <alignment horizontal="center" vertical="center" shrinkToFit="1"/>
    </xf>
    <xf numFmtId="0" fontId="103" fillId="31" borderId="76" xfId="75" applyFont="1" applyFill="1" applyBorder="1" applyAlignment="1">
      <alignment horizontal="center" vertical="center" shrinkToFit="1"/>
    </xf>
    <xf numFmtId="0" fontId="103" fillId="31" borderId="87" xfId="75" applyFont="1" applyFill="1" applyBorder="1" applyAlignment="1">
      <alignment horizontal="center" vertical="center" shrinkToFit="1"/>
    </xf>
    <xf numFmtId="0" fontId="103" fillId="31" borderId="67" xfId="75" applyFont="1" applyFill="1" applyBorder="1" applyAlignment="1">
      <alignment horizontal="center" vertical="center" shrinkToFit="1"/>
    </xf>
    <xf numFmtId="0" fontId="103" fillId="31" borderId="68" xfId="75" applyFont="1" applyFill="1" applyBorder="1" applyAlignment="1">
      <alignment horizontal="center" vertical="center" shrinkToFit="1"/>
    </xf>
    <xf numFmtId="0" fontId="70" fillId="0" borderId="90" xfId="75" applyFont="1" applyBorder="1" applyAlignment="1">
      <alignment horizontal="center" vertical="center" shrinkToFit="1"/>
    </xf>
    <xf numFmtId="0" fontId="70" fillId="0" borderId="89" xfId="75" applyFont="1" applyBorder="1" applyAlignment="1">
      <alignment horizontal="left" vertical="center" shrinkToFit="1"/>
    </xf>
    <xf numFmtId="0" fontId="70" fillId="0" borderId="134" xfId="75" applyFont="1" applyBorder="1" applyAlignment="1">
      <alignment horizontal="left" vertical="center" shrinkToFit="1"/>
    </xf>
    <xf numFmtId="0" fontId="70" fillId="0" borderId="73" xfId="75" applyFont="1" applyBorder="1" applyAlignment="1">
      <alignment horizontal="left" vertical="center" shrinkToFit="1"/>
    </xf>
    <xf numFmtId="0" fontId="90" fillId="0" borderId="72" xfId="75" applyFont="1" applyBorder="1" applyAlignment="1">
      <alignment horizontal="right" vertical="center" shrinkToFit="1"/>
    </xf>
    <xf numFmtId="0" fontId="90" fillId="0" borderId="50" xfId="75" applyFont="1" applyBorder="1" applyAlignment="1">
      <alignment horizontal="right" vertical="center" shrinkToFit="1"/>
    </xf>
    <xf numFmtId="0" fontId="88" fillId="0" borderId="129" xfId="75" applyFont="1" applyBorder="1" applyAlignment="1">
      <alignment horizontal="center" vertical="center" shrinkToFit="1"/>
    </xf>
    <xf numFmtId="0" fontId="70" fillId="0" borderId="88" xfId="75" applyFont="1" applyBorder="1" applyAlignment="1">
      <alignment horizontal="center" vertical="center" shrinkToFit="1"/>
    </xf>
    <xf numFmtId="0" fontId="70" fillId="0" borderId="34" xfId="75" applyFont="1" applyBorder="1" applyAlignment="1">
      <alignment horizontal="center" vertical="center" shrinkToFit="1"/>
    </xf>
    <xf numFmtId="0" fontId="70" fillId="0" borderId="135" xfId="75" applyFont="1" applyBorder="1" applyAlignment="1">
      <alignment horizontal="center" vertical="center" wrapText="1" shrinkToFit="1"/>
    </xf>
    <xf numFmtId="0" fontId="70" fillId="0" borderId="33" xfId="75" applyFont="1" applyBorder="1" applyAlignment="1">
      <alignment horizontal="center" vertical="center" shrinkToFit="1"/>
    </xf>
    <xf numFmtId="0" fontId="103" fillId="31" borderId="88" xfId="75" applyFont="1" applyFill="1" applyBorder="1" applyAlignment="1">
      <alignment horizontal="center" vertical="center" shrinkToFit="1"/>
    </xf>
    <xf numFmtId="0" fontId="103" fillId="31" borderId="34" xfId="75" applyFont="1" applyFill="1" applyBorder="1" applyAlignment="1">
      <alignment horizontal="center" vertical="center" shrinkToFit="1"/>
    </xf>
    <xf numFmtId="0" fontId="103" fillId="31" borderId="91" xfId="75" applyFont="1" applyFill="1" applyBorder="1" applyAlignment="1">
      <alignment horizontal="center" vertical="center" shrinkToFit="1"/>
    </xf>
    <xf numFmtId="0" fontId="103" fillId="31" borderId="78" xfId="75" applyFont="1" applyFill="1" applyBorder="1" applyAlignment="1">
      <alignment horizontal="left" vertical="center" shrinkToFit="1"/>
    </xf>
    <xf numFmtId="0" fontId="103" fillId="31" borderId="87" xfId="75" applyFont="1" applyFill="1" applyBorder="1" applyAlignment="1">
      <alignment horizontal="left" vertical="center" shrinkToFit="1"/>
    </xf>
    <xf numFmtId="0" fontId="86" fillId="0" borderId="69" xfId="75" applyFont="1" applyBorder="1" applyAlignment="1">
      <alignment horizontal="center" vertical="center" shrinkToFit="1"/>
    </xf>
    <xf numFmtId="0" fontId="86" fillId="0" borderId="70" xfId="75" applyFont="1" applyBorder="1" applyAlignment="1">
      <alignment horizontal="center" vertical="center" shrinkToFit="1"/>
    </xf>
    <xf numFmtId="0" fontId="86" fillId="0" borderId="71" xfId="75" applyFont="1" applyBorder="1" applyAlignment="1">
      <alignment horizontal="center" vertical="center" shrinkToFit="1"/>
    </xf>
    <xf numFmtId="0" fontId="104" fillId="31" borderId="72" xfId="75" applyFont="1" applyFill="1" applyBorder="1" applyAlignment="1">
      <alignment horizontal="right" vertical="center" shrinkToFit="1"/>
    </xf>
    <xf numFmtId="0" fontId="104" fillId="31" borderId="50" xfId="75" applyFont="1" applyFill="1" applyBorder="1" applyAlignment="1">
      <alignment horizontal="right" vertical="center" shrinkToFit="1"/>
    </xf>
    <xf numFmtId="0" fontId="70" fillId="0" borderId="13" xfId="75" applyFont="1" applyBorder="1" applyAlignment="1">
      <alignment horizontal="center" vertical="center" wrapText="1" shrinkToFit="1"/>
    </xf>
    <xf numFmtId="0" fontId="70" fillId="0" borderId="32" xfId="75" applyFont="1" applyBorder="1" applyAlignment="1">
      <alignment horizontal="center" vertical="center" shrinkToFit="1"/>
    </xf>
    <xf numFmtId="0" fontId="103" fillId="31" borderId="75" xfId="75" applyFont="1" applyFill="1" applyBorder="1" applyAlignment="1">
      <alignment horizontal="left" vertical="center" shrinkToFit="1"/>
    </xf>
    <xf numFmtId="0" fontId="78" fillId="0" borderId="14" xfId="75" applyFont="1" applyBorder="1" applyAlignment="1" applyProtection="1">
      <alignment horizontal="center" vertical="center" shrinkToFit="1"/>
      <protection locked="0"/>
    </xf>
    <xf numFmtId="0" fontId="78" fillId="0" borderId="35" xfId="75" applyFont="1" applyBorder="1" applyAlignment="1" applyProtection="1">
      <alignment horizontal="center" vertical="center" shrinkToFit="1"/>
      <protection locked="0"/>
    </xf>
    <xf numFmtId="0" fontId="78" fillId="0" borderId="26" xfId="75" applyFont="1" applyBorder="1" applyAlignment="1" applyProtection="1">
      <alignment horizontal="center" vertical="center" shrinkToFit="1"/>
      <protection locked="0"/>
    </xf>
    <xf numFmtId="0" fontId="78" fillId="0" borderId="65" xfId="75" applyFont="1" applyBorder="1" applyAlignment="1" applyProtection="1">
      <alignment horizontal="center" vertical="center" shrinkToFit="1"/>
      <protection locked="0"/>
    </xf>
    <xf numFmtId="0" fontId="70" fillId="0" borderId="76" xfId="75" applyFont="1" applyBorder="1" applyAlignment="1">
      <alignment horizontal="center" vertical="center" shrinkToFit="1"/>
    </xf>
    <xf numFmtId="0" fontId="70" fillId="0" borderId="95" xfId="75" applyFont="1" applyBorder="1" applyAlignment="1">
      <alignment horizontal="center" vertical="center" shrinkToFit="1"/>
    </xf>
    <xf numFmtId="0" fontId="79" fillId="0" borderId="116" xfId="79" applyFont="1" applyBorder="1" applyAlignment="1">
      <alignment horizontal="center" vertical="center" shrinkToFit="1"/>
    </xf>
    <xf numFmtId="0" fontId="79" fillId="0" borderId="123" xfId="79" applyFont="1" applyBorder="1" applyAlignment="1">
      <alignment horizontal="center" vertical="center" shrinkToFit="1"/>
    </xf>
    <xf numFmtId="0" fontId="70" fillId="0" borderId="74" xfId="75" applyFont="1" applyBorder="1" applyAlignment="1">
      <alignment horizontal="center" vertical="center" shrinkToFit="1"/>
    </xf>
    <xf numFmtId="0" fontId="70" fillId="0" borderId="21" xfId="75" applyFont="1" applyBorder="1" applyAlignment="1">
      <alignment horizontal="center" vertical="center" shrinkToFit="1"/>
    </xf>
    <xf numFmtId="0" fontId="79" fillId="0" borderId="26" xfId="77" applyFont="1" applyBorder="1" applyAlignment="1">
      <alignment horizontal="center" vertical="center"/>
    </xf>
    <xf numFmtId="0" fontId="79" fillId="0" borderId="50" xfId="77" applyFont="1" applyBorder="1" applyAlignment="1">
      <alignment horizontal="center" vertical="center"/>
    </xf>
    <xf numFmtId="0" fontId="79" fillId="0" borderId="122" xfId="77" applyFont="1" applyBorder="1" applyAlignment="1">
      <alignment horizontal="center" vertical="center"/>
    </xf>
    <xf numFmtId="0" fontId="79" fillId="0" borderId="88" xfId="77" applyFont="1" applyBorder="1" applyAlignment="1">
      <alignment horizontal="center" vertical="center"/>
    </xf>
    <xf numFmtId="0" fontId="79" fillId="0" borderId="82" xfId="77" applyFont="1" applyBorder="1" applyAlignment="1">
      <alignment horizontal="center" vertical="center"/>
    </xf>
    <xf numFmtId="0" fontId="103" fillId="31" borderId="68" xfId="75" applyFont="1" applyFill="1" applyBorder="1" applyAlignment="1">
      <alignment horizontal="left" vertical="center" shrinkToFit="1"/>
    </xf>
    <xf numFmtId="0" fontId="104" fillId="31" borderId="133" xfId="75" applyFont="1" applyFill="1" applyBorder="1" applyAlignment="1">
      <alignment horizontal="right" vertical="center" shrinkToFit="1"/>
    </xf>
    <xf numFmtId="0" fontId="79" fillId="0" borderId="58" xfId="77" applyFont="1" applyBorder="1" applyAlignment="1">
      <alignment horizontal="center" vertical="center"/>
    </xf>
    <xf numFmtId="0" fontId="79" fillId="0" borderId="66" xfId="77" applyFont="1" applyBorder="1" applyAlignment="1">
      <alignment horizontal="center" vertical="center"/>
    </xf>
    <xf numFmtId="0" fontId="79" fillId="0" borderId="0" xfId="77" applyFont="1" applyAlignment="1">
      <alignment horizontal="center" vertical="center"/>
    </xf>
    <xf numFmtId="0" fontId="79" fillId="0" borderId="76" xfId="77" applyFont="1" applyBorder="1" applyAlignment="1">
      <alignment horizontal="center" vertical="center"/>
    </xf>
    <xf numFmtId="0" fontId="79" fillId="0" borderId="17" xfId="77" applyFont="1" applyBorder="1" applyAlignment="1">
      <alignment horizontal="center" vertical="center"/>
    </xf>
    <xf numFmtId="0" fontId="79" fillId="0" borderId="143" xfId="77" applyFont="1" applyBorder="1" applyAlignment="1">
      <alignment horizontal="center" vertical="center"/>
    </xf>
    <xf numFmtId="0" fontId="79" fillId="0" borderId="14" xfId="77" applyFont="1" applyBorder="1" applyAlignment="1">
      <alignment horizontal="center" vertical="center"/>
    </xf>
    <xf numFmtId="0" fontId="79" fillId="0" borderId="72" xfId="77" applyFont="1" applyBorder="1" applyAlignment="1">
      <alignment horizontal="center" vertical="center"/>
    </xf>
    <xf numFmtId="0" fontId="79" fillId="0" borderId="91" xfId="77" applyFont="1" applyBorder="1" applyAlignment="1">
      <alignment horizontal="center" vertical="center" shrinkToFit="1"/>
    </xf>
    <xf numFmtId="0" fontId="79" fillId="0" borderId="125" xfId="77" applyFont="1" applyBorder="1" applyAlignment="1">
      <alignment horizontal="center" vertical="center" shrinkToFit="1"/>
    </xf>
    <xf numFmtId="0" fontId="79" fillId="0" borderId="26" xfId="77" applyFont="1" applyBorder="1" applyAlignment="1">
      <alignment horizontal="center" vertical="center" shrinkToFit="1"/>
    </xf>
    <xf numFmtId="0" fontId="79" fillId="0" borderId="65" xfId="77" applyFont="1" applyBorder="1" applyAlignment="1">
      <alignment horizontal="center" vertical="center" shrinkToFit="1"/>
    </xf>
    <xf numFmtId="0" fontId="79" fillId="0" borderId="144" xfId="77" applyFont="1" applyBorder="1" applyAlignment="1">
      <alignment horizontal="center" vertical="center"/>
    </xf>
    <xf numFmtId="0" fontId="79" fillId="0" borderId="115" xfId="77" applyFont="1" applyBorder="1" applyAlignment="1">
      <alignment horizontal="center" vertical="center"/>
    </xf>
    <xf numFmtId="0" fontId="79" fillId="0" borderId="145" xfId="77" applyFont="1" applyBorder="1" applyAlignment="1">
      <alignment horizontal="center" vertical="center"/>
    </xf>
    <xf numFmtId="0" fontId="79" fillId="0" borderId="89" xfId="77" applyFont="1" applyBorder="1" applyAlignment="1">
      <alignment horizontal="center" vertical="center" shrinkToFit="1"/>
    </xf>
    <xf numFmtId="0" fontId="79" fillId="0" borderId="134" xfId="77" applyFont="1" applyBorder="1" applyAlignment="1">
      <alignment horizontal="center" vertical="center" shrinkToFit="1"/>
    </xf>
    <xf numFmtId="0" fontId="79" fillId="0" borderId="15" xfId="77" applyFont="1" applyBorder="1" applyAlignment="1">
      <alignment horizontal="center" vertical="center" shrinkToFit="1"/>
    </xf>
    <xf numFmtId="0" fontId="79" fillId="0" borderId="99" xfId="77" applyFont="1" applyBorder="1" applyAlignment="1">
      <alignment horizontal="center" vertical="center"/>
    </xf>
    <xf numFmtId="0" fontId="79" fillId="0" borderId="50" xfId="77" applyFont="1" applyBorder="1" applyAlignment="1">
      <alignment horizontal="center" vertical="center" shrinkToFit="1"/>
    </xf>
    <xf numFmtId="0" fontId="79" fillId="0" borderId="57" xfId="77" applyFont="1" applyBorder="1" applyAlignment="1">
      <alignment horizontal="center" vertical="center" shrinkToFit="1"/>
    </xf>
    <xf numFmtId="0" fontId="79" fillId="0" borderId="146" xfId="77" applyFont="1" applyBorder="1" applyAlignment="1">
      <alignment horizontal="center" vertical="center" shrinkToFit="1"/>
    </xf>
    <xf numFmtId="0" fontId="79" fillId="0" borderId="133" xfId="77" applyFont="1" applyBorder="1" applyAlignment="1">
      <alignment horizontal="center" vertical="center" shrinkToFit="1"/>
    </xf>
    <xf numFmtId="0" fontId="79" fillId="0" borderId="97" xfId="77" applyFont="1" applyBorder="1" applyAlignment="1">
      <alignment horizontal="center" vertical="center" shrinkToFit="1"/>
    </xf>
    <xf numFmtId="0" fontId="79" fillId="0" borderId="147" xfId="77" applyFont="1" applyBorder="1" applyAlignment="1">
      <alignment horizontal="center" vertical="center" shrinkToFit="1"/>
    </xf>
    <xf numFmtId="0" fontId="79" fillId="0" borderId="76" xfId="77" applyFont="1" applyBorder="1" applyAlignment="1">
      <alignment horizontal="center" vertical="center" shrinkToFit="1"/>
    </xf>
    <xf numFmtId="0" fontId="79" fillId="0" borderId="17" xfId="77" applyFont="1" applyBorder="1" applyAlignment="1">
      <alignment horizontal="center" vertical="center" shrinkToFit="1"/>
    </xf>
    <xf numFmtId="0" fontId="79" fillId="0" borderId="148" xfId="77" applyFont="1" applyBorder="1" applyAlignment="1">
      <alignment horizontal="center" vertical="center" shrinkToFit="1"/>
    </xf>
    <xf numFmtId="0" fontId="79" fillId="0" borderId="28" xfId="77" applyFont="1" applyBorder="1" applyAlignment="1">
      <alignment horizontal="center" vertical="center"/>
    </xf>
    <xf numFmtId="0" fontId="79" fillId="0" borderId="23" xfId="77" applyFont="1" applyBorder="1" applyAlignment="1">
      <alignment horizontal="center" vertical="center"/>
    </xf>
    <xf numFmtId="0" fontId="104" fillId="31" borderId="76" xfId="75" applyFont="1" applyFill="1" applyBorder="1" applyAlignment="1">
      <alignment horizontal="right" vertical="center" shrinkToFit="1"/>
    </xf>
    <xf numFmtId="0" fontId="103" fillId="31" borderId="30" xfId="75" applyFont="1" applyFill="1" applyBorder="1" applyAlignment="1">
      <alignment horizontal="left" vertical="center" shrinkToFit="1"/>
    </xf>
    <xf numFmtId="0" fontId="103" fillId="31" borderId="66" xfId="75" applyFont="1" applyFill="1" applyBorder="1" applyAlignment="1">
      <alignment horizontal="center" vertical="center" shrinkToFit="1"/>
    </xf>
    <xf numFmtId="0" fontId="103" fillId="31" borderId="30" xfId="75" applyFont="1" applyFill="1" applyBorder="1" applyAlignment="1">
      <alignment horizontal="center" vertical="center" shrinkToFit="1"/>
    </xf>
    <xf numFmtId="0" fontId="70" fillId="0" borderId="87" xfId="75" applyFont="1" applyBorder="1" applyAlignment="1">
      <alignment horizontal="left" vertical="center" shrinkToFit="1"/>
    </xf>
    <xf numFmtId="0" fontId="90" fillId="0" borderId="76" xfId="75" applyFont="1" applyBorder="1" applyAlignment="1">
      <alignment horizontal="right" vertical="center" shrinkToFit="1"/>
    </xf>
    <xf numFmtId="0" fontId="79" fillId="0" borderId="122" xfId="79" applyFont="1" applyBorder="1" applyAlignment="1">
      <alignment horizontal="center" vertical="center" shrinkToFit="1"/>
    </xf>
    <xf numFmtId="0" fontId="70" fillId="0" borderId="82" xfId="75" applyFont="1" applyBorder="1" applyAlignment="1">
      <alignment horizontal="center" vertical="center" shrinkToFit="1"/>
    </xf>
    <xf numFmtId="0" fontId="70" fillId="0" borderId="60" xfId="75" applyFont="1" applyBorder="1" applyAlignment="1">
      <alignment horizontal="center" vertical="center" shrinkToFit="1"/>
    </xf>
    <xf numFmtId="0" fontId="70" fillId="0" borderId="78" xfId="75" applyFont="1" applyBorder="1" applyAlignment="1">
      <alignment horizontal="center" vertical="center" shrinkToFit="1"/>
    </xf>
    <xf numFmtId="0" fontId="70" fillId="0" borderId="87" xfId="75" applyFont="1" applyBorder="1" applyAlignment="1">
      <alignment horizontal="center" vertical="center" shrinkToFit="1"/>
    </xf>
    <xf numFmtId="0" fontId="103" fillId="31" borderId="90" xfId="75" applyFont="1" applyFill="1" applyBorder="1" applyAlignment="1">
      <alignment horizontal="center" vertical="center" shrinkToFit="1"/>
    </xf>
    <xf numFmtId="0" fontId="79" fillId="0" borderId="117" xfId="79" applyFont="1" applyBorder="1" applyAlignment="1">
      <alignment horizontal="center" vertical="center" shrinkToFit="1"/>
    </xf>
    <xf numFmtId="0" fontId="70" fillId="0" borderId="67" xfId="75" applyFont="1" applyBorder="1" applyAlignment="1">
      <alignment horizontal="center" vertical="center" shrinkToFit="1"/>
    </xf>
    <xf numFmtId="0" fontId="70" fillId="0" borderId="25" xfId="75" applyFont="1" applyBorder="1" applyAlignment="1">
      <alignment horizontal="center" vertical="center" shrinkToFit="1"/>
    </xf>
    <xf numFmtId="0" fontId="103" fillId="31" borderId="136" xfId="75" applyFont="1" applyFill="1" applyBorder="1" applyAlignment="1">
      <alignment horizontal="center" vertical="center" shrinkToFit="1"/>
    </xf>
    <xf numFmtId="0" fontId="70" fillId="0" borderId="30" xfId="75" applyFont="1" applyBorder="1" applyAlignment="1">
      <alignment horizontal="center" vertical="center" shrinkToFit="1"/>
    </xf>
    <xf numFmtId="0" fontId="70" fillId="0" borderId="75" xfId="75" applyFont="1" applyBorder="1" applyAlignment="1">
      <alignment horizontal="center" vertical="center" shrinkToFit="1"/>
    </xf>
    <xf numFmtId="0" fontId="103" fillId="31" borderId="74" xfId="75" applyFont="1" applyFill="1" applyBorder="1" applyAlignment="1">
      <alignment horizontal="center" vertical="center" shrinkToFit="1"/>
    </xf>
    <xf numFmtId="0" fontId="103" fillId="31" borderId="75" xfId="75" applyFont="1" applyFill="1" applyBorder="1" applyAlignment="1">
      <alignment horizontal="center" vertical="center" shrinkToFit="1"/>
    </xf>
    <xf numFmtId="0" fontId="90" fillId="0" borderId="133" xfId="75" applyFont="1" applyBorder="1" applyAlignment="1">
      <alignment horizontal="right" vertical="center" shrinkToFit="1"/>
    </xf>
    <xf numFmtId="0" fontId="91" fillId="0" borderId="26" xfId="75" applyFont="1" applyBorder="1" applyAlignment="1" applyProtection="1">
      <alignment horizontal="center" vertical="center" shrinkToFit="1"/>
      <protection locked="0"/>
    </xf>
    <xf numFmtId="0" fontId="91" fillId="0" borderId="65" xfId="75" applyFont="1" applyBorder="1" applyAlignment="1" applyProtection="1">
      <alignment horizontal="center" vertical="center" shrinkToFit="1"/>
      <protection locked="0"/>
    </xf>
    <xf numFmtId="0" fontId="70" fillId="0" borderId="68" xfId="75" applyFont="1" applyBorder="1" applyAlignment="1">
      <alignment horizontal="center" vertical="center" shrinkToFit="1"/>
    </xf>
    <xf numFmtId="0" fontId="78" fillId="0" borderId="91" xfId="75" applyFont="1" applyBorder="1" applyAlignment="1" applyProtection="1">
      <alignment horizontal="center" vertical="center" shrinkToFit="1"/>
      <protection locked="0"/>
    </xf>
    <xf numFmtId="0" fontId="78" fillId="0" borderId="125" xfId="75" applyFont="1" applyBorder="1" applyAlignment="1" applyProtection="1">
      <alignment horizontal="center" vertical="center" shrinkToFit="1"/>
      <protection locked="0"/>
    </xf>
    <xf numFmtId="0" fontId="78" fillId="0" borderId="15" xfId="75" applyFont="1" applyBorder="1" applyAlignment="1" applyProtection="1">
      <alignment horizontal="center" vertical="center" shrinkToFit="1"/>
      <protection locked="0"/>
    </xf>
    <xf numFmtId="0" fontId="78" fillId="0" borderId="36" xfId="75" applyFont="1" applyBorder="1" applyAlignment="1" applyProtection="1">
      <alignment horizontal="center" vertical="center" shrinkToFit="1"/>
      <protection locked="0"/>
    </xf>
    <xf numFmtId="0" fontId="91" fillId="0" borderId="15" xfId="75" applyFont="1" applyBorder="1" applyAlignment="1" applyProtection="1">
      <alignment horizontal="center" vertical="center" shrinkToFit="1"/>
      <protection locked="0"/>
    </xf>
    <xf numFmtId="0" fontId="91" fillId="0" borderId="36" xfId="75" applyFont="1" applyBorder="1" applyAlignment="1" applyProtection="1">
      <alignment horizontal="center" vertical="center" shrinkToFit="1"/>
      <protection locked="0"/>
    </xf>
    <xf numFmtId="0" fontId="91" fillId="0" borderId="91" xfId="75" applyFont="1" applyBorder="1" applyAlignment="1" applyProtection="1">
      <alignment horizontal="center" vertical="center" shrinkToFit="1"/>
      <protection locked="0"/>
    </xf>
    <xf numFmtId="0" fontId="91" fillId="0" borderId="125" xfId="75" applyFont="1" applyBorder="1" applyAlignment="1" applyProtection="1">
      <alignment horizontal="center" vertical="center" shrinkToFit="1"/>
      <protection locked="0"/>
    </xf>
    <xf numFmtId="0" fontId="85" fillId="0" borderId="0" xfId="77" applyFont="1" applyAlignment="1">
      <alignment horizontal="center" vertical="center"/>
    </xf>
    <xf numFmtId="0" fontId="79" fillId="0" borderId="22" xfId="77" applyFont="1" applyBorder="1" applyAlignment="1">
      <alignment horizontal="center" vertical="center"/>
    </xf>
    <xf numFmtId="0" fontId="79" fillId="0" borderId="25" xfId="77" applyFont="1" applyBorder="1" applyAlignment="1">
      <alignment horizontal="center" vertical="center"/>
    </xf>
    <xf numFmtId="0" fontId="80" fillId="0" borderId="133" xfId="77" applyFont="1" applyBorder="1" applyAlignment="1">
      <alignment horizontal="center" vertical="center"/>
    </xf>
    <xf numFmtId="0" fontId="80" fillId="0" borderId="97" xfId="77" applyFont="1" applyBorder="1" applyAlignment="1">
      <alignment horizontal="center" vertical="center"/>
    </xf>
    <xf numFmtId="0" fontId="80" fillId="0" borderId="134" xfId="77" applyFont="1" applyBorder="1" applyAlignment="1">
      <alignment horizontal="center" vertical="center"/>
    </xf>
    <xf numFmtId="0" fontId="86" fillId="0" borderId="13" xfId="77" applyFont="1" applyBorder="1" applyAlignment="1">
      <alignment horizontal="center" vertical="center"/>
    </xf>
    <xf numFmtId="0" fontId="86" fillId="0" borderId="32" xfId="77" applyFont="1" applyBorder="1" applyAlignment="1">
      <alignment horizontal="center" vertical="center"/>
    </xf>
    <xf numFmtId="0" fontId="86" fillId="0" borderId="132" xfId="77" applyFont="1" applyBorder="1" applyAlignment="1">
      <alignment horizontal="center" vertical="center"/>
    </xf>
    <xf numFmtId="0" fontId="86" fillId="0" borderId="33" xfId="77" applyFont="1" applyBorder="1" applyAlignment="1">
      <alignment horizontal="center" vertical="center"/>
    </xf>
    <xf numFmtId="0" fontId="79" fillId="0" borderId="36" xfId="77" applyFont="1" applyBorder="1" applyAlignment="1">
      <alignment horizontal="center" vertical="center" shrinkToFit="1"/>
    </xf>
    <xf numFmtId="0" fontId="79" fillId="0" borderId="87" xfId="77" applyFont="1" applyBorder="1" applyAlignment="1">
      <alignment horizontal="center" vertical="center" shrinkToFit="1"/>
    </xf>
    <xf numFmtId="0" fontId="79" fillId="0" borderId="142" xfId="77" applyFont="1" applyBorder="1" applyAlignment="1">
      <alignment horizontal="center" vertical="center" shrinkToFit="1"/>
    </xf>
    <xf numFmtId="0" fontId="79" fillId="0" borderId="131" xfId="77" applyFont="1" applyBorder="1" applyAlignment="1">
      <alignment horizontal="center" vertical="center" shrinkToFit="1"/>
    </xf>
    <xf numFmtId="0" fontId="79" fillId="0" borderId="150" xfId="77" applyFont="1" applyBorder="1" applyAlignment="1">
      <alignment horizontal="center" vertical="center" shrinkToFit="1"/>
    </xf>
    <xf numFmtId="0" fontId="79" fillId="0" borderId="151" xfId="77" applyFont="1" applyBorder="1" applyAlignment="1">
      <alignment horizontal="center" vertical="center" shrinkToFit="1"/>
    </xf>
    <xf numFmtId="0" fontId="86" fillId="0" borderId="12" xfId="77" applyFont="1" applyBorder="1" applyAlignment="1">
      <alignment horizontal="center" vertical="center"/>
    </xf>
    <xf numFmtId="0" fontId="79" fillId="0" borderId="123" xfId="77" applyFont="1" applyBorder="1" applyAlignment="1">
      <alignment horizontal="center" vertical="center" shrinkToFit="1"/>
    </xf>
    <xf numFmtId="0" fontId="79" fillId="0" borderId="109" xfId="77" applyFont="1" applyBorder="1" applyAlignment="1">
      <alignment horizontal="center" vertical="center" shrinkToFit="1"/>
    </xf>
    <xf numFmtId="0" fontId="56" fillId="30" borderId="89" xfId="0" applyFont="1" applyFill="1" applyBorder="1" applyAlignment="1">
      <alignment horizontal="center" vertical="center" shrinkToFit="1"/>
    </xf>
    <xf numFmtId="0" fontId="56" fillId="30" borderId="26" xfId="0" applyFont="1" applyFill="1" applyBorder="1" applyAlignment="1">
      <alignment horizontal="center" vertical="center" shrinkToFit="1"/>
    </xf>
    <xf numFmtId="0" fontId="54" fillId="0" borderId="58" xfId="66" applyBorder="1" applyAlignment="1">
      <alignment horizontal="center" vertical="center" shrinkToFit="1"/>
    </xf>
    <xf numFmtId="0" fontId="54" fillId="0" borderId="60" xfId="66" applyBorder="1" applyAlignment="1">
      <alignment horizontal="center" vertical="center" shrinkToFit="1"/>
    </xf>
    <xf numFmtId="0" fontId="0" fillId="0" borderId="26" xfId="0" applyBorder="1" applyAlignment="1">
      <alignment horizontal="center" vertical="center"/>
    </xf>
    <xf numFmtId="0" fontId="54" fillId="0" borderId="26" xfId="66" applyBorder="1" applyAlignment="1">
      <alignment horizontal="center" vertical="center"/>
    </xf>
    <xf numFmtId="0" fontId="56" fillId="30" borderId="21" xfId="0" applyFont="1" applyFill="1" applyBorder="1" applyAlignment="1">
      <alignment horizontal="center" vertical="center" shrinkToFit="1"/>
    </xf>
    <xf numFmtId="0" fontId="56" fillId="30" borderId="23" xfId="0" applyFont="1" applyFill="1" applyBorder="1" applyAlignment="1">
      <alignment horizontal="center" vertical="center" shrinkToFit="1"/>
    </xf>
    <xf numFmtId="0" fontId="56" fillId="30" borderId="152" xfId="0" applyFont="1" applyFill="1" applyBorder="1" applyAlignment="1">
      <alignment horizontal="center" vertical="center" shrinkToFit="1"/>
    </xf>
    <xf numFmtId="20" fontId="56" fillId="0" borderId="18" xfId="0" applyNumberFormat="1" applyFont="1" applyBorder="1" applyAlignment="1">
      <alignment horizontal="center" vertical="center"/>
    </xf>
    <xf numFmtId="20" fontId="56" fillId="0" borderId="20" xfId="0" applyNumberFormat="1" applyFont="1" applyBorder="1" applyAlignment="1">
      <alignment horizontal="center" vertical="center"/>
    </xf>
    <xf numFmtId="20" fontId="56" fillId="0" borderId="157" xfId="0" applyNumberFormat="1" applyFont="1" applyBorder="1" applyAlignment="1">
      <alignment horizontal="center" vertical="center"/>
    </xf>
    <xf numFmtId="0" fontId="56" fillId="30" borderId="19" xfId="0" applyFont="1" applyFill="1" applyBorder="1" applyAlignment="1">
      <alignment horizontal="center" vertical="center" shrinkToFit="1"/>
    </xf>
    <xf numFmtId="0" fontId="56" fillId="30" borderId="0" xfId="0" applyFont="1" applyFill="1" applyAlignment="1">
      <alignment horizontal="center" vertical="center" shrinkToFit="1"/>
    </xf>
    <xf numFmtId="0" fontId="56" fillId="30" borderId="101" xfId="0" applyFont="1" applyFill="1" applyBorder="1" applyAlignment="1">
      <alignment horizontal="center" vertical="center" shrinkToFit="1"/>
    </xf>
    <xf numFmtId="0" fontId="58" fillId="30" borderId="19" xfId="0" applyFont="1" applyFill="1" applyBorder="1" applyAlignment="1">
      <alignment horizontal="center" vertical="center"/>
    </xf>
    <xf numFmtId="0" fontId="58" fillId="30" borderId="0" xfId="0" applyFont="1" applyFill="1" applyAlignment="1">
      <alignment horizontal="center" vertical="center"/>
    </xf>
    <xf numFmtId="0" fontId="58" fillId="30" borderId="101" xfId="0" applyFont="1" applyFill="1" applyBorder="1" applyAlignment="1">
      <alignment horizontal="center" vertical="center"/>
    </xf>
    <xf numFmtId="0" fontId="59" fillId="0" borderId="17" xfId="0" applyFont="1" applyBorder="1" applyAlignment="1">
      <alignment horizontal="center" vertical="center"/>
    </xf>
    <xf numFmtId="0" fontId="59" fillId="0" borderId="95" xfId="0" applyFont="1" applyBorder="1" applyAlignment="1">
      <alignment horizontal="center" vertical="center"/>
    </xf>
    <xf numFmtId="0" fontId="56" fillId="0" borderId="50" xfId="0" applyFont="1" applyBorder="1" applyAlignment="1">
      <alignment horizontal="center" vertical="center"/>
    </xf>
    <xf numFmtId="0" fontId="56" fillId="0" borderId="57" xfId="0" applyFont="1" applyBorder="1" applyAlignment="1">
      <alignment horizontal="center" vertical="center"/>
    </xf>
    <xf numFmtId="0" fontId="56" fillId="0" borderId="93" xfId="0" applyFont="1" applyBorder="1" applyAlignment="1">
      <alignment horizontal="center" vertical="center"/>
    </xf>
    <xf numFmtId="0" fontId="56" fillId="0" borderId="26" xfId="0" applyFont="1" applyBorder="1" applyAlignment="1">
      <alignment horizontal="center" vertical="center"/>
    </xf>
    <xf numFmtId="0" fontId="56" fillId="0" borderId="19" xfId="0" applyFont="1" applyBorder="1" applyAlignment="1">
      <alignment horizontal="center" vertical="center"/>
    </xf>
    <xf numFmtId="0" fontId="56" fillId="0" borderId="0" xfId="0" applyFont="1" applyAlignment="1">
      <alignment horizontal="center" vertical="center"/>
    </xf>
    <xf numFmtId="0" fontId="56" fillId="0" borderId="101" xfId="0" applyFont="1" applyBorder="1" applyAlignment="1">
      <alignment horizontal="center" vertical="center"/>
    </xf>
    <xf numFmtId="0" fontId="56" fillId="30" borderId="154" xfId="0" applyFont="1" applyFill="1" applyBorder="1" applyAlignment="1">
      <alignment horizontal="center" vertical="center"/>
    </xf>
    <xf numFmtId="0" fontId="56" fillId="30" borderId="155" xfId="0" applyFont="1" applyFill="1" applyBorder="1" applyAlignment="1">
      <alignment horizontal="center" vertical="center"/>
    </xf>
    <xf numFmtId="0" fontId="56" fillId="30" borderId="11" xfId="0" applyFont="1" applyFill="1" applyBorder="1" applyAlignment="1">
      <alignment horizontal="center" vertical="center"/>
    </xf>
    <xf numFmtId="0" fontId="56" fillId="30" borderId="156" xfId="0" applyFont="1" applyFill="1" applyBorder="1" applyAlignment="1">
      <alignment horizontal="center" vertical="center"/>
    </xf>
    <xf numFmtId="0" fontId="61" fillId="0" borderId="0" xfId="76" applyFont="1" applyAlignment="1">
      <alignment horizontal="center" vertical="center" shrinkToFit="1"/>
    </xf>
    <xf numFmtId="0" fontId="56" fillId="30" borderId="153" xfId="0" applyFont="1" applyFill="1" applyBorder="1" applyAlignment="1">
      <alignment horizontal="center" vertical="center"/>
    </xf>
    <xf numFmtId="0" fontId="56" fillId="30" borderId="158" xfId="0" applyFont="1" applyFill="1" applyBorder="1" applyAlignment="1">
      <alignment horizontal="center" vertical="center"/>
    </xf>
    <xf numFmtId="0" fontId="82" fillId="0" borderId="24" xfId="0" applyFont="1" applyBorder="1" applyAlignment="1">
      <alignment horizontal="center" vertical="center"/>
    </xf>
    <xf numFmtId="0" fontId="82" fillId="0" borderId="22" xfId="0" applyFont="1" applyBorder="1" applyAlignment="1">
      <alignment horizontal="center" vertical="center"/>
    </xf>
    <xf numFmtId="0" fontId="82" fillId="0" borderId="25" xfId="0" applyFont="1" applyBorder="1" applyAlignment="1">
      <alignment horizontal="center" vertical="center"/>
    </xf>
    <xf numFmtId="0" fontId="82" fillId="0" borderId="143" xfId="0" applyFont="1" applyBorder="1" applyAlignment="1">
      <alignment horizontal="center" vertical="center"/>
    </xf>
    <xf numFmtId="0" fontId="82" fillId="0" borderId="14" xfId="0" applyFont="1" applyBorder="1" applyAlignment="1">
      <alignment horizontal="center" vertical="center"/>
    </xf>
    <xf numFmtId="0" fontId="82" fillId="0" borderId="35" xfId="0" applyFont="1" applyBorder="1" applyAlignment="1">
      <alignment horizontal="center" vertical="center"/>
    </xf>
    <xf numFmtId="0" fontId="82" fillId="0" borderId="109" xfId="0" applyFont="1" applyBorder="1" applyAlignment="1">
      <alignment horizontal="center" vertical="center"/>
    </xf>
    <xf numFmtId="0" fontId="82" fillId="0" borderId="15" xfId="0" applyFont="1" applyBorder="1" applyAlignment="1">
      <alignment horizontal="center" vertical="center"/>
    </xf>
    <xf numFmtId="0" fontId="82" fillId="0" borderId="36" xfId="0" applyFont="1" applyBorder="1" applyAlignment="1">
      <alignment horizontal="center" vertical="center"/>
    </xf>
    <xf numFmtId="0" fontId="78" fillId="0" borderId="143" xfId="0" applyFont="1" applyBorder="1" applyAlignment="1">
      <alignment horizontal="center" vertical="center"/>
    </xf>
    <xf numFmtId="0" fontId="78" fillId="0" borderId="14" xfId="0" applyFont="1" applyBorder="1" applyAlignment="1">
      <alignment horizontal="center" vertical="center"/>
    </xf>
    <xf numFmtId="0" fontId="78" fillId="0" borderId="35" xfId="0" applyFont="1" applyBorder="1" applyAlignment="1">
      <alignment horizontal="center" vertical="center"/>
    </xf>
    <xf numFmtId="0" fontId="78" fillId="0" borderId="109" xfId="0" applyFont="1" applyBorder="1" applyAlignment="1">
      <alignment horizontal="center" vertical="center"/>
    </xf>
    <xf numFmtId="0" fontId="78" fillId="0" borderId="15" xfId="0" applyFont="1" applyBorder="1" applyAlignment="1">
      <alignment horizontal="center" vertical="center"/>
    </xf>
    <xf numFmtId="0" fontId="78" fillId="0" borderId="36" xfId="0" applyFont="1" applyBorder="1" applyAlignment="1">
      <alignment horizontal="center" vertical="center"/>
    </xf>
    <xf numFmtId="0" fontId="93" fillId="0" borderId="17" xfId="0" applyFont="1" applyBorder="1" applyAlignment="1">
      <alignment horizontal="center" vertical="center"/>
    </xf>
    <xf numFmtId="0" fontId="93" fillId="0" borderId="0" xfId="0" applyFont="1" applyAlignment="1">
      <alignment horizontal="center" vertical="center"/>
    </xf>
    <xf numFmtId="0" fontId="79" fillId="0" borderId="82" xfId="0" applyFont="1" applyBorder="1" applyAlignment="1">
      <alignment horizontal="center" vertical="center"/>
    </xf>
    <xf numFmtId="0" fontId="79" fillId="0" borderId="78" xfId="0" applyFont="1" applyBorder="1" applyAlignment="1">
      <alignment horizontal="center" vertical="center"/>
    </xf>
    <xf numFmtId="0" fontId="68" fillId="0" borderId="76" xfId="0" applyFont="1" applyBorder="1" applyAlignment="1">
      <alignment horizontal="center" vertical="center" shrinkToFit="1"/>
    </xf>
    <xf numFmtId="0" fontId="68" fillId="0" borderId="87" xfId="0" applyFont="1" applyBorder="1" applyAlignment="1">
      <alignment horizontal="center" vertical="center" shrinkToFit="1"/>
    </xf>
    <xf numFmtId="0" fontId="68" fillId="0" borderId="50" xfId="0" applyFont="1" applyBorder="1" applyAlignment="1">
      <alignment horizontal="center" vertical="center" shrinkToFit="1"/>
    </xf>
    <xf numFmtId="0" fontId="68" fillId="0" borderId="89" xfId="0" applyFont="1" applyBorder="1" applyAlignment="1">
      <alignment horizontal="center" vertical="center" shrinkToFit="1"/>
    </xf>
    <xf numFmtId="0" fontId="68" fillId="0" borderId="82" xfId="0" applyFont="1" applyBorder="1" applyAlignment="1">
      <alignment horizontal="center" vertical="center" wrapText="1"/>
    </xf>
    <xf numFmtId="0" fontId="68" fillId="0" borderId="78" xfId="0" applyFont="1" applyBorder="1" applyAlignment="1">
      <alignment horizontal="center" vertical="center" wrapText="1"/>
    </xf>
    <xf numFmtId="0" fontId="68" fillId="0" borderId="66" xfId="0" applyFont="1" applyBorder="1" applyAlignment="1">
      <alignment horizontal="center" vertical="center" wrapText="1"/>
    </xf>
    <xf numFmtId="0" fontId="68" fillId="0" borderId="30" xfId="0" applyFont="1" applyBorder="1" applyAlignment="1">
      <alignment horizontal="center" vertical="center" wrapText="1"/>
    </xf>
    <xf numFmtId="0" fontId="68" fillId="0" borderId="76" xfId="0" applyFont="1" applyBorder="1" applyAlignment="1">
      <alignment horizontal="center" vertical="center" wrapText="1"/>
    </xf>
    <xf numFmtId="0" fontId="68" fillId="0" borderId="87" xfId="0" applyFont="1" applyBorder="1" applyAlignment="1">
      <alignment horizontal="center" vertical="center" wrapText="1"/>
    </xf>
    <xf numFmtId="0" fontId="93" fillId="0" borderId="87" xfId="0" applyFont="1" applyBorder="1" applyAlignment="1">
      <alignment horizontal="center" vertical="center"/>
    </xf>
    <xf numFmtId="0" fontId="93" fillId="0" borderId="78" xfId="0" applyFont="1" applyBorder="1" applyAlignment="1">
      <alignment horizontal="center" vertical="center"/>
    </xf>
    <xf numFmtId="0" fontId="93" fillId="0" borderId="58" xfId="0" applyFont="1" applyBorder="1" applyAlignment="1">
      <alignment horizontal="center" vertical="center"/>
    </xf>
    <xf numFmtId="0" fontId="93" fillId="0" borderId="76" xfId="0" applyFont="1" applyBorder="1" applyAlignment="1">
      <alignment horizontal="center" vertical="center"/>
    </xf>
    <xf numFmtId="0" fontId="79" fillId="0" borderId="30" xfId="0" applyFont="1" applyBorder="1"/>
    <xf numFmtId="0" fontId="68" fillId="0" borderId="0" xfId="0" applyFont="1" applyAlignment="1">
      <alignment horizontal="center" vertical="center" shrinkToFit="1"/>
    </xf>
    <xf numFmtId="0" fontId="68" fillId="0" borderId="23" xfId="0" applyFont="1" applyBorder="1" applyAlignment="1">
      <alignment horizontal="center" vertical="center" shrinkToFit="1"/>
    </xf>
    <xf numFmtId="0" fontId="68" fillId="0" borderId="22" xfId="0" applyFont="1" applyBorder="1" applyAlignment="1">
      <alignment horizontal="center" vertical="center" shrinkToFit="1"/>
    </xf>
    <xf numFmtId="0" fontId="68" fillId="0" borderId="25" xfId="0" applyFont="1" applyBorder="1" applyAlignment="1">
      <alignment horizontal="center" vertical="center" shrinkToFit="1"/>
    </xf>
    <xf numFmtId="0" fontId="79" fillId="0" borderId="78" xfId="0" applyFont="1" applyBorder="1"/>
    <xf numFmtId="0" fontId="79" fillId="0" borderId="30" xfId="0" applyFont="1" applyBorder="1" applyAlignment="1">
      <alignment horizontal="center" vertical="center"/>
    </xf>
    <xf numFmtId="0" fontId="93" fillId="0" borderId="82" xfId="0" applyFont="1" applyBorder="1" applyAlignment="1">
      <alignment horizontal="center" vertical="center"/>
    </xf>
    <xf numFmtId="0" fontId="79" fillId="0" borderId="50" xfId="0" applyFont="1" applyBorder="1" applyAlignment="1">
      <alignment horizontal="center" vertical="center"/>
    </xf>
    <xf numFmtId="0" fontId="79" fillId="0" borderId="57" xfId="0" applyFont="1" applyBorder="1" applyAlignment="1">
      <alignment horizontal="center" vertical="center"/>
    </xf>
    <xf numFmtId="0" fontId="79" fillId="0" borderId="76" xfId="0" applyFont="1" applyBorder="1" applyAlignment="1">
      <alignment horizontal="center" vertical="center"/>
    </xf>
    <xf numFmtId="0" fontId="79" fillId="0" borderId="17" xfId="0" applyFont="1" applyBorder="1" applyAlignment="1">
      <alignment horizontal="center" vertical="center"/>
    </xf>
    <xf numFmtId="0" fontId="88" fillId="0" borderId="50" xfId="0" applyFont="1" applyBorder="1" applyAlignment="1">
      <alignment horizontal="center" vertical="center"/>
    </xf>
    <xf numFmtId="0" fontId="88" fillId="0" borderId="57" xfId="0" applyFont="1" applyBorder="1" applyAlignment="1">
      <alignment horizontal="center" vertical="center"/>
    </xf>
    <xf numFmtId="0" fontId="88" fillId="0" borderId="89" xfId="0" applyFont="1" applyBorder="1" applyAlignment="1">
      <alignment horizontal="center" vertical="center"/>
    </xf>
    <xf numFmtId="0" fontId="68" fillId="0" borderId="0" xfId="0" applyFont="1" applyAlignment="1">
      <alignment horizontal="center" vertical="center"/>
    </xf>
    <xf numFmtId="20" fontId="84" fillId="0" borderId="26" xfId="0" applyNumberFormat="1" applyFont="1" applyBorder="1" applyAlignment="1">
      <alignment horizontal="center" vertical="center"/>
    </xf>
    <xf numFmtId="20" fontId="84" fillId="0" borderId="50" xfId="0" applyNumberFormat="1" applyFont="1" applyBorder="1" applyAlignment="1">
      <alignment horizontal="center" vertical="center"/>
    </xf>
    <xf numFmtId="0" fontId="86" fillId="0" borderId="0" xfId="0" applyFont="1" applyAlignment="1">
      <alignment vertical="center"/>
    </xf>
    <xf numFmtId="0" fontId="79" fillId="0" borderId="26" xfId="0" applyFont="1" applyBorder="1" applyAlignment="1">
      <alignment horizontal="center" vertical="center"/>
    </xf>
    <xf numFmtId="0" fontId="86" fillId="0" borderId="0" xfId="0" applyFont="1" applyAlignment="1">
      <alignment horizontal="center" vertical="center"/>
    </xf>
    <xf numFmtId="0" fontId="86" fillId="0" borderId="30" xfId="0" applyFont="1" applyBorder="1" applyAlignment="1">
      <alignment horizontal="center" vertical="center"/>
    </xf>
    <xf numFmtId="0" fontId="68" fillId="0" borderId="18" xfId="0" applyFont="1" applyBorder="1" applyAlignment="1">
      <alignment horizontal="center" vertical="center" shrinkToFit="1"/>
    </xf>
    <xf numFmtId="0" fontId="68" fillId="0" borderId="19" xfId="0" applyFont="1" applyBorder="1" applyAlignment="1">
      <alignment horizontal="center" vertical="center" shrinkToFit="1"/>
    </xf>
    <xf numFmtId="0" fontId="68" fillId="0" borderId="20" xfId="0" applyFont="1" applyBorder="1" applyAlignment="1">
      <alignment horizontal="center" vertical="center" shrinkToFit="1"/>
    </xf>
    <xf numFmtId="0" fontId="68" fillId="0" borderId="21" xfId="0" applyFont="1" applyBorder="1" applyAlignment="1">
      <alignment horizontal="center" vertical="center" shrinkToFit="1"/>
    </xf>
    <xf numFmtId="0" fontId="70" fillId="0" borderId="19" xfId="0" applyFont="1" applyBorder="1" applyAlignment="1">
      <alignment horizontal="center" vertical="center" wrapText="1" shrinkToFit="1"/>
    </xf>
    <xf numFmtId="0" fontId="70" fillId="0" borderId="0" xfId="0" applyFont="1" applyAlignment="1">
      <alignment horizontal="center" vertical="center" wrapText="1" shrinkToFit="1"/>
    </xf>
    <xf numFmtId="0" fontId="70" fillId="0" borderId="22" xfId="0" applyFont="1" applyBorder="1" applyAlignment="1">
      <alignment horizontal="center" vertical="center" wrapText="1" shrinkToFit="1"/>
    </xf>
    <xf numFmtId="0" fontId="68" fillId="0" borderId="24" xfId="0" applyFont="1" applyBorder="1" applyAlignment="1">
      <alignment horizontal="center" vertical="center" shrinkToFit="1"/>
    </xf>
    <xf numFmtId="0" fontId="68" fillId="0" borderId="20" xfId="0" applyFont="1" applyBorder="1" applyAlignment="1">
      <alignment horizontal="center" vertical="center"/>
    </xf>
    <xf numFmtId="0" fontId="68" fillId="0" borderId="24" xfId="0" applyFont="1" applyBorder="1" applyAlignment="1">
      <alignment horizontal="center" vertical="center"/>
    </xf>
    <xf numFmtId="0" fontId="68" fillId="0" borderId="22" xfId="0" applyFont="1" applyBorder="1" applyAlignment="1">
      <alignment horizontal="center" vertical="center"/>
    </xf>
    <xf numFmtId="0" fontId="68" fillId="0" borderId="23" xfId="0" applyFont="1" applyBorder="1" applyAlignment="1">
      <alignment horizontal="center" vertical="center"/>
    </xf>
    <xf numFmtId="0" fontId="68" fillId="0" borderId="25" xfId="0" applyFont="1" applyBorder="1" applyAlignment="1">
      <alignment horizontal="center" vertical="center"/>
    </xf>
    <xf numFmtId="0" fontId="70" fillId="0" borderId="19" xfId="0" applyFont="1" applyBorder="1" applyAlignment="1">
      <alignment horizontal="center" vertical="center" shrinkToFit="1"/>
    </xf>
    <xf numFmtId="0" fontId="70" fillId="0" borderId="0" xfId="0" applyFont="1" applyAlignment="1">
      <alignment horizontal="center" vertical="center" shrinkToFit="1"/>
    </xf>
    <xf numFmtId="0" fontId="70" fillId="0" borderId="22" xfId="0" applyFont="1" applyBorder="1" applyAlignment="1">
      <alignment horizontal="center" vertical="center" shrinkToFit="1"/>
    </xf>
    <xf numFmtId="0" fontId="88" fillId="0" borderId="18" xfId="0" applyFont="1" applyBorder="1" applyAlignment="1">
      <alignment horizontal="center" vertical="center" shrinkToFit="1"/>
    </xf>
    <xf numFmtId="0" fontId="88" fillId="0" borderId="19" xfId="0" applyFont="1" applyBorder="1" applyAlignment="1">
      <alignment horizontal="center" vertical="center" shrinkToFit="1"/>
    </xf>
    <xf numFmtId="0" fontId="88" fillId="0" borderId="21" xfId="0" applyFont="1" applyBorder="1" applyAlignment="1">
      <alignment horizontal="center" vertical="center" shrinkToFit="1"/>
    </xf>
    <xf numFmtId="0" fontId="88" fillId="0" borderId="24" xfId="0" applyFont="1" applyBorder="1" applyAlignment="1">
      <alignment horizontal="center" vertical="center" shrinkToFit="1"/>
    </xf>
    <xf numFmtId="0" fontId="88" fillId="0" borderId="22" xfId="0" applyFont="1" applyBorder="1" applyAlignment="1">
      <alignment horizontal="center" vertical="center" shrinkToFit="1"/>
    </xf>
    <xf numFmtId="0" fontId="88" fillId="0" borderId="25" xfId="0" applyFont="1" applyBorder="1" applyAlignment="1">
      <alignment horizontal="center" vertical="center" shrinkToFit="1"/>
    </xf>
    <xf numFmtId="0" fontId="54" fillId="32" borderId="58" xfId="66" applyFill="1" applyBorder="1" applyAlignment="1">
      <alignment horizontal="center" vertical="center" shrinkToFit="1"/>
    </xf>
    <xf numFmtId="0" fontId="54" fillId="32" borderId="60" xfId="66" applyFill="1" applyBorder="1" applyAlignment="1">
      <alignment horizontal="center" vertical="center" shrinkToFit="1"/>
    </xf>
    <xf numFmtId="0" fontId="56" fillId="32" borderId="89" xfId="0" applyFont="1" applyFill="1" applyBorder="1" applyAlignment="1">
      <alignment horizontal="center" vertical="center" shrinkToFit="1"/>
    </xf>
    <xf numFmtId="0" fontId="56" fillId="32" borderId="26" xfId="0" applyFont="1" applyFill="1" applyBorder="1" applyAlignment="1">
      <alignment horizontal="center" vertical="center" shrinkToFit="1"/>
    </xf>
    <xf numFmtId="0" fontId="56" fillId="0" borderId="21" xfId="0" applyFont="1" applyBorder="1" applyAlignment="1">
      <alignment horizontal="center" vertical="center" shrinkToFit="1"/>
    </xf>
    <xf numFmtId="0" fontId="56" fillId="0" borderId="23" xfId="0" applyFont="1" applyBorder="1" applyAlignment="1">
      <alignment horizontal="center" vertical="center" shrinkToFit="1"/>
    </xf>
    <xf numFmtId="0" fontId="56" fillId="0" borderId="152" xfId="0" applyFont="1" applyBorder="1" applyAlignment="1">
      <alignment horizontal="center" vertical="center" shrinkToFit="1"/>
    </xf>
    <xf numFmtId="0" fontId="56" fillId="0" borderId="19" xfId="0" applyFont="1" applyBorder="1" applyAlignment="1">
      <alignment horizontal="center" vertical="center" shrinkToFit="1"/>
    </xf>
    <xf numFmtId="0" fontId="56" fillId="0" borderId="0" xfId="0" applyFont="1" applyAlignment="1">
      <alignment horizontal="center" vertical="center" shrinkToFit="1"/>
    </xf>
    <xf numFmtId="0" fontId="56" fillId="0" borderId="101" xfId="0" applyFont="1" applyBorder="1" applyAlignment="1">
      <alignment horizontal="center" vertical="center" shrinkToFit="1"/>
    </xf>
    <xf numFmtId="0" fontId="10" fillId="0" borderId="26" xfId="84" applyFont="1" applyBorder="1" applyAlignment="1">
      <alignment horizontal="center" vertical="center"/>
    </xf>
    <xf numFmtId="0" fontId="10" fillId="0" borderId="82" xfId="84" applyFont="1" applyBorder="1" applyAlignment="1">
      <alignment horizontal="center" vertical="center"/>
    </xf>
    <xf numFmtId="0" fontId="10" fillId="0" borderId="58" xfId="84" applyFont="1" applyBorder="1" applyAlignment="1">
      <alignment horizontal="center" vertical="center"/>
    </xf>
    <xf numFmtId="0" fontId="10" fillId="0" borderId="78" xfId="84" applyFont="1" applyBorder="1" applyAlignment="1">
      <alignment horizontal="center" vertical="center"/>
    </xf>
    <xf numFmtId="0" fontId="10" fillId="0" borderId="66" xfId="84" applyFont="1" applyBorder="1" applyAlignment="1">
      <alignment horizontal="center" vertical="center"/>
    </xf>
    <xf numFmtId="0" fontId="10" fillId="0" borderId="0" xfId="84" applyFont="1" applyAlignment="1">
      <alignment horizontal="center" vertical="center"/>
    </xf>
    <xf numFmtId="0" fontId="10" fillId="0" borderId="30" xfId="84" applyFont="1" applyBorder="1" applyAlignment="1">
      <alignment horizontal="center" vertical="center"/>
    </xf>
    <xf numFmtId="0" fontId="10" fillId="0" borderId="76" xfId="84" applyFont="1" applyBorder="1" applyAlignment="1">
      <alignment horizontal="center" vertical="center"/>
    </xf>
    <xf numFmtId="0" fontId="10" fillId="0" borderId="17" xfId="84" applyFont="1" applyBorder="1" applyAlignment="1">
      <alignment horizontal="center" vertical="center"/>
    </xf>
    <xf numFmtId="0" fontId="10" fillId="0" borderId="87" xfId="84" applyFont="1" applyBorder="1" applyAlignment="1">
      <alignment horizontal="center" vertical="center"/>
    </xf>
    <xf numFmtId="0" fontId="6" fillId="0" borderId="97" xfId="72" applyFont="1" applyBorder="1" applyAlignment="1">
      <alignment horizontal="center" vertical="center" shrinkToFit="1"/>
    </xf>
    <xf numFmtId="0" fontId="0" fillId="0" borderId="19" xfId="0" applyBorder="1" applyAlignment="1">
      <alignment vertical="center" shrinkToFit="1"/>
    </xf>
    <xf numFmtId="0" fontId="0" fillId="0" borderId="0" xfId="0" applyAlignment="1">
      <alignment vertical="center" shrinkToFit="1"/>
    </xf>
    <xf numFmtId="0" fontId="6" fillId="0" borderId="144" xfId="0" applyFont="1" applyBorder="1" applyAlignment="1">
      <alignment horizontal="center" vertical="center"/>
    </xf>
    <xf numFmtId="0" fontId="6" fillId="0" borderId="115" xfId="0" applyFont="1" applyBorder="1" applyAlignment="1">
      <alignment horizontal="center" vertical="center"/>
    </xf>
    <xf numFmtId="0" fontId="6" fillId="0" borderId="115" xfId="0" applyFont="1" applyBorder="1" applyAlignment="1">
      <alignment horizontal="center" vertical="center" shrinkToFit="1"/>
    </xf>
    <xf numFmtId="0" fontId="0" fillId="0" borderId="59" xfId="0" applyBorder="1" applyAlignment="1">
      <alignment vertical="top" wrapText="1"/>
    </xf>
    <xf numFmtId="0" fontId="4" fillId="0" borderId="58" xfId="0" applyFont="1" applyBorder="1" applyAlignment="1">
      <alignment vertical="top" wrapText="1"/>
    </xf>
    <xf numFmtId="0" fontId="4" fillId="0" borderId="60" xfId="0" applyFont="1" applyBorder="1" applyAlignment="1">
      <alignment vertical="top" wrapText="1"/>
    </xf>
    <xf numFmtId="0" fontId="4" fillId="0" borderId="20" xfId="0" applyFont="1" applyBorder="1" applyAlignment="1">
      <alignment vertical="top" wrapText="1"/>
    </xf>
    <xf numFmtId="0" fontId="4" fillId="0" borderId="0" xfId="0" applyFont="1" applyAlignment="1">
      <alignment vertical="top" wrapText="1"/>
    </xf>
    <xf numFmtId="0" fontId="4" fillId="0" borderId="23" xfId="0" applyFont="1" applyBorder="1" applyAlignment="1">
      <alignment vertical="top" wrapText="1"/>
    </xf>
    <xf numFmtId="0" fontId="4" fillId="0" borderId="24" xfId="0" applyFont="1" applyBorder="1" applyAlignment="1">
      <alignment vertical="top" wrapText="1"/>
    </xf>
    <xf numFmtId="0" fontId="4" fillId="0" borderId="22" xfId="0" applyFont="1" applyBorder="1" applyAlignment="1">
      <alignment vertical="top" wrapText="1"/>
    </xf>
    <xf numFmtId="0" fontId="4" fillId="0" borderId="25" xfId="0" applyFont="1" applyBorder="1" applyAlignment="1">
      <alignment vertical="top" wrapText="1"/>
    </xf>
    <xf numFmtId="0" fontId="6" fillId="0" borderId="26" xfId="84" applyFont="1" applyBorder="1" applyAlignment="1">
      <alignment horizontal="center" vertical="center"/>
    </xf>
    <xf numFmtId="0" fontId="6" fillId="0" borderId="50" xfId="84" applyFont="1" applyBorder="1" applyAlignment="1">
      <alignment horizontal="center" vertical="center"/>
    </xf>
    <xf numFmtId="0" fontId="6" fillId="0" borderId="57" xfId="84" applyFont="1" applyBorder="1" applyAlignment="1">
      <alignment horizontal="center" vertical="center"/>
    </xf>
    <xf numFmtId="0" fontId="6" fillId="0" borderId="89" xfId="84" applyFont="1" applyBorder="1" applyAlignment="1">
      <alignment horizontal="center" vertical="center"/>
    </xf>
    <xf numFmtId="0" fontId="6" fillId="0" borderId="50" xfId="72" applyFont="1" applyBorder="1" applyAlignment="1">
      <alignment horizontal="center" vertical="center" shrinkToFit="1"/>
    </xf>
    <xf numFmtId="0" fontId="6" fillId="0" borderId="89" xfId="72" applyFont="1" applyBorder="1" applyAlignment="1">
      <alignment horizontal="center" vertical="center" shrinkToFit="1"/>
    </xf>
    <xf numFmtId="0" fontId="6" fillId="0" borderId="57" xfId="72" applyFont="1" applyBorder="1" applyAlignment="1">
      <alignment horizontal="center" vertical="center" shrinkToFit="1"/>
    </xf>
    <xf numFmtId="0" fontId="6" fillId="0" borderId="93" xfId="72" applyFont="1" applyBorder="1" applyAlignment="1">
      <alignment horizontal="center" vertical="center" shrinkToFit="1"/>
    </xf>
    <xf numFmtId="0" fontId="6" fillId="0" borderId="26" xfId="72" applyFont="1" applyBorder="1" applyAlignment="1">
      <alignment horizontal="center" vertical="center" shrinkToFit="1"/>
    </xf>
    <xf numFmtId="0" fontId="6" fillId="0" borderId="92" xfId="72" applyFont="1" applyBorder="1" applyAlignment="1">
      <alignment horizontal="center" vertical="center" shrinkToFit="1"/>
    </xf>
    <xf numFmtId="0" fontId="6" fillId="0" borderId="59" xfId="72" applyFont="1" applyBorder="1" applyAlignment="1">
      <alignment horizontal="center" vertical="center" shrinkToFit="1"/>
    </xf>
    <xf numFmtId="0" fontId="6" fillId="0" borderId="58" xfId="72" applyFont="1" applyBorder="1" applyAlignment="1">
      <alignment horizontal="center" vertical="center" shrinkToFit="1"/>
    </xf>
    <xf numFmtId="0" fontId="6" fillId="0" borderId="78" xfId="72" applyFont="1" applyBorder="1" applyAlignment="1">
      <alignment horizontal="center" vertical="center" shrinkToFit="1"/>
    </xf>
    <xf numFmtId="0" fontId="6" fillId="0" borderId="20" xfId="72" applyFont="1" applyBorder="1" applyAlignment="1">
      <alignment horizontal="center" vertical="center" shrinkToFit="1"/>
    </xf>
    <xf numFmtId="0" fontId="6" fillId="0" borderId="0" xfId="72" applyFont="1" applyAlignment="1">
      <alignment horizontal="center" vertical="center" shrinkToFit="1"/>
    </xf>
    <xf numFmtId="0" fontId="6" fillId="0" borderId="30" xfId="72" applyFont="1" applyBorder="1" applyAlignment="1">
      <alignment horizontal="center" vertical="center" shrinkToFit="1"/>
    </xf>
    <xf numFmtId="0" fontId="6" fillId="0" borderId="94" xfId="72" applyFont="1" applyBorder="1" applyAlignment="1">
      <alignment horizontal="center" vertical="center" shrinkToFit="1"/>
    </xf>
    <xf numFmtId="0" fontId="6" fillId="0" borderId="17" xfId="72" applyFont="1" applyBorder="1" applyAlignment="1">
      <alignment horizontal="center" vertical="center" shrinkToFit="1"/>
    </xf>
    <xf numFmtId="0" fontId="6" fillId="0" borderId="87" xfId="72" applyFont="1" applyBorder="1" applyAlignment="1">
      <alignment horizontal="center" vertical="center" shrinkToFit="1"/>
    </xf>
    <xf numFmtId="0" fontId="6" fillId="0" borderId="22" xfId="72" applyFont="1" applyBorder="1" applyAlignment="1">
      <alignment horizontal="center" vertical="center" shrinkToFit="1"/>
    </xf>
    <xf numFmtId="0" fontId="6" fillId="0" borderId="76" xfId="72" applyFont="1" applyBorder="1" applyAlignment="1">
      <alignment horizontal="center" vertical="center" shrinkToFit="1"/>
    </xf>
    <xf numFmtId="0" fontId="6" fillId="0" borderId="95" xfId="72" applyFont="1" applyBorder="1" applyAlignment="1">
      <alignment horizontal="center" vertical="center" shrinkToFit="1"/>
    </xf>
    <xf numFmtId="0" fontId="11" fillId="0" borderId="76" xfId="72" applyFont="1" applyBorder="1" applyAlignment="1">
      <alignment horizontal="center" vertical="center" wrapText="1" shrinkToFit="1"/>
    </xf>
    <xf numFmtId="0" fontId="11" fillId="0" borderId="87" xfId="72" applyFont="1" applyBorder="1" applyAlignment="1">
      <alignment horizontal="center" vertical="center" shrinkToFit="1"/>
    </xf>
    <xf numFmtId="0" fontId="6" fillId="0" borderId="19" xfId="72" applyFont="1" applyBorder="1" applyAlignment="1">
      <alignment horizontal="center" vertical="center" shrinkToFit="1"/>
    </xf>
    <xf numFmtId="0" fontId="11" fillId="0" borderId="22" xfId="72" applyFont="1" applyBorder="1" applyAlignment="1">
      <alignment horizontal="center" vertical="center" wrapText="1" shrinkToFit="1"/>
    </xf>
    <xf numFmtId="0" fontId="11" fillId="0" borderId="0" xfId="72" applyFont="1" applyAlignment="1">
      <alignment horizontal="center" vertical="center" wrapText="1" shrinkToFit="1"/>
    </xf>
    <xf numFmtId="0" fontId="6" fillId="0" borderId="82" xfId="72" applyFont="1" applyBorder="1" applyAlignment="1">
      <alignment horizontal="center" vertical="center" shrinkToFit="1"/>
    </xf>
    <xf numFmtId="0" fontId="11" fillId="0" borderId="19" xfId="72" applyFont="1" applyBorder="1" applyAlignment="1">
      <alignment horizontal="center" vertical="center" wrapText="1" shrinkToFit="1"/>
    </xf>
    <xf numFmtId="0" fontId="6" fillId="0" borderId="50" xfId="65" applyFont="1" applyBorder="1" applyAlignment="1">
      <alignment horizontal="center" vertical="center"/>
    </xf>
    <xf numFmtId="0" fontId="6" fillId="0" borderId="57" xfId="65" applyFont="1" applyBorder="1" applyAlignment="1">
      <alignment horizontal="center" vertical="center"/>
    </xf>
    <xf numFmtId="0" fontId="6" fillId="0" borderId="89" xfId="65" applyFont="1" applyBorder="1" applyAlignment="1">
      <alignment horizontal="center" vertical="center"/>
    </xf>
    <xf numFmtId="0" fontId="6" fillId="0" borderId="17" xfId="72" applyFont="1" applyBorder="1" applyAlignment="1">
      <alignment horizontal="center" vertical="center"/>
    </xf>
    <xf numFmtId="0" fontId="6" fillId="0" borderId="60" xfId="72" applyFont="1" applyBorder="1" applyAlignment="1">
      <alignment horizontal="center" vertical="center" shrinkToFit="1"/>
    </xf>
    <xf numFmtId="0" fontId="6" fillId="0" borderId="50" xfId="72" applyFont="1" applyBorder="1" applyAlignment="1">
      <alignment vertical="center"/>
    </xf>
    <xf numFmtId="0" fontId="6" fillId="0" borderId="57" xfId="72" applyFont="1" applyBorder="1" applyAlignment="1">
      <alignment vertical="center"/>
    </xf>
    <xf numFmtId="0" fontId="6" fillId="0" borderId="91" xfId="72" applyFont="1" applyBorder="1" applyAlignment="1">
      <alignment horizontal="center" vertical="center" shrinkToFit="1"/>
    </xf>
    <xf numFmtId="0" fontId="6" fillId="0" borderId="66" xfId="72" applyFont="1" applyBorder="1" applyAlignment="1">
      <alignment horizontal="center" vertical="center" shrinkToFit="1"/>
    </xf>
    <xf numFmtId="0" fontId="6" fillId="0" borderId="89" xfId="72" applyFont="1" applyBorder="1" applyAlignment="1">
      <alignment vertical="center"/>
    </xf>
    <xf numFmtId="0" fontId="6" fillId="0" borderId="88" xfId="72" applyFont="1" applyBorder="1" applyAlignment="1">
      <alignment horizontal="center" vertical="center" shrinkToFit="1"/>
    </xf>
    <xf numFmtId="0" fontId="30" fillId="0" borderId="0" xfId="72" applyFont="1" applyAlignment="1">
      <alignment horizontal="center" vertical="center" shrinkToFit="1"/>
    </xf>
    <xf numFmtId="0" fontId="6" fillId="0" borderId="23" xfId="72" applyFont="1" applyBorder="1" applyAlignment="1">
      <alignment horizontal="center" vertical="center" shrinkToFit="1"/>
    </xf>
    <xf numFmtId="0" fontId="32" fillId="0" borderId="88" xfId="72" applyFont="1" applyBorder="1" applyAlignment="1">
      <alignment horizontal="center" vertical="center"/>
    </xf>
    <xf numFmtId="0" fontId="32" fillId="0" borderId="90" xfId="72" applyFont="1" applyBorder="1" applyAlignment="1">
      <alignment horizontal="center" vertical="center"/>
    </xf>
    <xf numFmtId="0" fontId="32" fillId="0" borderId="91" xfId="72" applyFont="1" applyBorder="1" applyAlignment="1">
      <alignment horizontal="center" vertical="center"/>
    </xf>
    <xf numFmtId="0" fontId="57" fillId="0" borderId="160" xfId="72" applyFont="1" applyBorder="1" applyAlignment="1">
      <alignment horizontal="center" vertical="center"/>
    </xf>
    <xf numFmtId="0" fontId="57" fillId="0" borderId="0" xfId="72" applyFont="1" applyAlignment="1">
      <alignment horizontal="center" vertical="center"/>
    </xf>
    <xf numFmtId="0" fontId="57" fillId="0" borderId="168" xfId="72" applyFont="1" applyBorder="1" applyAlignment="1">
      <alignment horizontal="center" vertical="center"/>
    </xf>
    <xf numFmtId="0" fontId="57" fillId="0" borderId="23" xfId="72" applyFont="1" applyBorder="1" applyAlignment="1">
      <alignment horizontal="center" vertical="center"/>
    </xf>
    <xf numFmtId="0" fontId="57" fillId="0" borderId="94" xfId="72" applyFont="1" applyBorder="1" applyAlignment="1">
      <alignment horizontal="center" vertical="center" shrinkToFit="1"/>
    </xf>
    <xf numFmtId="0" fontId="57" fillId="0" borderId="87" xfId="72" applyFont="1" applyBorder="1" applyAlignment="1">
      <alignment horizontal="center" vertical="center" shrinkToFit="1"/>
    </xf>
    <xf numFmtId="0" fontId="57" fillId="0" borderId="50" xfId="72" applyFont="1" applyBorder="1" applyAlignment="1">
      <alignment horizontal="center" vertical="center" shrinkToFit="1"/>
    </xf>
    <xf numFmtId="0" fontId="57" fillId="0" borderId="79" xfId="72" applyFont="1" applyBorder="1" applyAlignment="1">
      <alignment horizontal="center" vertical="center" shrinkToFit="1"/>
    </xf>
    <xf numFmtId="177" fontId="57" fillId="0" borderId="163" xfId="72" applyNumberFormat="1" applyFont="1" applyBorder="1" applyAlignment="1">
      <alignment horizontal="center" vertical="center" shrinkToFit="1"/>
    </xf>
    <xf numFmtId="177" fontId="57" fillId="0" borderId="57" xfId="72" applyNumberFormat="1" applyFont="1" applyBorder="1" applyAlignment="1">
      <alignment horizontal="center" vertical="center" shrinkToFit="1"/>
    </xf>
    <xf numFmtId="0" fontId="57" fillId="0" borderId="164" xfId="72" applyFont="1" applyBorder="1" applyAlignment="1">
      <alignment horizontal="center" vertical="center" shrinkToFit="1"/>
    </xf>
    <xf numFmtId="0" fontId="57" fillId="0" borderId="165" xfId="72" applyFont="1" applyBorder="1" applyAlignment="1">
      <alignment horizontal="center" vertical="center" shrinkToFit="1"/>
    </xf>
    <xf numFmtId="0" fontId="57" fillId="0" borderId="114" xfId="72" applyFont="1" applyBorder="1" applyAlignment="1">
      <alignment horizontal="center" vertical="center"/>
    </xf>
    <xf numFmtId="0" fontId="57" fillId="0" borderId="17" xfId="72" applyFont="1" applyBorder="1" applyAlignment="1">
      <alignment horizontal="center" vertical="center"/>
    </xf>
    <xf numFmtId="0" fontId="57" fillId="0" borderId="113" xfId="72" applyFont="1" applyBorder="1" applyAlignment="1">
      <alignment horizontal="center" vertical="center"/>
    </xf>
    <xf numFmtId="0" fontId="57" fillId="0" borderId="59" xfId="72" applyFont="1" applyBorder="1" applyAlignment="1">
      <alignment horizontal="center" vertical="center" shrinkToFit="1"/>
    </xf>
    <xf numFmtId="0" fontId="57" fillId="0" borderId="78" xfId="72" applyFont="1" applyBorder="1" applyAlignment="1">
      <alignment horizontal="center" vertical="center" shrinkToFit="1"/>
    </xf>
    <xf numFmtId="0" fontId="105" fillId="0" borderId="82" xfId="72" applyFont="1" applyBorder="1" applyAlignment="1">
      <alignment horizontal="center" vertical="center" wrapText="1" shrinkToFit="1"/>
    </xf>
    <xf numFmtId="0" fontId="105" fillId="0" borderId="58" xfId="72" applyFont="1" applyBorder="1" applyAlignment="1">
      <alignment horizontal="center" vertical="center" shrinkToFit="1"/>
    </xf>
    <xf numFmtId="0" fontId="105" fillId="0" borderId="78" xfId="72" applyFont="1" applyBorder="1" applyAlignment="1">
      <alignment horizontal="center" vertical="center" shrinkToFit="1"/>
    </xf>
    <xf numFmtId="0" fontId="105" fillId="0" borderId="66" xfId="72" applyFont="1" applyBorder="1" applyAlignment="1">
      <alignment horizontal="center" vertical="center" shrinkToFit="1"/>
    </xf>
    <xf numFmtId="0" fontId="105" fillId="0" borderId="0" xfId="72" applyFont="1" applyAlignment="1">
      <alignment horizontal="center" vertical="center" shrinkToFit="1"/>
    </xf>
    <xf numFmtId="0" fontId="105" fillId="0" borderId="30" xfId="72" applyFont="1" applyBorder="1" applyAlignment="1">
      <alignment horizontal="center" vertical="center" shrinkToFit="1"/>
    </xf>
    <xf numFmtId="0" fontId="105" fillId="0" borderId="76" xfId="72" applyFont="1" applyBorder="1" applyAlignment="1">
      <alignment horizontal="center" vertical="center" shrinkToFit="1"/>
    </xf>
    <xf numFmtId="0" fontId="105" fillId="0" borderId="17" xfId="72" applyFont="1" applyBorder="1" applyAlignment="1">
      <alignment horizontal="center" vertical="center" shrinkToFit="1"/>
    </xf>
    <xf numFmtId="0" fontId="105" fillId="0" borderId="87" xfId="72" applyFont="1" applyBorder="1" applyAlignment="1">
      <alignment horizontal="center" vertical="center" shrinkToFit="1"/>
    </xf>
    <xf numFmtId="0" fontId="57" fillId="0" borderId="161" xfId="72" applyFont="1" applyBorder="1" applyAlignment="1">
      <alignment horizontal="center" vertical="center" shrinkToFit="1"/>
    </xf>
    <xf numFmtId="0" fontId="57" fillId="0" borderId="162" xfId="72" applyFont="1" applyBorder="1" applyAlignment="1">
      <alignment horizontal="center" vertical="center" shrinkToFit="1"/>
    </xf>
    <xf numFmtId="0" fontId="57" fillId="0" borderId="20" xfId="72" applyFont="1" applyBorder="1" applyAlignment="1">
      <alignment horizontal="center" vertical="center" shrinkToFit="1"/>
    </xf>
    <xf numFmtId="0" fontId="57" fillId="0" borderId="30" xfId="72" applyFont="1" applyBorder="1" applyAlignment="1">
      <alignment horizontal="center" vertical="center" shrinkToFit="1"/>
    </xf>
    <xf numFmtId="0" fontId="57" fillId="0" borderId="166" xfId="72" applyFont="1" applyBorder="1" applyAlignment="1">
      <alignment horizontal="center" vertical="center" shrinkToFit="1"/>
    </xf>
    <xf numFmtId="0" fontId="57" fillId="0" borderId="167" xfId="72" applyFont="1" applyBorder="1" applyAlignment="1">
      <alignment horizontal="center" vertical="center" shrinkToFit="1"/>
    </xf>
    <xf numFmtId="0" fontId="57" fillId="0" borderId="159" xfId="72" applyFont="1" applyBorder="1" applyAlignment="1">
      <alignment horizontal="center" vertical="center" shrinkToFit="1"/>
    </xf>
    <xf numFmtId="0" fontId="57" fillId="0" borderId="75" xfId="72" applyFont="1" applyBorder="1" applyAlignment="1">
      <alignment horizontal="center" vertical="center" shrinkToFit="1"/>
    </xf>
    <xf numFmtId="0" fontId="57" fillId="0" borderId="114" xfId="72" applyFont="1" applyBorder="1" applyAlignment="1">
      <alignment horizontal="center" vertical="center" shrinkToFit="1"/>
    </xf>
    <xf numFmtId="0" fontId="57" fillId="0" borderId="19" xfId="72" applyFont="1" applyBorder="1" applyAlignment="1">
      <alignment horizontal="center" vertical="center" shrinkToFit="1"/>
    </xf>
    <xf numFmtId="0" fontId="57" fillId="0" borderId="21" xfId="72" applyFont="1" applyBorder="1" applyAlignment="1">
      <alignment horizontal="center" vertical="center" shrinkToFit="1"/>
    </xf>
    <xf numFmtId="0" fontId="57" fillId="0" borderId="0" xfId="72" applyFont="1" applyAlignment="1">
      <alignment horizontal="center" vertical="center" shrinkToFit="1"/>
    </xf>
    <xf numFmtId="0" fontId="57" fillId="0" borderId="82" xfId="72" applyFont="1" applyBorder="1" applyAlignment="1">
      <alignment horizontal="center" vertical="center" shrinkToFit="1"/>
    </xf>
    <xf numFmtId="0" fontId="55" fillId="0" borderId="66" xfId="72" applyFont="1" applyBorder="1" applyAlignment="1">
      <alignment horizontal="center" vertical="center" shrinkToFit="1"/>
    </xf>
    <xf numFmtId="0" fontId="55" fillId="0" borderId="0" xfId="72" applyFont="1" applyAlignment="1">
      <alignment horizontal="center" vertical="center" shrinkToFit="1"/>
    </xf>
    <xf numFmtId="0" fontId="55" fillId="0" borderId="30" xfId="72" applyFont="1" applyBorder="1" applyAlignment="1">
      <alignment horizontal="center" vertical="center" shrinkToFit="1"/>
    </xf>
    <xf numFmtId="0" fontId="57" fillId="0" borderId="160" xfId="72" applyFont="1" applyBorder="1" applyAlignment="1">
      <alignment horizontal="center" vertical="center" shrinkToFit="1"/>
    </xf>
    <xf numFmtId="0" fontId="57" fillId="0" borderId="23" xfId="72" applyFont="1" applyBorder="1" applyAlignment="1">
      <alignment horizontal="center" vertical="center" shrinkToFit="1"/>
    </xf>
    <xf numFmtId="0" fontId="65" fillId="0" borderId="22" xfId="72" applyFont="1" applyBorder="1" applyAlignment="1">
      <alignment horizontal="center" vertical="center"/>
    </xf>
    <xf numFmtId="0" fontId="9" fillId="0" borderId="22" xfId="72" applyFont="1" applyBorder="1" applyAlignment="1">
      <alignment horizontal="center" vertical="center"/>
    </xf>
    <xf numFmtId="0" fontId="30" fillId="0" borderId="22" xfId="72" applyFont="1" applyBorder="1" applyAlignment="1">
      <alignment horizontal="center" vertical="center"/>
    </xf>
    <xf numFmtId="0" fontId="30" fillId="0" borderId="22" xfId="72" quotePrefix="1" applyFont="1" applyBorder="1" applyAlignment="1">
      <alignment horizontal="center" vertical="center"/>
    </xf>
    <xf numFmtId="0" fontId="57" fillId="0" borderId="18" xfId="72" applyFont="1" applyBorder="1" applyAlignment="1">
      <alignment horizontal="center" vertical="center" shrinkToFit="1"/>
    </xf>
    <xf numFmtId="0" fontId="55" fillId="0" borderId="74" xfId="72" applyFont="1" applyBorder="1" applyAlignment="1">
      <alignment horizontal="center" vertical="center" wrapText="1" shrinkToFit="1"/>
    </xf>
    <xf numFmtId="0" fontId="55" fillId="0" borderId="19" xfId="72" applyFont="1" applyBorder="1" applyAlignment="1">
      <alignment horizontal="center" vertical="center" shrinkToFit="1"/>
    </xf>
    <xf numFmtId="0" fontId="55" fillId="0" borderId="75" xfId="72" applyFont="1" applyBorder="1" applyAlignment="1">
      <alignment horizontal="center" vertical="center" shrinkToFit="1"/>
    </xf>
    <xf numFmtId="0" fontId="55" fillId="0" borderId="76" xfId="72" applyFont="1" applyBorder="1" applyAlignment="1">
      <alignment horizontal="center" vertical="center" shrinkToFit="1"/>
    </xf>
    <xf numFmtId="0" fontId="55" fillId="0" borderId="17" xfId="72" applyFont="1" applyBorder="1" applyAlignment="1">
      <alignment horizontal="center" vertical="center" shrinkToFit="1"/>
    </xf>
    <xf numFmtId="0" fontId="55" fillId="0" borderId="87" xfId="72" applyFont="1" applyBorder="1" applyAlignment="1">
      <alignment horizontal="center" vertical="center" shrinkToFit="1"/>
    </xf>
    <xf numFmtId="0" fontId="57" fillId="0" borderId="115" xfId="72" applyFont="1" applyBorder="1" applyAlignment="1">
      <alignment horizontal="center" vertical="center" shrinkToFit="1"/>
    </xf>
    <xf numFmtId="0" fontId="57" fillId="0" borderId="76" xfId="72" applyFont="1" applyBorder="1" applyAlignment="1">
      <alignment horizontal="center" vertical="center" shrinkToFit="1"/>
    </xf>
    <xf numFmtId="0" fontId="57" fillId="0" borderId="163" xfId="72" applyFont="1" applyBorder="1" applyAlignment="1">
      <alignment horizontal="center" vertical="center" shrinkToFit="1"/>
    </xf>
    <xf numFmtId="0" fontId="57" fillId="0" borderId="89" xfId="72" applyFont="1" applyBorder="1" applyAlignment="1">
      <alignment horizontal="center" vertical="center" shrinkToFit="1"/>
    </xf>
    <xf numFmtId="0" fontId="57" fillId="0" borderId="17" xfId="72" applyFont="1" applyBorder="1" applyAlignment="1">
      <alignment horizontal="center" vertical="center" shrinkToFit="1"/>
    </xf>
    <xf numFmtId="0" fontId="57" fillId="0" borderId="95" xfId="72" applyFont="1" applyBorder="1" applyAlignment="1">
      <alignment horizontal="center" vertical="center" shrinkToFit="1"/>
    </xf>
  </cellXfs>
  <cellStyles count="8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20% - アクセント1" xfId="7" xr:uid="{00000000-0005-0000-0000-000006000000}"/>
    <cellStyle name="20% - アクセント2" xfId="8" xr:uid="{00000000-0005-0000-0000-000007000000}"/>
    <cellStyle name="20% - アクセント3" xfId="9" xr:uid="{00000000-0005-0000-0000-000008000000}"/>
    <cellStyle name="20% - アクセント4" xfId="10" xr:uid="{00000000-0005-0000-0000-000009000000}"/>
    <cellStyle name="20% - アクセント5" xfId="11" xr:uid="{00000000-0005-0000-0000-00000A000000}"/>
    <cellStyle name="20% - アクセント6" xfId="12" xr:uid="{00000000-0005-0000-0000-00000B000000}"/>
    <cellStyle name="40% - アクセント 1" xfId="13" builtinId="31" customBuiltin="1"/>
    <cellStyle name="40% - アクセント 2" xfId="14" builtinId="35" customBuiltin="1"/>
    <cellStyle name="40% - アクセント 3" xfId="15" builtinId="39" customBuiltin="1"/>
    <cellStyle name="40% - アクセント 4" xfId="16" builtinId="43" customBuiltin="1"/>
    <cellStyle name="40% - アクセント 5" xfId="17" builtinId="47" customBuiltin="1"/>
    <cellStyle name="40% - アクセント 6" xfId="18" builtinId="51" customBuiltin="1"/>
    <cellStyle name="40% - アクセント1" xfId="19" xr:uid="{00000000-0005-0000-0000-000012000000}"/>
    <cellStyle name="40% - アクセント2" xfId="20" xr:uid="{00000000-0005-0000-0000-000013000000}"/>
    <cellStyle name="40% - アクセント3" xfId="21" xr:uid="{00000000-0005-0000-0000-000014000000}"/>
    <cellStyle name="40% - アクセント4" xfId="22" xr:uid="{00000000-0005-0000-0000-000015000000}"/>
    <cellStyle name="40% - アクセント5" xfId="23" xr:uid="{00000000-0005-0000-0000-000016000000}"/>
    <cellStyle name="40% - アクセント6"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60% - アクセント1" xfId="31" xr:uid="{00000000-0005-0000-0000-00001E000000}"/>
    <cellStyle name="60% - アクセント2" xfId="32" xr:uid="{00000000-0005-0000-0000-00001F000000}"/>
    <cellStyle name="60% - アクセント3" xfId="33" xr:uid="{00000000-0005-0000-0000-000020000000}"/>
    <cellStyle name="60% - アクセント4" xfId="34" xr:uid="{00000000-0005-0000-0000-000021000000}"/>
    <cellStyle name="60% - アクセント5" xfId="35" xr:uid="{00000000-0005-0000-0000-000022000000}"/>
    <cellStyle name="60% - アクセント6" xfId="36" xr:uid="{00000000-0005-0000-0000-000023000000}"/>
    <cellStyle name="アクセント 1" xfId="37" builtinId="29" customBuiltin="1"/>
    <cellStyle name="アクセント 2" xfId="38" builtinId="33" customBuiltin="1"/>
    <cellStyle name="アクセント 3" xfId="39" builtinId="37" customBuiltin="1"/>
    <cellStyle name="アクセント 4" xfId="40" builtinId="41" customBuiltin="1"/>
    <cellStyle name="アクセント 5" xfId="41" builtinId="45" customBuiltin="1"/>
    <cellStyle name="アクセント 6" xfId="42" builtinId="49" customBuiltin="1"/>
    <cellStyle name="タイトル" xfId="43" builtinId="15" customBuiltin="1"/>
    <cellStyle name="チェック セル" xfId="44" builtinId="23" customBuiltin="1"/>
    <cellStyle name="どちらでもない" xfId="45" builtinId="28" customBuiltin="1"/>
    <cellStyle name="ハイパーリンク 2" xfId="46" xr:uid="{00000000-0005-0000-0000-00002D000000}"/>
    <cellStyle name="ハイパーリンク 3" xfId="47" xr:uid="{00000000-0005-0000-0000-00002E000000}"/>
    <cellStyle name="メモ" xfId="48" builtinId="10" customBuiltin="1"/>
    <cellStyle name="リンク セル" xfId="49" builtinId="24" customBuiltin="1"/>
    <cellStyle name="悪い" xfId="50" builtinId="27" customBuiltin="1"/>
    <cellStyle name="計算" xfId="51" builtinId="22" customBuiltin="1"/>
    <cellStyle name="警告文" xfId="52" builtinId="11" customBuiltin="1"/>
    <cellStyle name="桁区切り 2" xfId="53" xr:uid="{00000000-0005-0000-0000-000034000000}"/>
    <cellStyle name="見出し 1" xfId="54" builtinId="16" customBuiltin="1"/>
    <cellStyle name="見出し 2" xfId="55" builtinId="17" customBuiltin="1"/>
    <cellStyle name="見出し 3" xfId="56" builtinId="18" customBuiltin="1"/>
    <cellStyle name="見出し 4" xfId="57" builtinId="19" customBuiltin="1"/>
    <cellStyle name="合計" xfId="58" xr:uid="{00000000-0005-0000-0000-000039000000}"/>
    <cellStyle name="集計" xfId="59" builtinId="25" customBuiltin="1"/>
    <cellStyle name="出力" xfId="60" builtinId="21" customBuiltin="1"/>
    <cellStyle name="説明文" xfId="61" builtinId="53" customBuiltin="1"/>
    <cellStyle name="通貨 2" xfId="62" xr:uid="{00000000-0005-0000-0000-00003D000000}"/>
    <cellStyle name="入力" xfId="63" builtinId="20" customBuiltin="1"/>
    <cellStyle name="標準" xfId="0" builtinId="0"/>
    <cellStyle name="標準 10" xfId="82" xr:uid="{00000000-0005-0000-0000-000040000000}"/>
    <cellStyle name="標準 10 3" xfId="85" xr:uid="{492BFAAC-971D-476E-8188-4A5B0EA0EA79}"/>
    <cellStyle name="標準 2" xfId="64" xr:uid="{00000000-0005-0000-0000-000041000000}"/>
    <cellStyle name="標準 2 2" xfId="65" xr:uid="{00000000-0005-0000-0000-000042000000}"/>
    <cellStyle name="標準 2 3" xfId="66" xr:uid="{00000000-0005-0000-0000-000043000000}"/>
    <cellStyle name="標準 2 4" xfId="84" xr:uid="{2F78EC42-646D-4E4E-9B3B-8B1B929A1786}"/>
    <cellStyle name="標準 2_参加申込書" xfId="67" xr:uid="{00000000-0005-0000-0000-000044000000}"/>
    <cellStyle name="標準 3" xfId="68" xr:uid="{00000000-0005-0000-0000-000045000000}"/>
    <cellStyle name="標準 3 2" xfId="83" xr:uid="{F187F441-D52D-4AFD-B0A3-EAF6F6F3CBEB}"/>
    <cellStyle name="標準 4" xfId="69" xr:uid="{00000000-0005-0000-0000-000046000000}"/>
    <cellStyle name="標準 5" xfId="70" xr:uid="{00000000-0005-0000-0000-000047000000}"/>
    <cellStyle name="標準 6" xfId="71" xr:uid="{00000000-0005-0000-0000-000048000000}"/>
    <cellStyle name="標準 7" xfId="72" xr:uid="{00000000-0005-0000-0000-000049000000}"/>
    <cellStyle name="標準 8" xfId="73" xr:uid="{00000000-0005-0000-0000-00004A000000}"/>
    <cellStyle name="標準 9" xfId="74" xr:uid="{00000000-0005-0000-0000-00004B000000}"/>
    <cellStyle name="標準_２０００年度春ﾘｰｸﾞ成績表" xfId="75" xr:uid="{00000000-0005-0000-0000-00004C000000}"/>
    <cellStyle name="標準_結果報告用紙_３７全少抽選会資料" xfId="76" xr:uid="{00000000-0005-0000-0000-00004D000000}"/>
    <cellStyle name="標準_組み合わせ作成" xfId="77" xr:uid="{00000000-0005-0000-0000-00004E000000}"/>
    <cellStyle name="標準_組合せ　抽選用" xfId="78" xr:uid="{00000000-0005-0000-0000-00004F000000}"/>
    <cellStyle name="標準_予選" xfId="79" xr:uid="{00000000-0005-0000-0000-000050000000}"/>
    <cellStyle name="普通" xfId="80" xr:uid="{00000000-0005-0000-0000-000051000000}"/>
    <cellStyle name="良い" xfId="81" builtinId="26" customBuiltin="1"/>
  </cellStyles>
  <dxfs count="20">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179274</xdr:colOff>
      <xdr:row>29</xdr:row>
      <xdr:rowOff>33618</xdr:rowOff>
    </xdr:from>
    <xdr:to>
      <xdr:col>10</xdr:col>
      <xdr:colOff>33616</xdr:colOff>
      <xdr:row>29</xdr:row>
      <xdr:rowOff>190500</xdr:rowOff>
    </xdr:to>
    <xdr:sp macro="" textlink="">
      <xdr:nvSpPr>
        <xdr:cNvPr id="21" name="大かっこ 20">
          <a:extLst>
            <a:ext uri="{FF2B5EF4-FFF2-40B4-BE49-F238E27FC236}">
              <a16:creationId xmlns:a16="http://schemas.microsoft.com/office/drawing/2014/main" id="{00000000-0008-0000-0400-000015000000}"/>
            </a:ext>
          </a:extLst>
        </xdr:cNvPr>
        <xdr:cNvSpPr/>
      </xdr:nvSpPr>
      <xdr:spPr>
        <a:xfrm>
          <a:off x="379299" y="5920068"/>
          <a:ext cx="1654567" cy="1568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179275</xdr:colOff>
      <xdr:row>30</xdr:row>
      <xdr:rowOff>33618</xdr:rowOff>
    </xdr:from>
    <xdr:to>
      <xdr:col>10</xdr:col>
      <xdr:colOff>33617</xdr:colOff>
      <xdr:row>30</xdr:row>
      <xdr:rowOff>190500</xdr:rowOff>
    </xdr:to>
    <xdr:sp macro="" textlink="">
      <xdr:nvSpPr>
        <xdr:cNvPr id="22" name="大かっこ 21">
          <a:extLst>
            <a:ext uri="{FF2B5EF4-FFF2-40B4-BE49-F238E27FC236}">
              <a16:creationId xmlns:a16="http://schemas.microsoft.com/office/drawing/2014/main" id="{00000000-0008-0000-0400-000016000000}"/>
            </a:ext>
          </a:extLst>
        </xdr:cNvPr>
        <xdr:cNvSpPr/>
      </xdr:nvSpPr>
      <xdr:spPr>
        <a:xfrm>
          <a:off x="379300" y="6129618"/>
          <a:ext cx="1654567" cy="1568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oneCell">
    <xdr:from>
      <xdr:col>26</xdr:col>
      <xdr:colOff>112059</xdr:colOff>
      <xdr:row>109</xdr:row>
      <xdr:rowOff>11205</xdr:rowOff>
    </xdr:from>
    <xdr:to>
      <xdr:col>35</xdr:col>
      <xdr:colOff>158775</xdr:colOff>
      <xdr:row>112</xdr:row>
      <xdr:rowOff>136264</xdr:rowOff>
    </xdr:to>
    <xdr:pic>
      <xdr:nvPicPr>
        <xdr:cNvPr id="25" name="図 1">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1" cstate="print"/>
        <a:srcRect/>
        <a:stretch>
          <a:fillRect/>
        </a:stretch>
      </xdr:blipFill>
      <xdr:spPr bwMode="auto">
        <a:xfrm>
          <a:off x="5356412" y="21896293"/>
          <a:ext cx="1865244" cy="766970"/>
        </a:xfrm>
        <a:prstGeom prst="rect">
          <a:avLst/>
        </a:prstGeom>
        <a:noFill/>
        <a:ln w="9525">
          <a:noFill/>
          <a:miter lim="800000"/>
          <a:headEnd/>
          <a:tailEnd/>
        </a:ln>
      </xdr:spPr>
    </xdr:pic>
    <xdr:clientData/>
  </xdr:twoCellAnchor>
  <xdr:twoCellAnchor editAs="oneCell">
    <xdr:from>
      <xdr:col>22</xdr:col>
      <xdr:colOff>89649</xdr:colOff>
      <xdr:row>109</xdr:row>
      <xdr:rowOff>56029</xdr:rowOff>
    </xdr:from>
    <xdr:to>
      <xdr:col>27</xdr:col>
      <xdr:colOff>22413</xdr:colOff>
      <xdr:row>112</xdr:row>
      <xdr:rowOff>45949</xdr:rowOff>
    </xdr:to>
    <xdr:pic>
      <xdr:nvPicPr>
        <xdr:cNvPr id="24" name="図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2" cstate="print"/>
        <a:srcRect/>
        <a:stretch>
          <a:fillRect/>
        </a:stretch>
      </xdr:blipFill>
      <xdr:spPr bwMode="auto">
        <a:xfrm>
          <a:off x="4527178" y="21941117"/>
          <a:ext cx="941294" cy="63183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19</xdr:row>
      <xdr:rowOff>0</xdr:rowOff>
    </xdr:from>
    <xdr:to>
      <xdr:col>15</xdr:col>
      <xdr:colOff>0</xdr:colOff>
      <xdr:row>19</xdr:row>
      <xdr:rowOff>0</xdr:rowOff>
    </xdr:to>
    <xdr:sp macro="" textlink="">
      <xdr:nvSpPr>
        <xdr:cNvPr id="1711" name="Line 1">
          <a:extLst>
            <a:ext uri="{FF2B5EF4-FFF2-40B4-BE49-F238E27FC236}">
              <a16:creationId xmlns:a16="http://schemas.microsoft.com/office/drawing/2014/main" id="{00000000-0008-0000-0600-0000AF060000}"/>
            </a:ext>
          </a:extLst>
        </xdr:cNvPr>
        <xdr:cNvSpPr>
          <a:spLocks noChangeShapeType="1"/>
        </xdr:cNvSpPr>
      </xdr:nvSpPr>
      <xdr:spPr bwMode="auto">
        <a:xfrm flipV="1">
          <a:off x="685800" y="3467100"/>
          <a:ext cx="7372350" cy="0"/>
        </a:xfrm>
        <a:prstGeom prst="line">
          <a:avLst/>
        </a:prstGeom>
        <a:noFill/>
        <a:ln w="12700">
          <a:solidFill>
            <a:srgbClr val="000000"/>
          </a:solidFill>
          <a:prstDash val="dashDot"/>
          <a:round/>
          <a:headEnd/>
          <a:tailEnd/>
        </a:ln>
      </xdr:spPr>
    </xdr:sp>
    <xdr:clientData/>
  </xdr:twoCellAnchor>
  <xdr:twoCellAnchor>
    <xdr:from>
      <xdr:col>8</xdr:col>
      <xdr:colOff>0</xdr:colOff>
      <xdr:row>3</xdr:row>
      <xdr:rowOff>0</xdr:rowOff>
    </xdr:from>
    <xdr:to>
      <xdr:col>8</xdr:col>
      <xdr:colOff>0</xdr:colOff>
      <xdr:row>36</xdr:row>
      <xdr:rowOff>0</xdr:rowOff>
    </xdr:to>
    <xdr:sp macro="" textlink="">
      <xdr:nvSpPr>
        <xdr:cNvPr id="1712" name="Line 2">
          <a:extLst>
            <a:ext uri="{FF2B5EF4-FFF2-40B4-BE49-F238E27FC236}">
              <a16:creationId xmlns:a16="http://schemas.microsoft.com/office/drawing/2014/main" id="{00000000-0008-0000-0600-0000B0060000}"/>
            </a:ext>
          </a:extLst>
        </xdr:cNvPr>
        <xdr:cNvSpPr>
          <a:spLocks noChangeShapeType="1"/>
        </xdr:cNvSpPr>
      </xdr:nvSpPr>
      <xdr:spPr bwMode="auto">
        <a:xfrm>
          <a:off x="4371975" y="571500"/>
          <a:ext cx="0" cy="5962650"/>
        </a:xfrm>
        <a:prstGeom prst="line">
          <a:avLst/>
        </a:prstGeom>
        <a:noFill/>
        <a:ln w="38100">
          <a:solidFill>
            <a:srgbClr val="000000"/>
          </a:solidFill>
          <a:prstDash val="dashDot"/>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5</xdr:row>
      <xdr:rowOff>0</xdr:rowOff>
    </xdr:from>
    <xdr:to>
      <xdr:col>4</xdr:col>
      <xdr:colOff>0</xdr:colOff>
      <xdr:row>6</xdr:row>
      <xdr:rowOff>0</xdr:rowOff>
    </xdr:to>
    <xdr:sp macro="" textlink="">
      <xdr:nvSpPr>
        <xdr:cNvPr id="66784" name="AutoShape 2">
          <a:extLst>
            <a:ext uri="{FF2B5EF4-FFF2-40B4-BE49-F238E27FC236}">
              <a16:creationId xmlns:a16="http://schemas.microsoft.com/office/drawing/2014/main" id="{00000000-0008-0000-0700-0000E0040100}"/>
            </a:ext>
          </a:extLst>
        </xdr:cNvPr>
        <xdr:cNvSpPr>
          <a:spLocks noChangeArrowheads="1"/>
        </xdr:cNvSpPr>
      </xdr:nvSpPr>
      <xdr:spPr bwMode="auto">
        <a:xfrm>
          <a:off x="1724025" y="26574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6</xdr:col>
      <xdr:colOff>0</xdr:colOff>
      <xdr:row>5</xdr:row>
      <xdr:rowOff>0</xdr:rowOff>
    </xdr:from>
    <xdr:to>
      <xdr:col>7</xdr:col>
      <xdr:colOff>0</xdr:colOff>
      <xdr:row>6</xdr:row>
      <xdr:rowOff>0</xdr:rowOff>
    </xdr:to>
    <xdr:sp macro="" textlink="">
      <xdr:nvSpPr>
        <xdr:cNvPr id="66785" name="AutoShape 3">
          <a:extLst>
            <a:ext uri="{FF2B5EF4-FFF2-40B4-BE49-F238E27FC236}">
              <a16:creationId xmlns:a16="http://schemas.microsoft.com/office/drawing/2014/main" id="{00000000-0008-0000-0700-0000E1040100}"/>
            </a:ext>
          </a:extLst>
        </xdr:cNvPr>
        <xdr:cNvSpPr>
          <a:spLocks noChangeArrowheads="1"/>
        </xdr:cNvSpPr>
      </xdr:nvSpPr>
      <xdr:spPr bwMode="auto">
        <a:xfrm>
          <a:off x="4076700" y="26574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9</xdr:col>
      <xdr:colOff>0</xdr:colOff>
      <xdr:row>5</xdr:row>
      <xdr:rowOff>0</xdr:rowOff>
    </xdr:from>
    <xdr:to>
      <xdr:col>10</xdr:col>
      <xdr:colOff>0</xdr:colOff>
      <xdr:row>6</xdr:row>
      <xdr:rowOff>0</xdr:rowOff>
    </xdr:to>
    <xdr:sp macro="" textlink="">
      <xdr:nvSpPr>
        <xdr:cNvPr id="66786" name="AutoShape 4">
          <a:extLst>
            <a:ext uri="{FF2B5EF4-FFF2-40B4-BE49-F238E27FC236}">
              <a16:creationId xmlns:a16="http://schemas.microsoft.com/office/drawing/2014/main" id="{00000000-0008-0000-0700-0000E2040100}"/>
            </a:ext>
          </a:extLst>
        </xdr:cNvPr>
        <xdr:cNvSpPr>
          <a:spLocks noChangeArrowheads="1"/>
        </xdr:cNvSpPr>
      </xdr:nvSpPr>
      <xdr:spPr bwMode="auto">
        <a:xfrm>
          <a:off x="6429375" y="26574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12</xdr:col>
      <xdr:colOff>0</xdr:colOff>
      <xdr:row>5</xdr:row>
      <xdr:rowOff>0</xdr:rowOff>
    </xdr:from>
    <xdr:to>
      <xdr:col>13</xdr:col>
      <xdr:colOff>0</xdr:colOff>
      <xdr:row>6</xdr:row>
      <xdr:rowOff>0</xdr:rowOff>
    </xdr:to>
    <xdr:sp macro="" textlink="">
      <xdr:nvSpPr>
        <xdr:cNvPr id="66787" name="AutoShape 5">
          <a:extLst>
            <a:ext uri="{FF2B5EF4-FFF2-40B4-BE49-F238E27FC236}">
              <a16:creationId xmlns:a16="http://schemas.microsoft.com/office/drawing/2014/main" id="{00000000-0008-0000-0700-0000E3040100}"/>
            </a:ext>
          </a:extLst>
        </xdr:cNvPr>
        <xdr:cNvSpPr>
          <a:spLocks noChangeArrowheads="1"/>
        </xdr:cNvSpPr>
      </xdr:nvSpPr>
      <xdr:spPr bwMode="auto">
        <a:xfrm>
          <a:off x="8782050" y="26574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3</xdr:col>
      <xdr:colOff>0</xdr:colOff>
      <xdr:row>10</xdr:row>
      <xdr:rowOff>0</xdr:rowOff>
    </xdr:from>
    <xdr:to>
      <xdr:col>4</xdr:col>
      <xdr:colOff>0</xdr:colOff>
      <xdr:row>11</xdr:row>
      <xdr:rowOff>0</xdr:rowOff>
    </xdr:to>
    <xdr:sp macro="" textlink="">
      <xdr:nvSpPr>
        <xdr:cNvPr id="66788" name="AutoShape 6">
          <a:extLst>
            <a:ext uri="{FF2B5EF4-FFF2-40B4-BE49-F238E27FC236}">
              <a16:creationId xmlns:a16="http://schemas.microsoft.com/office/drawing/2014/main" id="{00000000-0008-0000-0700-0000E4040100}"/>
            </a:ext>
          </a:extLst>
        </xdr:cNvPr>
        <xdr:cNvSpPr>
          <a:spLocks noChangeArrowheads="1"/>
        </xdr:cNvSpPr>
      </xdr:nvSpPr>
      <xdr:spPr bwMode="auto">
        <a:xfrm>
          <a:off x="1724025" y="55149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6</xdr:col>
      <xdr:colOff>0</xdr:colOff>
      <xdr:row>10</xdr:row>
      <xdr:rowOff>0</xdr:rowOff>
    </xdr:from>
    <xdr:to>
      <xdr:col>7</xdr:col>
      <xdr:colOff>0</xdr:colOff>
      <xdr:row>11</xdr:row>
      <xdr:rowOff>0</xdr:rowOff>
    </xdr:to>
    <xdr:sp macro="" textlink="">
      <xdr:nvSpPr>
        <xdr:cNvPr id="66789" name="AutoShape 7">
          <a:extLst>
            <a:ext uri="{FF2B5EF4-FFF2-40B4-BE49-F238E27FC236}">
              <a16:creationId xmlns:a16="http://schemas.microsoft.com/office/drawing/2014/main" id="{00000000-0008-0000-0700-0000E5040100}"/>
            </a:ext>
          </a:extLst>
        </xdr:cNvPr>
        <xdr:cNvSpPr>
          <a:spLocks noChangeArrowheads="1"/>
        </xdr:cNvSpPr>
      </xdr:nvSpPr>
      <xdr:spPr bwMode="auto">
        <a:xfrm>
          <a:off x="4076700" y="55149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9</xdr:col>
      <xdr:colOff>0</xdr:colOff>
      <xdr:row>10</xdr:row>
      <xdr:rowOff>0</xdr:rowOff>
    </xdr:from>
    <xdr:to>
      <xdr:col>10</xdr:col>
      <xdr:colOff>0</xdr:colOff>
      <xdr:row>11</xdr:row>
      <xdr:rowOff>0</xdr:rowOff>
    </xdr:to>
    <xdr:sp macro="" textlink="">
      <xdr:nvSpPr>
        <xdr:cNvPr id="66790" name="AutoShape 8">
          <a:extLst>
            <a:ext uri="{FF2B5EF4-FFF2-40B4-BE49-F238E27FC236}">
              <a16:creationId xmlns:a16="http://schemas.microsoft.com/office/drawing/2014/main" id="{00000000-0008-0000-0700-0000E6040100}"/>
            </a:ext>
          </a:extLst>
        </xdr:cNvPr>
        <xdr:cNvSpPr>
          <a:spLocks noChangeArrowheads="1"/>
        </xdr:cNvSpPr>
      </xdr:nvSpPr>
      <xdr:spPr bwMode="auto">
        <a:xfrm>
          <a:off x="6429375" y="55149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12</xdr:col>
      <xdr:colOff>0</xdr:colOff>
      <xdr:row>10</xdr:row>
      <xdr:rowOff>0</xdr:rowOff>
    </xdr:from>
    <xdr:to>
      <xdr:col>13</xdr:col>
      <xdr:colOff>0</xdr:colOff>
      <xdr:row>11</xdr:row>
      <xdr:rowOff>0</xdr:rowOff>
    </xdr:to>
    <xdr:sp macro="" textlink="">
      <xdr:nvSpPr>
        <xdr:cNvPr id="66791" name="AutoShape 9">
          <a:extLst>
            <a:ext uri="{FF2B5EF4-FFF2-40B4-BE49-F238E27FC236}">
              <a16:creationId xmlns:a16="http://schemas.microsoft.com/office/drawing/2014/main" id="{00000000-0008-0000-0700-0000E7040100}"/>
            </a:ext>
          </a:extLst>
        </xdr:cNvPr>
        <xdr:cNvSpPr>
          <a:spLocks noChangeArrowheads="1"/>
        </xdr:cNvSpPr>
      </xdr:nvSpPr>
      <xdr:spPr bwMode="auto">
        <a:xfrm>
          <a:off x="8782050" y="5514975"/>
          <a:ext cx="809625" cy="571500"/>
        </a:xfrm>
        <a:prstGeom prst="triangle">
          <a:avLst>
            <a:gd name="adj" fmla="val 50000"/>
          </a:avLst>
        </a:prstGeom>
        <a:noFill/>
        <a:ln w="12700">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80</xdr:row>
      <xdr:rowOff>0</xdr:rowOff>
    </xdr:from>
    <xdr:to>
      <xdr:col>4</xdr:col>
      <xdr:colOff>0</xdr:colOff>
      <xdr:row>84</xdr:row>
      <xdr:rowOff>0</xdr:rowOff>
    </xdr:to>
    <xdr:cxnSp macro="">
      <xdr:nvCxnSpPr>
        <xdr:cNvPr id="3" name="直線コネクタ 2">
          <a:extLst>
            <a:ext uri="{FF2B5EF4-FFF2-40B4-BE49-F238E27FC236}">
              <a16:creationId xmlns:a16="http://schemas.microsoft.com/office/drawing/2014/main" id="{00000000-0008-0000-0E00-000003000000}"/>
            </a:ext>
          </a:extLst>
        </xdr:cNvPr>
        <xdr:cNvCxnSpPr/>
      </xdr:nvCxnSpPr>
      <xdr:spPr>
        <a:xfrm>
          <a:off x="0" y="13484679"/>
          <a:ext cx="2354036" cy="1360714"/>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80</xdr:row>
      <xdr:rowOff>0</xdr:rowOff>
    </xdr:from>
    <xdr:to>
      <xdr:col>4</xdr:col>
      <xdr:colOff>0</xdr:colOff>
      <xdr:row>84</xdr:row>
      <xdr:rowOff>0</xdr:rowOff>
    </xdr:to>
    <xdr:cxnSp macro="">
      <xdr:nvCxnSpPr>
        <xdr:cNvPr id="7" name="直線コネクタ 6">
          <a:extLst>
            <a:ext uri="{FF2B5EF4-FFF2-40B4-BE49-F238E27FC236}">
              <a16:creationId xmlns:a16="http://schemas.microsoft.com/office/drawing/2014/main" id="{00000000-0008-0000-0E00-000007000000}"/>
            </a:ext>
          </a:extLst>
        </xdr:cNvPr>
        <xdr:cNvCxnSpPr/>
      </xdr:nvCxnSpPr>
      <xdr:spPr>
        <a:xfrm flipH="1">
          <a:off x="0" y="13484679"/>
          <a:ext cx="2354036" cy="1360714"/>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110</xdr:row>
      <xdr:rowOff>0</xdr:rowOff>
    </xdr:from>
    <xdr:to>
      <xdr:col>4</xdr:col>
      <xdr:colOff>0</xdr:colOff>
      <xdr:row>114</xdr:row>
      <xdr:rowOff>0</xdr:rowOff>
    </xdr:to>
    <xdr:cxnSp macro="">
      <xdr:nvCxnSpPr>
        <xdr:cNvPr id="11" name="直線コネクタ 10">
          <a:extLst>
            <a:ext uri="{FF2B5EF4-FFF2-40B4-BE49-F238E27FC236}">
              <a16:creationId xmlns:a16="http://schemas.microsoft.com/office/drawing/2014/main" id="{00000000-0008-0000-0E00-00000B000000}"/>
            </a:ext>
          </a:extLst>
        </xdr:cNvPr>
        <xdr:cNvCxnSpPr/>
      </xdr:nvCxnSpPr>
      <xdr:spPr>
        <a:xfrm>
          <a:off x="0" y="18396857"/>
          <a:ext cx="2354036" cy="1360714"/>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110</xdr:row>
      <xdr:rowOff>0</xdr:rowOff>
    </xdr:from>
    <xdr:to>
      <xdr:col>4</xdr:col>
      <xdr:colOff>0</xdr:colOff>
      <xdr:row>114</xdr:row>
      <xdr:rowOff>0</xdr:rowOff>
    </xdr:to>
    <xdr:cxnSp macro="">
      <xdr:nvCxnSpPr>
        <xdr:cNvPr id="12" name="直線コネクタ 11">
          <a:extLst>
            <a:ext uri="{FF2B5EF4-FFF2-40B4-BE49-F238E27FC236}">
              <a16:creationId xmlns:a16="http://schemas.microsoft.com/office/drawing/2014/main" id="{00000000-0008-0000-0E00-00000C000000}"/>
            </a:ext>
          </a:extLst>
        </xdr:cNvPr>
        <xdr:cNvCxnSpPr/>
      </xdr:nvCxnSpPr>
      <xdr:spPr>
        <a:xfrm flipH="1">
          <a:off x="0" y="18396857"/>
          <a:ext cx="2354036" cy="1360714"/>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9</xdr:row>
      <xdr:rowOff>0</xdr:rowOff>
    </xdr:from>
    <xdr:to>
      <xdr:col>15</xdr:col>
      <xdr:colOff>0</xdr:colOff>
      <xdr:row>10</xdr:row>
      <xdr:rowOff>0</xdr:rowOff>
    </xdr:to>
    <xdr:sp macro="" textlink="">
      <xdr:nvSpPr>
        <xdr:cNvPr id="7" name="Oval 5">
          <a:extLst>
            <a:ext uri="{FF2B5EF4-FFF2-40B4-BE49-F238E27FC236}">
              <a16:creationId xmlns:a16="http://schemas.microsoft.com/office/drawing/2014/main" id="{00000000-0008-0000-0F00-000007000000}"/>
            </a:ext>
          </a:extLst>
        </xdr:cNvPr>
        <xdr:cNvSpPr>
          <a:spLocks noChangeArrowheads="1"/>
        </xdr:cNvSpPr>
      </xdr:nvSpPr>
      <xdr:spPr bwMode="auto">
        <a:xfrm>
          <a:off x="3265714" y="2413000"/>
          <a:ext cx="816429" cy="254000"/>
        </a:xfrm>
        <a:prstGeom prst="ellipse">
          <a:avLst/>
        </a:prstGeom>
        <a:noFill/>
        <a:ln w="25400">
          <a:solidFill>
            <a:srgbClr val="000000"/>
          </a:solidFill>
          <a:round/>
          <a:headEnd/>
          <a:tailEnd/>
        </a:ln>
      </xdr:spPr>
    </xdr:sp>
    <xdr:clientData/>
  </xdr:twoCellAnchor>
  <xdr:twoCellAnchor>
    <xdr:from>
      <xdr:col>16</xdr:col>
      <xdr:colOff>0</xdr:colOff>
      <xdr:row>3</xdr:row>
      <xdr:rowOff>0</xdr:rowOff>
    </xdr:from>
    <xdr:to>
      <xdr:col>18</xdr:col>
      <xdr:colOff>0</xdr:colOff>
      <xdr:row>4</xdr:row>
      <xdr:rowOff>0</xdr:rowOff>
    </xdr:to>
    <xdr:sp macro="" textlink="">
      <xdr:nvSpPr>
        <xdr:cNvPr id="8" name="Oval 1">
          <a:extLst>
            <a:ext uri="{FF2B5EF4-FFF2-40B4-BE49-F238E27FC236}">
              <a16:creationId xmlns:a16="http://schemas.microsoft.com/office/drawing/2014/main" id="{00000000-0008-0000-0F00-000008000000}"/>
            </a:ext>
          </a:extLst>
        </xdr:cNvPr>
        <xdr:cNvSpPr>
          <a:spLocks noChangeArrowheads="1"/>
        </xdr:cNvSpPr>
      </xdr:nvSpPr>
      <xdr:spPr bwMode="auto">
        <a:xfrm>
          <a:off x="4724400" y="876300"/>
          <a:ext cx="590550" cy="247650"/>
        </a:xfrm>
        <a:prstGeom prst="ellipse">
          <a:avLst/>
        </a:prstGeom>
        <a:noFill/>
        <a:ln w="25400">
          <a:solidFill>
            <a:srgbClr val="000000"/>
          </a:solidFill>
          <a:round/>
          <a:headEnd/>
          <a:tailEnd/>
        </a:ln>
      </xdr:spPr>
    </xdr:sp>
    <xdr:clientData/>
  </xdr:twoCellAnchor>
  <xdr:twoCellAnchor>
    <xdr:from>
      <xdr:col>14</xdr:col>
      <xdr:colOff>295275</xdr:colOff>
      <xdr:row>4</xdr:row>
      <xdr:rowOff>0</xdr:rowOff>
    </xdr:from>
    <xdr:to>
      <xdr:col>15</xdr:col>
      <xdr:colOff>295275</xdr:colOff>
      <xdr:row>5</xdr:row>
      <xdr:rowOff>0</xdr:rowOff>
    </xdr:to>
    <xdr:sp macro="" textlink="">
      <xdr:nvSpPr>
        <xdr:cNvPr id="9" name="Oval 3">
          <a:extLst>
            <a:ext uri="{FF2B5EF4-FFF2-40B4-BE49-F238E27FC236}">
              <a16:creationId xmlns:a16="http://schemas.microsoft.com/office/drawing/2014/main" id="{00000000-0008-0000-0F00-000009000000}"/>
            </a:ext>
          </a:extLst>
        </xdr:cNvPr>
        <xdr:cNvSpPr>
          <a:spLocks noChangeArrowheads="1"/>
        </xdr:cNvSpPr>
      </xdr:nvSpPr>
      <xdr:spPr bwMode="auto">
        <a:xfrm>
          <a:off x="4429125" y="1123950"/>
          <a:ext cx="295275" cy="247650"/>
        </a:xfrm>
        <a:prstGeom prst="ellipse">
          <a:avLst/>
        </a:prstGeom>
        <a:noFill/>
        <a:ln w="25400">
          <a:solidFill>
            <a:srgbClr val="000000"/>
          </a:solidFill>
          <a:round/>
          <a:headEnd/>
          <a:tailEnd/>
        </a:ln>
      </xdr:spPr>
    </xdr:sp>
    <xdr:clientData/>
  </xdr:twoCellAnchor>
  <xdr:twoCellAnchor>
    <xdr:from>
      <xdr:col>16</xdr:col>
      <xdr:colOff>0</xdr:colOff>
      <xdr:row>4</xdr:row>
      <xdr:rowOff>0</xdr:rowOff>
    </xdr:from>
    <xdr:to>
      <xdr:col>17</xdr:col>
      <xdr:colOff>0</xdr:colOff>
      <xdr:row>5</xdr:row>
      <xdr:rowOff>0</xdr:rowOff>
    </xdr:to>
    <xdr:sp macro="" textlink="">
      <xdr:nvSpPr>
        <xdr:cNvPr id="10" name="Oval 4">
          <a:extLst>
            <a:ext uri="{FF2B5EF4-FFF2-40B4-BE49-F238E27FC236}">
              <a16:creationId xmlns:a16="http://schemas.microsoft.com/office/drawing/2014/main" id="{00000000-0008-0000-0F00-00000A000000}"/>
            </a:ext>
          </a:extLst>
        </xdr:cNvPr>
        <xdr:cNvSpPr>
          <a:spLocks noChangeArrowheads="1"/>
        </xdr:cNvSpPr>
      </xdr:nvSpPr>
      <xdr:spPr bwMode="auto">
        <a:xfrm>
          <a:off x="4724400" y="1123950"/>
          <a:ext cx="295275" cy="247650"/>
        </a:xfrm>
        <a:prstGeom prst="ellipse">
          <a:avLst/>
        </a:prstGeom>
        <a:noFill/>
        <a:ln w="25400">
          <a:solidFill>
            <a:srgbClr val="000000"/>
          </a:solidFill>
          <a:round/>
          <a:headEnd/>
          <a:tailEnd/>
        </a:ln>
      </xdr:spPr>
    </xdr:sp>
    <xdr:clientData/>
  </xdr:twoCellAnchor>
  <xdr:twoCellAnchor>
    <xdr:from>
      <xdr:col>18</xdr:col>
      <xdr:colOff>0</xdr:colOff>
      <xdr:row>4</xdr:row>
      <xdr:rowOff>0</xdr:rowOff>
    </xdr:from>
    <xdr:to>
      <xdr:col>20</xdr:col>
      <xdr:colOff>0</xdr:colOff>
      <xdr:row>5</xdr:row>
      <xdr:rowOff>0</xdr:rowOff>
    </xdr:to>
    <xdr:sp macro="" textlink="">
      <xdr:nvSpPr>
        <xdr:cNvPr id="11" name="Oval 5">
          <a:extLst>
            <a:ext uri="{FF2B5EF4-FFF2-40B4-BE49-F238E27FC236}">
              <a16:creationId xmlns:a16="http://schemas.microsoft.com/office/drawing/2014/main" id="{00000000-0008-0000-0F00-00000B000000}"/>
            </a:ext>
          </a:extLst>
        </xdr:cNvPr>
        <xdr:cNvSpPr>
          <a:spLocks noChangeArrowheads="1"/>
        </xdr:cNvSpPr>
      </xdr:nvSpPr>
      <xdr:spPr bwMode="auto">
        <a:xfrm>
          <a:off x="5314950" y="1123950"/>
          <a:ext cx="590550" cy="247650"/>
        </a:xfrm>
        <a:prstGeom prst="ellipse">
          <a:avLst/>
        </a:prstGeom>
        <a:noFill/>
        <a:ln w="25400">
          <a:solidFill>
            <a:srgbClr val="000000"/>
          </a:solidFill>
          <a:round/>
          <a:headEnd/>
          <a:tailEnd/>
        </a:ln>
      </xdr:spPr>
    </xdr:sp>
    <xdr:clientData/>
  </xdr:twoCellAnchor>
  <xdr:twoCellAnchor>
    <xdr:from>
      <xdr:col>10</xdr:col>
      <xdr:colOff>0</xdr:colOff>
      <xdr:row>4</xdr:row>
      <xdr:rowOff>9525</xdr:rowOff>
    </xdr:from>
    <xdr:to>
      <xdr:col>11</xdr:col>
      <xdr:colOff>0</xdr:colOff>
      <xdr:row>5</xdr:row>
      <xdr:rowOff>9525</xdr:rowOff>
    </xdr:to>
    <xdr:sp macro="" textlink="">
      <xdr:nvSpPr>
        <xdr:cNvPr id="12" name="Oval 2">
          <a:extLst>
            <a:ext uri="{FF2B5EF4-FFF2-40B4-BE49-F238E27FC236}">
              <a16:creationId xmlns:a16="http://schemas.microsoft.com/office/drawing/2014/main" id="{00000000-0008-0000-0F00-00000C000000}"/>
            </a:ext>
          </a:extLst>
        </xdr:cNvPr>
        <xdr:cNvSpPr>
          <a:spLocks noChangeArrowheads="1"/>
        </xdr:cNvSpPr>
      </xdr:nvSpPr>
      <xdr:spPr bwMode="auto">
        <a:xfrm>
          <a:off x="2952750" y="1133475"/>
          <a:ext cx="295275" cy="247650"/>
        </a:xfrm>
        <a:prstGeom prst="ellipse">
          <a:avLst/>
        </a:prstGeom>
        <a:noFill/>
        <a:ln w="25400">
          <a:solidFill>
            <a:srgbClr val="000000"/>
          </a:solidFill>
          <a:round/>
          <a:headEnd/>
          <a:tailEnd/>
        </a:ln>
      </xdr:spPr>
    </xdr:sp>
    <xdr:clientData/>
  </xdr:twoCellAnchor>
  <xdr:twoCellAnchor>
    <xdr:from>
      <xdr:col>16</xdr:col>
      <xdr:colOff>0</xdr:colOff>
      <xdr:row>3</xdr:row>
      <xdr:rowOff>0</xdr:rowOff>
    </xdr:from>
    <xdr:to>
      <xdr:col>18</xdr:col>
      <xdr:colOff>0</xdr:colOff>
      <xdr:row>4</xdr:row>
      <xdr:rowOff>0</xdr:rowOff>
    </xdr:to>
    <xdr:sp macro="" textlink="">
      <xdr:nvSpPr>
        <xdr:cNvPr id="13" name="Oval 1">
          <a:extLst>
            <a:ext uri="{FF2B5EF4-FFF2-40B4-BE49-F238E27FC236}">
              <a16:creationId xmlns:a16="http://schemas.microsoft.com/office/drawing/2014/main" id="{00000000-0008-0000-0F00-00000D000000}"/>
            </a:ext>
          </a:extLst>
        </xdr:cNvPr>
        <xdr:cNvSpPr>
          <a:spLocks noChangeArrowheads="1"/>
        </xdr:cNvSpPr>
      </xdr:nvSpPr>
      <xdr:spPr bwMode="auto">
        <a:xfrm>
          <a:off x="4724400" y="876300"/>
          <a:ext cx="590550" cy="247650"/>
        </a:xfrm>
        <a:prstGeom prst="ellipse">
          <a:avLst/>
        </a:prstGeom>
        <a:noFill/>
        <a:ln w="25400">
          <a:solidFill>
            <a:srgbClr val="000000"/>
          </a:solidFill>
          <a:round/>
          <a:headEnd/>
          <a:tailEnd/>
        </a:ln>
      </xdr:spPr>
    </xdr:sp>
    <xdr:clientData/>
  </xdr:twoCellAnchor>
  <xdr:twoCellAnchor>
    <xdr:from>
      <xdr:col>16</xdr:col>
      <xdr:colOff>0</xdr:colOff>
      <xdr:row>4</xdr:row>
      <xdr:rowOff>0</xdr:rowOff>
    </xdr:from>
    <xdr:to>
      <xdr:col>17</xdr:col>
      <xdr:colOff>0</xdr:colOff>
      <xdr:row>5</xdr:row>
      <xdr:rowOff>0</xdr:rowOff>
    </xdr:to>
    <xdr:sp macro="" textlink="">
      <xdr:nvSpPr>
        <xdr:cNvPr id="14" name="Oval 4">
          <a:extLst>
            <a:ext uri="{FF2B5EF4-FFF2-40B4-BE49-F238E27FC236}">
              <a16:creationId xmlns:a16="http://schemas.microsoft.com/office/drawing/2014/main" id="{00000000-0008-0000-0F00-00000E000000}"/>
            </a:ext>
          </a:extLst>
        </xdr:cNvPr>
        <xdr:cNvSpPr>
          <a:spLocks noChangeArrowheads="1"/>
        </xdr:cNvSpPr>
      </xdr:nvSpPr>
      <xdr:spPr bwMode="auto">
        <a:xfrm>
          <a:off x="4724400" y="1123950"/>
          <a:ext cx="295275" cy="247650"/>
        </a:xfrm>
        <a:prstGeom prst="ellipse">
          <a:avLst/>
        </a:prstGeom>
        <a:noFill/>
        <a:ln w="25400">
          <a:solidFill>
            <a:srgbClr val="000000"/>
          </a:solidFill>
          <a:round/>
          <a:headEnd/>
          <a:tailEnd/>
        </a:ln>
      </xdr:spPr>
    </xdr:sp>
    <xdr:clientData/>
  </xdr:twoCellAnchor>
  <xdr:twoCellAnchor>
    <xdr:from>
      <xdr:col>18</xdr:col>
      <xdr:colOff>0</xdr:colOff>
      <xdr:row>4</xdr:row>
      <xdr:rowOff>0</xdr:rowOff>
    </xdr:from>
    <xdr:to>
      <xdr:col>20</xdr:col>
      <xdr:colOff>0</xdr:colOff>
      <xdr:row>5</xdr:row>
      <xdr:rowOff>0</xdr:rowOff>
    </xdr:to>
    <xdr:sp macro="" textlink="">
      <xdr:nvSpPr>
        <xdr:cNvPr id="15" name="Oval 5">
          <a:extLst>
            <a:ext uri="{FF2B5EF4-FFF2-40B4-BE49-F238E27FC236}">
              <a16:creationId xmlns:a16="http://schemas.microsoft.com/office/drawing/2014/main" id="{00000000-0008-0000-0F00-00000F000000}"/>
            </a:ext>
          </a:extLst>
        </xdr:cNvPr>
        <xdr:cNvSpPr>
          <a:spLocks noChangeArrowheads="1"/>
        </xdr:cNvSpPr>
      </xdr:nvSpPr>
      <xdr:spPr bwMode="auto">
        <a:xfrm>
          <a:off x="5314950" y="1123950"/>
          <a:ext cx="590550" cy="247650"/>
        </a:xfrm>
        <a:prstGeom prst="ellipse">
          <a:avLst/>
        </a:prstGeom>
        <a:noFill/>
        <a:ln w="25400">
          <a:solidFill>
            <a:srgbClr val="000000"/>
          </a:solidFill>
          <a:round/>
          <a:headEnd/>
          <a:tailEnd/>
        </a:ln>
      </xdr:spPr>
    </xdr:sp>
    <xdr:clientData/>
  </xdr:twoCellAnchor>
  <xdr:twoCellAnchor>
    <xdr:from>
      <xdr:col>10</xdr:col>
      <xdr:colOff>0</xdr:colOff>
      <xdr:row>4</xdr:row>
      <xdr:rowOff>9525</xdr:rowOff>
    </xdr:from>
    <xdr:to>
      <xdr:col>11</xdr:col>
      <xdr:colOff>0</xdr:colOff>
      <xdr:row>5</xdr:row>
      <xdr:rowOff>9525</xdr:rowOff>
    </xdr:to>
    <xdr:sp macro="" textlink="">
      <xdr:nvSpPr>
        <xdr:cNvPr id="16" name="Oval 2">
          <a:extLst>
            <a:ext uri="{FF2B5EF4-FFF2-40B4-BE49-F238E27FC236}">
              <a16:creationId xmlns:a16="http://schemas.microsoft.com/office/drawing/2014/main" id="{00000000-0008-0000-0F00-000010000000}"/>
            </a:ext>
          </a:extLst>
        </xdr:cNvPr>
        <xdr:cNvSpPr>
          <a:spLocks noChangeArrowheads="1"/>
        </xdr:cNvSpPr>
      </xdr:nvSpPr>
      <xdr:spPr bwMode="auto">
        <a:xfrm>
          <a:off x="2952750" y="1133475"/>
          <a:ext cx="295275" cy="247650"/>
        </a:xfrm>
        <a:prstGeom prst="ellipse">
          <a:avLst/>
        </a:prstGeom>
        <a:noFill/>
        <a:ln w="25400">
          <a:solidFill>
            <a:srgbClr val="000000"/>
          </a:solidFill>
          <a:round/>
          <a:headEnd/>
          <a:tailEnd/>
        </a:ln>
      </xdr:spPr>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45"/>
  <sheetViews>
    <sheetView zoomScale="70" zoomScaleNormal="70" workbookViewId="0">
      <selection activeCell="A2" sqref="A2"/>
    </sheetView>
  </sheetViews>
  <sheetFormatPr defaultColWidth="8.86328125" defaultRowHeight="20.149999999999999" customHeight="1" x14ac:dyDescent="0.45"/>
  <cols>
    <col min="1" max="1" width="11.6328125" style="177" customWidth="1"/>
    <col min="2" max="2" width="28.2265625" style="177" customWidth="1"/>
    <col min="3" max="4" width="7.5" style="177" customWidth="1"/>
    <col min="5" max="5" width="6.36328125" style="177" customWidth="1"/>
    <col min="6" max="7" width="3.5" style="179" customWidth="1"/>
    <col min="8" max="8" width="11.6328125" style="177" customWidth="1"/>
    <col min="9" max="9" width="28.2265625" style="177" customWidth="1"/>
    <col min="10" max="11" width="7.5" style="177" customWidth="1"/>
    <col min="12" max="12" width="5.6328125" style="177" customWidth="1"/>
    <col min="13" max="13" width="3.5" style="179" customWidth="1"/>
    <col min="14" max="14" width="48.7265625" style="177" bestFit="1" customWidth="1"/>
    <col min="15" max="15" width="11.86328125" style="177" bestFit="1" customWidth="1"/>
    <col min="16" max="16384" width="8.86328125" style="177"/>
  </cols>
  <sheetData>
    <row r="1" spans="1:14" ht="20.149999999999999" customHeight="1" x14ac:dyDescent="0.45">
      <c r="A1" s="496" t="str">
        <f>大会要項!B3</f>
        <v>第12回 全日本不動産協会杯争奪U-12サッカー大会【ラビットカップ】大分県大会</v>
      </c>
      <c r="B1" s="496"/>
      <c r="C1" s="496"/>
      <c r="D1" s="496"/>
      <c r="E1" s="496"/>
      <c r="F1" s="496"/>
      <c r="G1" s="496"/>
      <c r="H1" s="496"/>
      <c r="I1" s="496"/>
      <c r="J1" s="496" t="s">
        <v>2005</v>
      </c>
      <c r="K1" s="496"/>
      <c r="L1" s="496"/>
      <c r="M1" s="175"/>
      <c r="N1" s="176"/>
    </row>
    <row r="2" spans="1:14" ht="20.149999999999999" customHeight="1" x14ac:dyDescent="0.45">
      <c r="A2" s="175"/>
      <c r="B2" s="175"/>
      <c r="C2" s="175"/>
      <c r="D2" s="175"/>
      <c r="E2" s="175"/>
      <c r="F2" s="175"/>
      <c r="G2" s="175"/>
      <c r="H2" s="175"/>
      <c r="I2" s="175"/>
      <c r="J2" s="175"/>
      <c r="K2" s="175"/>
      <c r="L2" s="175"/>
      <c r="M2" s="175"/>
      <c r="N2" s="176"/>
    </row>
    <row r="3" spans="1:14" ht="20.149999999999999" customHeight="1" x14ac:dyDescent="0.45">
      <c r="A3" s="359" t="s">
        <v>2093</v>
      </c>
      <c r="B3" s="178" t="str">
        <f>大会要項!D48</f>
        <v>日時:大会事務局にて組合せを決定する。</v>
      </c>
    </row>
    <row r="5" spans="1:14" ht="20.149999999999999" customHeight="1" x14ac:dyDescent="0.45">
      <c r="A5" s="360" t="s">
        <v>2094</v>
      </c>
      <c r="B5" s="177" t="str">
        <f>大会要項!D49</f>
        <v>場所:上記</v>
      </c>
      <c r="H5" s="180"/>
    </row>
    <row r="7" spans="1:14" ht="20.149999999999999" customHeight="1" x14ac:dyDescent="0.45">
      <c r="A7" s="360" t="s">
        <v>2096</v>
      </c>
      <c r="B7" s="177" t="s">
        <v>2095</v>
      </c>
      <c r="C7" s="177">
        <v>24</v>
      </c>
      <c r="D7" s="177" t="s">
        <v>183</v>
      </c>
    </row>
    <row r="9" spans="1:14" ht="20.149999999999999" customHeight="1" thickBot="1" x14ac:dyDescent="0.6">
      <c r="A9" s="181" t="s">
        <v>77</v>
      </c>
      <c r="B9" s="181"/>
      <c r="C9" s="181"/>
      <c r="D9" s="181"/>
      <c r="E9" s="181"/>
      <c r="F9" s="182"/>
      <c r="G9" s="182"/>
      <c r="H9" s="181" t="s">
        <v>55</v>
      </c>
    </row>
    <row r="10" spans="1:14" ht="27.75" customHeight="1" thickBot="1" x14ac:dyDescent="0.6">
      <c r="A10" s="183" t="s">
        <v>9</v>
      </c>
      <c r="B10" s="184" t="s">
        <v>4</v>
      </c>
      <c r="C10" s="185" t="s">
        <v>214</v>
      </c>
      <c r="D10" s="186" t="s">
        <v>215</v>
      </c>
      <c r="E10" s="187" t="s">
        <v>2006</v>
      </c>
      <c r="F10" s="177"/>
      <c r="H10" s="183" t="s">
        <v>9</v>
      </c>
      <c r="I10" s="184" t="s">
        <v>4</v>
      </c>
      <c r="J10" s="185" t="s">
        <v>214</v>
      </c>
      <c r="K10" s="186" t="s">
        <v>215</v>
      </c>
      <c r="L10" s="187" t="s">
        <v>2006</v>
      </c>
    </row>
    <row r="11" spans="1:14" ht="27.75" customHeight="1" x14ac:dyDescent="0.45">
      <c r="A11" s="499" t="s">
        <v>3</v>
      </c>
      <c r="B11" s="188" t="s">
        <v>8460</v>
      </c>
      <c r="C11" s="189" t="s">
        <v>8462</v>
      </c>
      <c r="D11" s="189" t="s">
        <v>8462</v>
      </c>
      <c r="E11" s="371" t="s">
        <v>5792</v>
      </c>
      <c r="F11" s="178"/>
      <c r="G11" s="372"/>
      <c r="H11" s="497" t="s">
        <v>5</v>
      </c>
      <c r="I11" s="391" t="s">
        <v>11899</v>
      </c>
      <c r="J11" s="190" t="s">
        <v>8461</v>
      </c>
      <c r="K11" s="190" t="s">
        <v>8461</v>
      </c>
      <c r="L11" s="381" t="s">
        <v>3924</v>
      </c>
    </row>
    <row r="12" spans="1:14" ht="27.75" customHeight="1" x14ac:dyDescent="0.45">
      <c r="A12" s="499"/>
      <c r="B12" s="191" t="s">
        <v>11909</v>
      </c>
      <c r="C12" s="192" t="s">
        <v>8461</v>
      </c>
      <c r="D12" s="192" t="s">
        <v>8461</v>
      </c>
      <c r="E12" s="374" t="s">
        <v>3924</v>
      </c>
      <c r="F12" s="178"/>
      <c r="G12" s="372"/>
      <c r="H12" s="501"/>
      <c r="I12" s="392" t="s">
        <v>4993</v>
      </c>
      <c r="J12" s="389" t="s">
        <v>8461</v>
      </c>
      <c r="K12" s="389" t="s">
        <v>8461</v>
      </c>
      <c r="L12" s="390" t="s">
        <v>3924</v>
      </c>
    </row>
    <row r="13" spans="1:14" ht="27.75" customHeight="1" thickBot="1" x14ac:dyDescent="0.6">
      <c r="A13" s="499"/>
      <c r="B13" s="191" t="s">
        <v>11910</v>
      </c>
      <c r="C13" s="192" t="s">
        <v>8461</v>
      </c>
      <c r="D13" s="192" t="s">
        <v>8461</v>
      </c>
      <c r="E13" s="374" t="s">
        <v>3924</v>
      </c>
      <c r="F13" s="178"/>
      <c r="G13" s="372"/>
      <c r="H13" s="498"/>
      <c r="I13" s="393" t="s">
        <v>4998</v>
      </c>
      <c r="J13" s="193" t="s">
        <v>8461</v>
      </c>
      <c r="K13" s="193" t="s">
        <v>8461</v>
      </c>
      <c r="L13" s="380" t="s">
        <v>3924</v>
      </c>
    </row>
    <row r="14" spans="1:14" ht="27.75" customHeight="1" x14ac:dyDescent="0.45">
      <c r="A14" s="499"/>
      <c r="B14" s="191" t="s">
        <v>3962</v>
      </c>
      <c r="C14" s="192" t="s">
        <v>8461</v>
      </c>
      <c r="D14" s="192" t="s">
        <v>8461</v>
      </c>
      <c r="E14" s="374" t="s">
        <v>3924</v>
      </c>
      <c r="F14" s="178"/>
      <c r="G14" s="372"/>
      <c r="H14" s="497" t="s">
        <v>54</v>
      </c>
      <c r="I14" s="373" t="s">
        <v>213</v>
      </c>
      <c r="J14" s="190" t="s">
        <v>8461</v>
      </c>
      <c r="K14" s="190" t="s">
        <v>8461</v>
      </c>
      <c r="L14" s="381" t="s">
        <v>3924</v>
      </c>
    </row>
    <row r="15" spans="1:14" ht="27.75" customHeight="1" thickBot="1" x14ac:dyDescent="0.6">
      <c r="A15" s="499"/>
      <c r="B15" s="191" t="s">
        <v>3253</v>
      </c>
      <c r="C15" s="192" t="s">
        <v>8461</v>
      </c>
      <c r="D15" s="192" t="s">
        <v>8461</v>
      </c>
      <c r="E15" s="374" t="s">
        <v>3924</v>
      </c>
      <c r="F15" s="178"/>
      <c r="G15" s="372"/>
      <c r="H15" s="498"/>
      <c r="I15" s="196" t="s">
        <v>5984</v>
      </c>
      <c r="J15" s="193" t="s">
        <v>8461</v>
      </c>
      <c r="K15" s="193" t="s">
        <v>8461</v>
      </c>
      <c r="L15" s="380" t="s">
        <v>3924</v>
      </c>
    </row>
    <row r="16" spans="1:14" ht="27.75" customHeight="1" x14ac:dyDescent="0.45">
      <c r="A16" s="499"/>
      <c r="B16" s="191" t="s">
        <v>3250</v>
      </c>
      <c r="C16" s="192" t="s">
        <v>8461</v>
      </c>
      <c r="D16" s="192" t="s">
        <v>8461</v>
      </c>
      <c r="E16" s="374" t="s">
        <v>3924</v>
      </c>
      <c r="F16" s="178"/>
      <c r="G16" s="372"/>
      <c r="H16" s="497" t="s">
        <v>2</v>
      </c>
      <c r="I16" s="373" t="s">
        <v>3298</v>
      </c>
      <c r="J16" s="190" t="s">
        <v>8461</v>
      </c>
      <c r="K16" s="190" t="s">
        <v>8461</v>
      </c>
      <c r="L16" s="381" t="s">
        <v>3924</v>
      </c>
    </row>
    <row r="17" spans="1:15" ht="27.75" customHeight="1" thickBot="1" x14ac:dyDescent="0.6">
      <c r="A17" s="499"/>
      <c r="B17" s="191" t="s">
        <v>8458</v>
      </c>
      <c r="C17" s="192" t="s">
        <v>8461</v>
      </c>
      <c r="D17" s="192" t="s">
        <v>8461</v>
      </c>
      <c r="E17" s="374" t="s">
        <v>3924</v>
      </c>
      <c r="F17" s="178"/>
      <c r="G17" s="372"/>
      <c r="H17" s="498"/>
      <c r="I17" s="196" t="s">
        <v>11879</v>
      </c>
      <c r="J17" s="193" t="s">
        <v>8461</v>
      </c>
      <c r="K17" s="193" t="s">
        <v>8461</v>
      </c>
      <c r="L17" s="380" t="s">
        <v>3924</v>
      </c>
    </row>
    <row r="18" spans="1:15" ht="27.75" customHeight="1" x14ac:dyDescent="0.45">
      <c r="A18" s="499"/>
      <c r="B18" s="191" t="s">
        <v>3974</v>
      </c>
      <c r="C18" s="192" t="s">
        <v>8461</v>
      </c>
      <c r="D18" s="192" t="s">
        <v>8461</v>
      </c>
      <c r="E18" s="374" t="s">
        <v>3924</v>
      </c>
      <c r="F18" s="178"/>
      <c r="G18" s="372"/>
      <c r="H18" s="497" t="s">
        <v>3985</v>
      </c>
      <c r="I18" s="373" t="s">
        <v>4987</v>
      </c>
      <c r="J18" s="190" t="s">
        <v>8461</v>
      </c>
      <c r="K18" s="190" t="s">
        <v>8461</v>
      </c>
      <c r="L18" s="381" t="s">
        <v>3924</v>
      </c>
    </row>
    <row r="19" spans="1:15" ht="27.75" customHeight="1" thickBot="1" x14ac:dyDescent="0.6">
      <c r="A19" s="499"/>
      <c r="B19" s="191" t="s">
        <v>3252</v>
      </c>
      <c r="C19" s="192" t="s">
        <v>8461</v>
      </c>
      <c r="D19" s="192" t="s">
        <v>8461</v>
      </c>
      <c r="E19" s="374" t="s">
        <v>3924</v>
      </c>
      <c r="F19" s="178"/>
      <c r="G19" s="372"/>
      <c r="H19" s="498"/>
      <c r="I19" s="196" t="s">
        <v>3351</v>
      </c>
      <c r="J19" s="193" t="s">
        <v>8461</v>
      </c>
      <c r="K19" s="193" t="s">
        <v>8461</v>
      </c>
      <c r="L19" s="380" t="s">
        <v>3924</v>
      </c>
    </row>
    <row r="20" spans="1:15" ht="27.75" customHeight="1" thickBot="1" x14ac:dyDescent="0.6">
      <c r="A20" s="499"/>
      <c r="B20" s="191" t="s">
        <v>11900</v>
      </c>
      <c r="C20" s="192" t="s">
        <v>8461</v>
      </c>
      <c r="D20" s="192" t="s">
        <v>8461</v>
      </c>
      <c r="E20" s="374" t="s">
        <v>3924</v>
      </c>
      <c r="F20" s="178"/>
      <c r="G20" s="372"/>
      <c r="H20" s="376" t="s">
        <v>189</v>
      </c>
      <c r="I20" s="375" t="s">
        <v>3271</v>
      </c>
      <c r="J20" s="195" t="s">
        <v>8461</v>
      </c>
      <c r="K20" s="195" t="s">
        <v>8461</v>
      </c>
      <c r="L20" s="382" t="s">
        <v>3924</v>
      </c>
    </row>
    <row r="21" spans="1:15" ht="27.75" customHeight="1" thickBot="1" x14ac:dyDescent="0.6">
      <c r="A21" s="500"/>
      <c r="B21" s="196" t="s">
        <v>3248</v>
      </c>
      <c r="C21" s="197" t="s">
        <v>8461</v>
      </c>
      <c r="D21" s="197" t="s">
        <v>8461</v>
      </c>
      <c r="E21" s="377" t="s">
        <v>3924</v>
      </c>
      <c r="F21" s="178"/>
      <c r="G21" s="372"/>
      <c r="H21" s="376" t="s">
        <v>6</v>
      </c>
      <c r="I21" s="375" t="s">
        <v>5001</v>
      </c>
      <c r="J21" s="194" t="s">
        <v>8461</v>
      </c>
      <c r="K21" s="194" t="s">
        <v>8461</v>
      </c>
      <c r="L21" s="382" t="s">
        <v>3924</v>
      </c>
    </row>
    <row r="22" spans="1:15" ht="27.75" customHeight="1" thickBot="1" x14ac:dyDescent="0.6">
      <c r="B22" s="178"/>
      <c r="C22" s="178"/>
      <c r="D22" s="178"/>
      <c r="E22" s="378"/>
      <c r="F22" s="257"/>
      <c r="G22" s="257"/>
      <c r="H22" s="376" t="s">
        <v>1</v>
      </c>
      <c r="I22" s="375" t="s">
        <v>5008</v>
      </c>
      <c r="J22" s="194" t="s">
        <v>8461</v>
      </c>
      <c r="K22" s="194" t="s">
        <v>8461</v>
      </c>
      <c r="L22" s="382" t="s">
        <v>3924</v>
      </c>
    </row>
    <row r="23" spans="1:15" ht="27.75" customHeight="1" thickBot="1" x14ac:dyDescent="0.6">
      <c r="B23" s="178"/>
      <c r="C23" s="178"/>
      <c r="D23" s="178"/>
      <c r="E23" s="178"/>
      <c r="F23" s="257"/>
      <c r="G23" s="257"/>
      <c r="H23" s="376" t="s">
        <v>3986</v>
      </c>
      <c r="I23" s="451" t="s">
        <v>5010</v>
      </c>
      <c r="J23" s="194" t="s">
        <v>8461</v>
      </c>
      <c r="K23" s="194" t="s">
        <v>8461</v>
      </c>
      <c r="L23" s="382" t="s">
        <v>3924</v>
      </c>
    </row>
    <row r="24" spans="1:15" ht="20.149999999999999" customHeight="1" x14ac:dyDescent="0.45">
      <c r="B24" s="178"/>
      <c r="C24" s="178"/>
      <c r="D24" s="178"/>
      <c r="E24" s="178"/>
      <c r="F24" s="257"/>
      <c r="G24" s="257"/>
      <c r="H24" s="178"/>
      <c r="I24" s="178"/>
    </row>
    <row r="25" spans="1:15" ht="20.149999999999999" customHeight="1" x14ac:dyDescent="0.45">
      <c r="A25" s="177" t="s">
        <v>7</v>
      </c>
      <c r="O25" s="387"/>
    </row>
    <row r="26" spans="1:15" ht="20.149999999999999" customHeight="1" x14ac:dyDescent="0.45">
      <c r="A26" s="177" t="s">
        <v>184</v>
      </c>
      <c r="O26" s="387"/>
    </row>
    <row r="27" spans="1:15" ht="20.149999999999999" customHeight="1" x14ac:dyDescent="0.45">
      <c r="A27" s="177" t="s">
        <v>3981</v>
      </c>
      <c r="O27" s="387"/>
    </row>
    <row r="28" spans="1:15" ht="20.149999999999999" customHeight="1" x14ac:dyDescent="0.45">
      <c r="A28" s="177" t="s">
        <v>3982</v>
      </c>
      <c r="O28" s="387"/>
    </row>
    <row r="29" spans="1:15" ht="20.149999999999999" customHeight="1" x14ac:dyDescent="0.45">
      <c r="A29" s="177" t="s">
        <v>5835</v>
      </c>
      <c r="O29" s="387"/>
    </row>
    <row r="30" spans="1:15" ht="20.149999999999999" customHeight="1" x14ac:dyDescent="0.45">
      <c r="A30" s="388" t="s">
        <v>2052</v>
      </c>
      <c r="O30" s="387"/>
    </row>
    <row r="31" spans="1:15" ht="20.149999999999999" customHeight="1" x14ac:dyDescent="0.45">
      <c r="A31" s="177" t="s">
        <v>3983</v>
      </c>
      <c r="O31" s="387"/>
    </row>
    <row r="32" spans="1:15" ht="20.149999999999999" customHeight="1" x14ac:dyDescent="0.45">
      <c r="A32" s="177" t="s">
        <v>3984</v>
      </c>
      <c r="O32" s="387"/>
    </row>
    <row r="33" spans="1:15" ht="20.149999999999999" customHeight="1" x14ac:dyDescent="0.45">
      <c r="O33" s="387"/>
    </row>
    <row r="34" spans="1:15" ht="20.149999999999999" customHeight="1" x14ac:dyDescent="0.45">
      <c r="A34" s="177" t="s">
        <v>8</v>
      </c>
      <c r="O34" s="387"/>
    </row>
    <row r="35" spans="1:15" ht="20.149999999999999" customHeight="1" x14ac:dyDescent="0.45">
      <c r="A35" s="177" t="s">
        <v>2053</v>
      </c>
      <c r="O35" s="387"/>
    </row>
    <row r="36" spans="1:15" ht="20.149999999999999" customHeight="1" x14ac:dyDescent="0.45">
      <c r="A36" s="177" t="s">
        <v>185</v>
      </c>
      <c r="O36" s="387"/>
    </row>
    <row r="37" spans="1:15" ht="20.149999999999999" customHeight="1" x14ac:dyDescent="0.45">
      <c r="A37" s="177" t="s">
        <v>2054</v>
      </c>
      <c r="O37" s="387"/>
    </row>
    <row r="38" spans="1:15" ht="20.149999999999999" customHeight="1" x14ac:dyDescent="0.45">
      <c r="A38" s="428" t="s">
        <v>4010</v>
      </c>
      <c r="O38" s="387"/>
    </row>
    <row r="39" spans="1:15" ht="20.149999999999999" customHeight="1" x14ac:dyDescent="0.45">
      <c r="A39" s="416" t="s">
        <v>4008</v>
      </c>
      <c r="O39" s="387"/>
    </row>
    <row r="40" spans="1:15" ht="20.149999999999999" customHeight="1" x14ac:dyDescent="0.45">
      <c r="A40" s="416" t="s">
        <v>4009</v>
      </c>
      <c r="O40" s="387"/>
    </row>
    <row r="42" spans="1:15" ht="20.149999999999999" customHeight="1" x14ac:dyDescent="0.45">
      <c r="A42" s="177" t="s">
        <v>186</v>
      </c>
    </row>
    <row r="43" spans="1:15" ht="20.149999999999999" customHeight="1" x14ac:dyDescent="0.45">
      <c r="A43" s="198"/>
      <c r="B43" s="493" t="s">
        <v>47</v>
      </c>
      <c r="C43" s="493"/>
      <c r="D43" s="493"/>
      <c r="E43" s="493"/>
      <c r="F43" s="493"/>
      <c r="G43" s="493"/>
      <c r="H43" s="493" t="s">
        <v>187</v>
      </c>
      <c r="I43" s="493"/>
      <c r="J43" s="493"/>
      <c r="K43" s="493"/>
      <c r="L43" s="493"/>
    </row>
    <row r="44" spans="1:15" ht="42" customHeight="1" x14ac:dyDescent="0.45">
      <c r="A44" s="417" t="s">
        <v>4007</v>
      </c>
      <c r="B44" s="493" t="s">
        <v>8434</v>
      </c>
      <c r="C44" s="493"/>
      <c r="D44" s="493"/>
      <c r="E44" s="493"/>
      <c r="F44" s="493"/>
      <c r="G44" s="493"/>
      <c r="H44" s="495" t="s">
        <v>2004</v>
      </c>
      <c r="I44" s="495"/>
      <c r="J44" s="495"/>
      <c r="K44" s="495"/>
      <c r="L44" s="495"/>
    </row>
    <row r="45" spans="1:15" ht="42" customHeight="1" x14ac:dyDescent="0.45">
      <c r="A45" s="423" t="s">
        <v>8432</v>
      </c>
      <c r="B45" s="494" t="s">
        <v>3980</v>
      </c>
      <c r="C45" s="494"/>
      <c r="D45" s="494"/>
      <c r="E45" s="494"/>
      <c r="F45" s="494"/>
      <c r="G45" s="494"/>
      <c r="H45" s="494" t="s">
        <v>2004</v>
      </c>
      <c r="I45" s="494"/>
      <c r="J45" s="494"/>
      <c r="K45" s="494"/>
      <c r="L45" s="494"/>
    </row>
  </sheetData>
  <mergeCells count="13">
    <mergeCell ref="J1:L1"/>
    <mergeCell ref="A1:I1"/>
    <mergeCell ref="H18:H19"/>
    <mergeCell ref="A11:A21"/>
    <mergeCell ref="H14:H15"/>
    <mergeCell ref="H11:H13"/>
    <mergeCell ref="H16:H17"/>
    <mergeCell ref="B43:G43"/>
    <mergeCell ref="B44:G44"/>
    <mergeCell ref="B45:G45"/>
    <mergeCell ref="H43:L43"/>
    <mergeCell ref="H44:L44"/>
    <mergeCell ref="H45:L45"/>
  </mergeCells>
  <phoneticPr fontId="5"/>
  <printOptions horizontalCentered="1" verticalCentered="1"/>
  <pageMargins left="0.39370078740157483" right="0.39370078740157483" top="0.39370078740157483" bottom="0.39370078740157483" header="0.51181102362204722" footer="0.51181102362204722"/>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82"/>
  <sheetViews>
    <sheetView view="pageBreakPreview" zoomScaleNormal="85" zoomScaleSheetLayoutView="100" workbookViewId="0">
      <selection activeCell="A2" sqref="A2"/>
    </sheetView>
  </sheetViews>
  <sheetFormatPr defaultColWidth="9" defaultRowHeight="12.25" x14ac:dyDescent="0.45"/>
  <cols>
    <col min="1" max="1" width="12.6328125" style="424" customWidth="1"/>
    <col min="2" max="2" width="2.6328125" style="424" customWidth="1"/>
    <col min="3" max="10" width="10.6328125" style="424" customWidth="1"/>
    <col min="11" max="16384" width="9" style="424"/>
  </cols>
  <sheetData>
    <row r="1" spans="1:13" ht="30" customHeight="1" x14ac:dyDescent="0.45">
      <c r="A1" s="508" t="str">
        <f>B3</f>
        <v>第12回 全日本不動産協会杯争奪U-12サッカー大会【ラビットカップ】大分県大会</v>
      </c>
      <c r="B1" s="508"/>
      <c r="C1" s="508"/>
      <c r="D1" s="508"/>
      <c r="E1" s="508"/>
      <c r="F1" s="508"/>
      <c r="G1" s="508"/>
      <c r="H1" s="508"/>
      <c r="I1" s="508" t="s">
        <v>5794</v>
      </c>
      <c r="J1" s="508"/>
      <c r="K1" s="418"/>
      <c r="L1" s="418"/>
      <c r="M1" s="418"/>
    </row>
    <row r="2" spans="1:13" ht="5.15" customHeight="1" x14ac:dyDescent="0.45">
      <c r="A2" s="425"/>
    </row>
    <row r="3" spans="1:13" ht="18" customHeight="1" x14ac:dyDescent="0.45">
      <c r="A3" s="425" t="s">
        <v>5795</v>
      </c>
      <c r="B3" s="503" t="s">
        <v>8431</v>
      </c>
      <c r="C3" s="503"/>
      <c r="D3" s="503"/>
      <c r="E3" s="503"/>
      <c r="F3" s="503"/>
      <c r="G3" s="503"/>
      <c r="H3" s="503"/>
      <c r="I3" s="503"/>
      <c r="J3" s="503"/>
    </row>
    <row r="4" spans="1:13" ht="5.15" customHeight="1" x14ac:dyDescent="0.45">
      <c r="A4" s="425"/>
    </row>
    <row r="5" spans="1:13" ht="18" customHeight="1" x14ac:dyDescent="0.45">
      <c r="A5" s="425" t="s">
        <v>5796</v>
      </c>
      <c r="B5" s="503" t="s">
        <v>1972</v>
      </c>
      <c r="C5" s="503"/>
      <c r="D5" s="503"/>
      <c r="E5" s="503"/>
      <c r="F5" s="503"/>
      <c r="G5" s="503"/>
      <c r="H5" s="503"/>
      <c r="I5" s="503"/>
      <c r="J5" s="503"/>
    </row>
    <row r="6" spans="1:13" ht="5.15" customHeight="1" x14ac:dyDescent="0.45">
      <c r="A6" s="425"/>
    </row>
    <row r="7" spans="1:13" ht="18" customHeight="1" x14ac:dyDescent="0.45">
      <c r="A7" s="425" t="s">
        <v>5797</v>
      </c>
      <c r="B7" s="512" t="s">
        <v>5798</v>
      </c>
      <c r="C7" s="512"/>
      <c r="D7" s="512"/>
      <c r="E7" s="512"/>
      <c r="F7" s="512"/>
      <c r="G7" s="512"/>
      <c r="H7" s="512"/>
      <c r="I7" s="512"/>
      <c r="J7" s="512"/>
      <c r="K7" s="426"/>
      <c r="L7" s="426"/>
      <c r="M7" s="426"/>
    </row>
    <row r="8" spans="1:13" ht="5.15" customHeight="1" x14ac:dyDescent="0.45">
      <c r="A8" s="425"/>
    </row>
    <row r="9" spans="1:13" ht="18" customHeight="1" x14ac:dyDescent="0.45">
      <c r="A9" s="425" t="s">
        <v>5799</v>
      </c>
      <c r="B9" s="503" t="s">
        <v>1973</v>
      </c>
      <c r="C9" s="503"/>
      <c r="D9" s="503"/>
      <c r="E9" s="503"/>
      <c r="F9" s="503"/>
      <c r="G9" s="503"/>
      <c r="H9" s="503"/>
      <c r="I9" s="503"/>
      <c r="J9" s="503"/>
    </row>
    <row r="10" spans="1:13" ht="5.15" customHeight="1" x14ac:dyDescent="0.45">
      <c r="A10" s="425"/>
    </row>
    <row r="11" spans="1:13" ht="18" customHeight="1" x14ac:dyDescent="0.45">
      <c r="A11" s="425" t="s">
        <v>5800</v>
      </c>
      <c r="B11" s="424" t="s">
        <v>5801</v>
      </c>
    </row>
    <row r="12" spans="1:13" ht="5.15" customHeight="1" x14ac:dyDescent="0.45">
      <c r="A12" s="425"/>
    </row>
    <row r="13" spans="1:13" ht="18" customHeight="1" x14ac:dyDescent="0.45">
      <c r="A13" s="425" t="s">
        <v>5802</v>
      </c>
      <c r="B13" s="503" t="s">
        <v>5825</v>
      </c>
      <c r="C13" s="503"/>
      <c r="D13" s="503"/>
      <c r="E13" s="503"/>
      <c r="F13" s="503"/>
      <c r="G13" s="503"/>
      <c r="H13" s="503"/>
      <c r="I13" s="503"/>
      <c r="J13" s="503"/>
    </row>
    <row r="14" spans="1:13" ht="5.15" customHeight="1" x14ac:dyDescent="0.45">
      <c r="A14" s="425"/>
    </row>
    <row r="15" spans="1:13" ht="18" customHeight="1" x14ac:dyDescent="0.45">
      <c r="A15" s="425" t="s">
        <v>5803</v>
      </c>
      <c r="B15" s="513" t="s">
        <v>8433</v>
      </c>
      <c r="C15" s="513"/>
      <c r="D15" s="513"/>
      <c r="E15" s="513"/>
      <c r="F15" s="513"/>
      <c r="G15" s="513"/>
      <c r="H15" s="513"/>
      <c r="I15" s="513"/>
      <c r="J15" s="513"/>
    </row>
    <row r="16" spans="1:13" ht="5.15" customHeight="1" x14ac:dyDescent="0.45">
      <c r="A16" s="425"/>
    </row>
    <row r="17" spans="1:10" ht="28.5" customHeight="1" x14ac:dyDescent="0.45">
      <c r="A17" s="425" t="s">
        <v>5804</v>
      </c>
      <c r="B17" s="509" t="s">
        <v>8436</v>
      </c>
      <c r="C17" s="510"/>
      <c r="D17" s="510"/>
      <c r="E17" s="510"/>
      <c r="F17" s="510"/>
      <c r="G17" s="510"/>
      <c r="H17" s="510"/>
      <c r="I17" s="510"/>
      <c r="J17" s="510"/>
    </row>
    <row r="18" spans="1:10" ht="5.15" customHeight="1" x14ac:dyDescent="0.45">
      <c r="A18" s="425"/>
    </row>
    <row r="19" spans="1:10" ht="17.25" customHeight="1" x14ac:dyDescent="0.45">
      <c r="A19" s="425" t="s">
        <v>5805</v>
      </c>
      <c r="B19" s="419" t="s">
        <v>1974</v>
      </c>
      <c r="C19" s="514" t="s">
        <v>8437</v>
      </c>
      <c r="D19" s="515"/>
      <c r="E19" s="515"/>
      <c r="F19" s="515"/>
      <c r="G19" s="515"/>
      <c r="H19" s="515"/>
      <c r="I19" s="515"/>
      <c r="J19" s="515"/>
    </row>
    <row r="20" spans="1:10" ht="16.5" customHeight="1" x14ac:dyDescent="0.45">
      <c r="A20" s="425"/>
      <c r="B20" s="419" t="s">
        <v>1975</v>
      </c>
      <c r="C20" s="514" t="s">
        <v>5793</v>
      </c>
      <c r="D20" s="515"/>
      <c r="E20" s="515"/>
      <c r="F20" s="515"/>
      <c r="G20" s="515"/>
      <c r="H20" s="515"/>
      <c r="I20" s="515"/>
      <c r="J20" s="515"/>
    </row>
    <row r="21" spans="1:10" ht="44.45" customHeight="1" x14ac:dyDescent="0.45">
      <c r="A21" s="425"/>
      <c r="B21" s="419" t="s">
        <v>1976</v>
      </c>
      <c r="C21" s="514" t="s">
        <v>5806</v>
      </c>
      <c r="D21" s="515"/>
      <c r="E21" s="515"/>
      <c r="F21" s="515"/>
      <c r="G21" s="515"/>
      <c r="H21" s="515"/>
      <c r="I21" s="515"/>
      <c r="J21" s="515"/>
    </row>
    <row r="22" spans="1:10" ht="27" customHeight="1" x14ac:dyDescent="0.45">
      <c r="A22" s="425"/>
      <c r="B22" s="419" t="s">
        <v>1977</v>
      </c>
      <c r="C22" s="514" t="s">
        <v>3939</v>
      </c>
      <c r="D22" s="515"/>
      <c r="E22" s="515"/>
      <c r="F22" s="515"/>
      <c r="G22" s="515"/>
      <c r="H22" s="515"/>
      <c r="I22" s="515"/>
      <c r="J22" s="515"/>
    </row>
    <row r="23" spans="1:10" ht="17.149999999999999" customHeight="1" x14ac:dyDescent="0.45">
      <c r="A23" s="425"/>
      <c r="B23" s="419" t="s">
        <v>1978</v>
      </c>
      <c r="C23" s="515" t="s">
        <v>1979</v>
      </c>
      <c r="D23" s="515"/>
      <c r="E23" s="515"/>
      <c r="F23" s="515"/>
      <c r="G23" s="515"/>
      <c r="H23" s="515"/>
      <c r="I23" s="515"/>
      <c r="J23" s="515"/>
    </row>
    <row r="24" spans="1:10" ht="18" customHeight="1" x14ac:dyDescent="0.45">
      <c r="A24" s="425"/>
      <c r="B24" s="419" t="s">
        <v>1980</v>
      </c>
      <c r="C24" s="515" t="s">
        <v>1981</v>
      </c>
      <c r="D24" s="515"/>
      <c r="E24" s="515"/>
      <c r="F24" s="515"/>
      <c r="G24" s="515"/>
      <c r="H24" s="515"/>
      <c r="I24" s="515"/>
      <c r="J24" s="515"/>
    </row>
    <row r="25" spans="1:10" ht="5.15" customHeight="1" x14ac:dyDescent="0.45">
      <c r="A25" s="425"/>
    </row>
    <row r="26" spans="1:10" ht="27.75" customHeight="1" x14ac:dyDescent="0.45">
      <c r="A26" s="424" t="s">
        <v>5807</v>
      </c>
      <c r="B26" s="419" t="s">
        <v>1974</v>
      </c>
      <c r="C26" s="505" t="s">
        <v>1982</v>
      </c>
      <c r="D26" s="504"/>
      <c r="E26" s="504"/>
      <c r="F26" s="504"/>
      <c r="G26" s="504"/>
      <c r="H26" s="504"/>
      <c r="I26" s="504"/>
      <c r="J26" s="504"/>
    </row>
    <row r="27" spans="1:10" ht="29.45" customHeight="1" x14ac:dyDescent="0.45">
      <c r="B27" s="419"/>
      <c r="C27" s="502" t="s">
        <v>5808</v>
      </c>
      <c r="D27" s="503"/>
      <c r="E27" s="503"/>
      <c r="F27" s="503"/>
      <c r="G27" s="503"/>
      <c r="H27" s="503"/>
      <c r="I27" s="503"/>
      <c r="J27" s="503"/>
    </row>
    <row r="28" spans="1:10" ht="44.45" customHeight="1" x14ac:dyDescent="0.45">
      <c r="A28" s="425"/>
      <c r="B28" s="419" t="s">
        <v>1975</v>
      </c>
      <c r="C28" s="509" t="s">
        <v>5833</v>
      </c>
      <c r="D28" s="510"/>
      <c r="E28" s="510"/>
      <c r="F28" s="510"/>
      <c r="G28" s="510"/>
      <c r="H28" s="510"/>
      <c r="I28" s="510"/>
      <c r="J28" s="510"/>
    </row>
    <row r="29" spans="1:10" ht="27.65" customHeight="1" x14ac:dyDescent="0.45">
      <c r="A29" s="425"/>
      <c r="B29" s="419" t="s">
        <v>1976</v>
      </c>
      <c r="C29" s="502" t="s">
        <v>5809</v>
      </c>
      <c r="D29" s="503"/>
      <c r="E29" s="503"/>
      <c r="F29" s="503"/>
      <c r="G29" s="503"/>
      <c r="H29" s="503"/>
      <c r="I29" s="503"/>
      <c r="J29" s="503"/>
    </row>
    <row r="30" spans="1:10" ht="81" customHeight="1" x14ac:dyDescent="0.45">
      <c r="A30" s="425"/>
      <c r="B30" s="419" t="s">
        <v>1977</v>
      </c>
      <c r="C30" s="502" t="s">
        <v>3940</v>
      </c>
      <c r="D30" s="503"/>
      <c r="E30" s="503"/>
      <c r="F30" s="503"/>
      <c r="G30" s="503"/>
      <c r="H30" s="503"/>
      <c r="I30" s="503"/>
      <c r="J30" s="503"/>
    </row>
    <row r="31" spans="1:10" ht="25.5" customHeight="1" x14ac:dyDescent="0.45">
      <c r="A31" s="425"/>
      <c r="B31" s="419" t="s">
        <v>1978</v>
      </c>
      <c r="C31" s="502" t="s">
        <v>3935</v>
      </c>
      <c r="D31" s="502"/>
      <c r="E31" s="502"/>
      <c r="F31" s="502"/>
      <c r="G31" s="502"/>
      <c r="H31" s="502"/>
      <c r="I31" s="502"/>
      <c r="J31" s="502"/>
    </row>
    <row r="32" spans="1:10" ht="44.45" customHeight="1" x14ac:dyDescent="0.45">
      <c r="A32" s="425"/>
      <c r="B32" s="419" t="s">
        <v>1980</v>
      </c>
      <c r="C32" s="502" t="s">
        <v>1983</v>
      </c>
      <c r="D32" s="502"/>
      <c r="E32" s="502"/>
      <c r="F32" s="502"/>
      <c r="G32" s="502"/>
      <c r="H32" s="502"/>
      <c r="I32" s="502"/>
      <c r="J32" s="502"/>
    </row>
    <row r="33" spans="1:10" ht="16.5" customHeight="1" x14ac:dyDescent="0.45">
      <c r="A33" s="425"/>
      <c r="B33" s="419" t="s">
        <v>1984</v>
      </c>
      <c r="C33" s="503" t="s">
        <v>1985</v>
      </c>
      <c r="D33" s="503"/>
      <c r="E33" s="503"/>
      <c r="F33" s="503"/>
      <c r="G33" s="503"/>
      <c r="H33" s="503"/>
      <c r="I33" s="503"/>
      <c r="J33" s="503"/>
    </row>
    <row r="34" spans="1:10" ht="28.5" customHeight="1" x14ac:dyDescent="0.45">
      <c r="A34" s="425"/>
      <c r="B34" s="419" t="s">
        <v>1986</v>
      </c>
      <c r="C34" s="502" t="s">
        <v>3941</v>
      </c>
      <c r="D34" s="503"/>
      <c r="E34" s="503"/>
      <c r="F34" s="503"/>
      <c r="G34" s="503"/>
      <c r="H34" s="503"/>
      <c r="I34" s="503"/>
      <c r="J34" s="503"/>
    </row>
    <row r="35" spans="1:10" ht="26.15" customHeight="1" x14ac:dyDescent="0.45">
      <c r="A35" s="425"/>
      <c r="B35" s="419" t="s">
        <v>1987</v>
      </c>
      <c r="C35" s="514" t="s">
        <v>8438</v>
      </c>
      <c r="D35" s="515"/>
      <c r="E35" s="515"/>
      <c r="F35" s="515"/>
      <c r="G35" s="515"/>
      <c r="H35" s="515"/>
      <c r="I35" s="515"/>
      <c r="J35" s="515"/>
    </row>
    <row r="36" spans="1:10" ht="26.15" customHeight="1" x14ac:dyDescent="0.45">
      <c r="A36" s="425"/>
      <c r="B36" s="419" t="s">
        <v>1988</v>
      </c>
      <c r="C36" s="502" t="s">
        <v>5826</v>
      </c>
      <c r="D36" s="503"/>
      <c r="E36" s="503"/>
      <c r="F36" s="503"/>
      <c r="G36" s="503"/>
      <c r="H36" s="503"/>
      <c r="I36" s="503"/>
      <c r="J36" s="503"/>
    </row>
    <row r="37" spans="1:10" ht="44.45" customHeight="1" x14ac:dyDescent="0.45">
      <c r="A37" s="425"/>
      <c r="B37" s="419" t="s">
        <v>1989</v>
      </c>
      <c r="C37" s="502" t="s">
        <v>5810</v>
      </c>
      <c r="D37" s="503"/>
      <c r="E37" s="503"/>
      <c r="F37" s="503"/>
      <c r="G37" s="503"/>
      <c r="H37" s="503"/>
      <c r="I37" s="503"/>
      <c r="J37" s="503"/>
    </row>
    <row r="38" spans="1:10" ht="44.45" customHeight="1" x14ac:dyDescent="0.45">
      <c r="A38" s="425"/>
      <c r="B38" s="419" t="s">
        <v>1990</v>
      </c>
      <c r="C38" s="502" t="s">
        <v>3942</v>
      </c>
      <c r="D38" s="503"/>
      <c r="E38" s="503"/>
      <c r="F38" s="503"/>
      <c r="G38" s="503"/>
      <c r="H38" s="503"/>
      <c r="I38" s="503"/>
      <c r="J38" s="503"/>
    </row>
    <row r="39" spans="1:10" ht="31.5" customHeight="1" x14ac:dyDescent="0.45">
      <c r="A39" s="425"/>
      <c r="B39" s="419" t="s">
        <v>1991</v>
      </c>
      <c r="C39" s="502" t="s">
        <v>5811</v>
      </c>
      <c r="D39" s="503"/>
      <c r="E39" s="503"/>
      <c r="F39" s="503"/>
      <c r="G39" s="503"/>
      <c r="H39" s="503"/>
      <c r="I39" s="503"/>
      <c r="J39" s="503"/>
    </row>
    <row r="40" spans="1:10" ht="5.15" customHeight="1" x14ac:dyDescent="0.45">
      <c r="A40" s="425"/>
    </row>
    <row r="41" spans="1:10" s="427" customFormat="1" ht="51.95" customHeight="1" x14ac:dyDescent="0.45">
      <c r="A41" s="420" t="s">
        <v>5812</v>
      </c>
      <c r="B41" s="384" t="s">
        <v>1974</v>
      </c>
      <c r="C41" s="385" t="s">
        <v>2043</v>
      </c>
      <c r="D41" s="514" t="s">
        <v>8439</v>
      </c>
      <c r="E41" s="514"/>
      <c r="F41" s="514"/>
      <c r="G41" s="514"/>
      <c r="H41" s="514"/>
      <c r="I41" s="514"/>
      <c r="J41" s="514"/>
    </row>
    <row r="42" spans="1:10" ht="15" customHeight="1" x14ac:dyDescent="0.45">
      <c r="A42" s="421"/>
      <c r="B42" s="419"/>
      <c r="D42" s="502" t="s">
        <v>3936</v>
      </c>
      <c r="E42" s="502"/>
      <c r="F42" s="502"/>
      <c r="G42" s="502"/>
      <c r="H42" s="502"/>
      <c r="I42" s="502"/>
      <c r="J42" s="502"/>
    </row>
    <row r="43" spans="1:10" ht="18" customHeight="1" x14ac:dyDescent="0.45">
      <c r="A43" s="425"/>
      <c r="B43" s="419"/>
      <c r="C43" s="502" t="s">
        <v>3934</v>
      </c>
      <c r="D43" s="503"/>
      <c r="E43" s="503"/>
      <c r="F43" s="503"/>
      <c r="G43" s="503"/>
      <c r="H43" s="503"/>
      <c r="I43" s="503"/>
      <c r="J43" s="503"/>
    </row>
    <row r="44" spans="1:10" ht="14.25" customHeight="1" x14ac:dyDescent="0.45">
      <c r="A44" s="421"/>
      <c r="B44" s="419" t="s">
        <v>1975</v>
      </c>
      <c r="C44" s="422" t="s">
        <v>1992</v>
      </c>
      <c r="D44" s="422" t="s">
        <v>8440</v>
      </c>
      <c r="E44" s="424" t="s">
        <v>8441</v>
      </c>
    </row>
    <row r="45" spans="1:10" ht="18" customHeight="1" x14ac:dyDescent="0.45">
      <c r="A45" s="425"/>
      <c r="B45" s="419"/>
      <c r="D45" s="422" t="s">
        <v>1993</v>
      </c>
      <c r="E45" s="424" t="s">
        <v>8524</v>
      </c>
    </row>
    <row r="46" spans="1:10" ht="14.15" customHeight="1" x14ac:dyDescent="0.45">
      <c r="A46" s="425"/>
      <c r="B46" s="419"/>
      <c r="E46" s="424" t="s">
        <v>3241</v>
      </c>
    </row>
    <row r="47" spans="1:10" ht="18" customHeight="1" x14ac:dyDescent="0.45">
      <c r="A47" s="425"/>
      <c r="B47" s="419"/>
      <c r="E47" s="516"/>
      <c r="F47" s="516"/>
      <c r="G47" s="516"/>
      <c r="H47" s="516"/>
      <c r="I47" s="516"/>
      <c r="J47" s="516"/>
    </row>
    <row r="48" spans="1:10" ht="15.95" customHeight="1" x14ac:dyDescent="0.45">
      <c r="A48" s="425"/>
      <c r="B48" s="419" t="s">
        <v>1976</v>
      </c>
      <c r="C48" s="422" t="s">
        <v>1994</v>
      </c>
      <c r="D48" s="386" t="s">
        <v>8510</v>
      </c>
    </row>
    <row r="49" spans="1:10" ht="14.45" customHeight="1" x14ac:dyDescent="0.45">
      <c r="A49" s="425"/>
      <c r="B49" s="419"/>
      <c r="D49" s="386" t="s">
        <v>5828</v>
      </c>
    </row>
    <row r="50" spans="1:10" ht="5.15" customHeight="1" x14ac:dyDescent="0.45">
      <c r="A50" s="425"/>
    </row>
    <row r="51" spans="1:10" ht="37.5" customHeight="1" x14ac:dyDescent="0.45">
      <c r="A51" s="425" t="s">
        <v>5813</v>
      </c>
      <c r="B51" s="419" t="s">
        <v>1974</v>
      </c>
      <c r="C51" s="502" t="s">
        <v>8442</v>
      </c>
      <c r="D51" s="502"/>
      <c r="E51" s="502"/>
      <c r="F51" s="502"/>
      <c r="G51" s="502"/>
      <c r="H51" s="502"/>
      <c r="I51" s="502"/>
      <c r="J51" s="502"/>
    </row>
    <row r="52" spans="1:10" ht="38.450000000000003" customHeight="1" x14ac:dyDescent="0.45">
      <c r="A52" s="425"/>
      <c r="B52" s="419" t="s">
        <v>1975</v>
      </c>
      <c r="C52" s="502" t="s">
        <v>5814</v>
      </c>
      <c r="D52" s="503"/>
      <c r="E52" s="503"/>
      <c r="F52" s="503"/>
      <c r="G52" s="503"/>
      <c r="H52" s="503"/>
      <c r="I52" s="503"/>
      <c r="J52" s="503"/>
    </row>
    <row r="53" spans="1:10" ht="83.25" customHeight="1" x14ac:dyDescent="0.45">
      <c r="A53" s="425"/>
      <c r="B53" s="419" t="s">
        <v>1976</v>
      </c>
      <c r="C53" s="506" t="s">
        <v>5815</v>
      </c>
      <c r="D53" s="506"/>
      <c r="E53" s="506"/>
      <c r="F53" s="506"/>
      <c r="G53" s="506"/>
      <c r="H53" s="506"/>
      <c r="I53" s="506"/>
      <c r="J53" s="506"/>
    </row>
    <row r="54" spans="1:10" ht="18" customHeight="1" x14ac:dyDescent="0.45">
      <c r="A54" s="425"/>
      <c r="B54" s="419" t="s">
        <v>1977</v>
      </c>
      <c r="C54" s="504" t="s">
        <v>3238</v>
      </c>
      <c r="D54" s="504"/>
      <c r="E54" s="504"/>
      <c r="F54" s="504"/>
      <c r="G54" s="504"/>
      <c r="H54" s="504"/>
      <c r="I54" s="504"/>
      <c r="J54" s="504"/>
    </row>
    <row r="55" spans="1:10" ht="30.65" customHeight="1" x14ac:dyDescent="0.45">
      <c r="A55" s="425"/>
      <c r="B55" s="419" t="s">
        <v>1978</v>
      </c>
      <c r="C55" s="502" t="s">
        <v>5816</v>
      </c>
      <c r="D55" s="503"/>
      <c r="E55" s="503"/>
      <c r="F55" s="503"/>
      <c r="G55" s="503"/>
      <c r="H55" s="503"/>
      <c r="I55" s="503"/>
      <c r="J55" s="503"/>
    </row>
    <row r="56" spans="1:10" ht="16.5" customHeight="1" x14ac:dyDescent="0.45">
      <c r="A56" s="425"/>
      <c r="B56" s="419"/>
      <c r="C56" s="503" t="s">
        <v>3943</v>
      </c>
      <c r="D56" s="503"/>
      <c r="E56" s="503"/>
      <c r="F56" s="503"/>
      <c r="G56" s="503"/>
      <c r="H56" s="503"/>
      <c r="I56" s="503"/>
      <c r="J56" s="503"/>
    </row>
    <row r="57" spans="1:10" ht="14.15" customHeight="1" x14ac:dyDescent="0.45">
      <c r="A57" s="425"/>
      <c r="B57" s="419"/>
      <c r="C57" s="503" t="s">
        <v>3944</v>
      </c>
      <c r="D57" s="503"/>
      <c r="E57" s="503"/>
      <c r="F57" s="503"/>
      <c r="G57" s="503"/>
      <c r="H57" s="503"/>
      <c r="I57" s="503"/>
      <c r="J57" s="503"/>
    </row>
    <row r="58" spans="1:10" ht="14.15" customHeight="1" x14ac:dyDescent="0.45">
      <c r="A58" s="425"/>
      <c r="B58" s="419"/>
      <c r="C58" s="503" t="s">
        <v>3945</v>
      </c>
      <c r="D58" s="503"/>
      <c r="E58" s="503"/>
      <c r="F58" s="503"/>
      <c r="G58" s="503"/>
      <c r="H58" s="503"/>
      <c r="I58" s="503"/>
      <c r="J58" s="503"/>
    </row>
    <row r="59" spans="1:10" ht="13.5" customHeight="1" x14ac:dyDescent="0.45">
      <c r="A59" s="425"/>
      <c r="B59" s="419"/>
      <c r="C59" s="503" t="s">
        <v>3946</v>
      </c>
      <c r="D59" s="503"/>
      <c r="E59" s="503"/>
      <c r="F59" s="503"/>
      <c r="G59" s="503"/>
      <c r="H59" s="503"/>
      <c r="I59" s="503"/>
      <c r="J59" s="503"/>
    </row>
    <row r="60" spans="1:10" ht="12.95" customHeight="1" x14ac:dyDescent="0.45">
      <c r="A60" s="425"/>
      <c r="B60" s="419"/>
      <c r="C60" s="502" t="s">
        <v>3947</v>
      </c>
      <c r="D60" s="503"/>
      <c r="E60" s="503"/>
      <c r="F60" s="503"/>
      <c r="G60" s="503"/>
      <c r="H60" s="503"/>
      <c r="I60" s="503"/>
      <c r="J60" s="503"/>
    </row>
    <row r="61" spans="1:10" ht="14.15" customHeight="1" x14ac:dyDescent="0.45">
      <c r="A61" s="425"/>
      <c r="B61" s="419"/>
      <c r="C61" s="504" t="s">
        <v>3948</v>
      </c>
      <c r="D61" s="504"/>
      <c r="E61" s="504"/>
      <c r="F61" s="504"/>
      <c r="G61" s="504"/>
      <c r="H61" s="504"/>
      <c r="I61" s="504"/>
      <c r="J61" s="504"/>
    </row>
    <row r="62" spans="1:10" ht="27" customHeight="1" x14ac:dyDescent="0.45">
      <c r="A62" s="425"/>
      <c r="B62" s="419"/>
      <c r="C62" s="505" t="s">
        <v>5817</v>
      </c>
      <c r="D62" s="504"/>
      <c r="E62" s="504"/>
      <c r="F62" s="504"/>
      <c r="G62" s="504"/>
      <c r="H62" s="504"/>
      <c r="I62" s="504"/>
      <c r="J62" s="504"/>
    </row>
    <row r="63" spans="1:10" ht="15.95" customHeight="1" x14ac:dyDescent="0.45">
      <c r="B63" s="419" t="s">
        <v>1980</v>
      </c>
      <c r="C63" s="504" t="s">
        <v>1995</v>
      </c>
      <c r="D63" s="504"/>
      <c r="E63" s="504"/>
      <c r="F63" s="504"/>
      <c r="G63" s="504"/>
      <c r="H63" s="504"/>
      <c r="I63" s="504"/>
      <c r="J63" s="504"/>
    </row>
    <row r="64" spans="1:10" ht="15" customHeight="1" x14ac:dyDescent="0.45">
      <c r="B64" s="419" t="s">
        <v>1984</v>
      </c>
      <c r="C64" s="504" t="s">
        <v>1996</v>
      </c>
      <c r="D64" s="504"/>
      <c r="E64" s="504"/>
      <c r="F64" s="504"/>
      <c r="G64" s="504"/>
      <c r="H64" s="504"/>
      <c r="I64" s="504"/>
      <c r="J64" s="504"/>
    </row>
    <row r="65" spans="2:10" ht="15.75" customHeight="1" x14ac:dyDescent="0.45">
      <c r="B65" s="419"/>
      <c r="C65" s="504" t="s">
        <v>3239</v>
      </c>
      <c r="D65" s="504"/>
      <c r="E65" s="504"/>
      <c r="F65" s="504"/>
      <c r="G65" s="504"/>
      <c r="H65" s="504"/>
      <c r="I65" s="504"/>
      <c r="J65" s="504"/>
    </row>
    <row r="66" spans="2:10" ht="15.95" customHeight="1" x14ac:dyDescent="0.45">
      <c r="B66" s="419"/>
      <c r="C66" s="504" t="s">
        <v>3937</v>
      </c>
      <c r="D66" s="504"/>
      <c r="E66" s="504"/>
      <c r="F66" s="504"/>
      <c r="G66" s="504"/>
      <c r="H66" s="504"/>
      <c r="I66" s="504"/>
      <c r="J66" s="504"/>
    </row>
    <row r="67" spans="2:10" ht="13.5" customHeight="1" x14ac:dyDescent="0.45">
      <c r="B67" s="419"/>
      <c r="C67" s="504" t="s">
        <v>1997</v>
      </c>
      <c r="D67" s="504"/>
      <c r="E67" s="504"/>
      <c r="F67" s="504"/>
      <c r="G67" s="504"/>
      <c r="H67" s="504"/>
      <c r="I67" s="504"/>
      <c r="J67" s="504"/>
    </row>
    <row r="68" spans="2:10" ht="13.5" customHeight="1" x14ac:dyDescent="0.45">
      <c r="B68" s="419"/>
      <c r="C68" s="511" t="s">
        <v>5827</v>
      </c>
      <c r="D68" s="511"/>
      <c r="E68" s="511"/>
      <c r="F68" s="511"/>
      <c r="G68" s="511"/>
      <c r="H68" s="511"/>
      <c r="I68" s="511"/>
      <c r="J68" s="511"/>
    </row>
    <row r="69" spans="2:10" ht="14.25" customHeight="1" x14ac:dyDescent="0.45">
      <c r="B69" s="419"/>
      <c r="C69" s="504" t="s">
        <v>5818</v>
      </c>
      <c r="D69" s="504"/>
      <c r="E69" s="504"/>
      <c r="F69" s="504"/>
      <c r="G69" s="504"/>
      <c r="H69" s="504"/>
      <c r="I69" s="504"/>
      <c r="J69" s="504"/>
    </row>
    <row r="70" spans="2:10" ht="15.95" customHeight="1" x14ac:dyDescent="0.45">
      <c r="B70" s="419"/>
      <c r="C70" s="505" t="s">
        <v>1998</v>
      </c>
      <c r="D70" s="504"/>
      <c r="E70" s="504"/>
      <c r="F70" s="504"/>
      <c r="G70" s="504"/>
      <c r="H70" s="504"/>
      <c r="I70" s="504"/>
      <c r="J70" s="504"/>
    </row>
    <row r="71" spans="2:10" ht="14.45" customHeight="1" x14ac:dyDescent="0.45">
      <c r="B71" s="419"/>
      <c r="C71" s="504" t="s">
        <v>1999</v>
      </c>
      <c r="D71" s="504"/>
      <c r="E71" s="504"/>
      <c r="F71" s="504"/>
      <c r="G71" s="504"/>
      <c r="H71" s="504"/>
      <c r="I71" s="504"/>
      <c r="J71" s="504"/>
    </row>
    <row r="72" spans="2:10" ht="51.95" customHeight="1" x14ac:dyDescent="0.45">
      <c r="B72" s="419" t="s">
        <v>1986</v>
      </c>
      <c r="C72" s="505" t="s">
        <v>3938</v>
      </c>
      <c r="D72" s="504"/>
      <c r="E72" s="504"/>
      <c r="F72" s="504"/>
      <c r="G72" s="504"/>
      <c r="H72" s="504"/>
      <c r="I72" s="504"/>
      <c r="J72" s="504"/>
    </row>
    <row r="73" spans="2:10" ht="18.75" customHeight="1" x14ac:dyDescent="0.45">
      <c r="B73" s="419"/>
      <c r="C73" s="504" t="s">
        <v>5819</v>
      </c>
      <c r="D73" s="504"/>
      <c r="E73" s="504"/>
      <c r="F73" s="504"/>
      <c r="G73" s="504"/>
      <c r="H73" s="504"/>
      <c r="I73" s="504"/>
      <c r="J73" s="504"/>
    </row>
    <row r="74" spans="2:10" ht="16" customHeight="1" x14ac:dyDescent="0.45">
      <c r="B74" s="419"/>
      <c r="C74" s="504" t="s">
        <v>5820</v>
      </c>
      <c r="D74" s="504"/>
      <c r="E74" s="504"/>
      <c r="F74" s="504"/>
      <c r="G74" s="504"/>
      <c r="H74" s="504"/>
      <c r="I74" s="504"/>
      <c r="J74" s="504"/>
    </row>
    <row r="75" spans="2:10" ht="28.5" customHeight="1" x14ac:dyDescent="0.45">
      <c r="B75" s="419"/>
      <c r="C75" s="505" t="s">
        <v>3949</v>
      </c>
      <c r="D75" s="505"/>
      <c r="E75" s="505"/>
      <c r="F75" s="505"/>
      <c r="G75" s="505"/>
      <c r="H75" s="505"/>
      <c r="I75" s="505"/>
      <c r="J75" s="505"/>
    </row>
    <row r="76" spans="2:10" ht="39" customHeight="1" x14ac:dyDescent="0.45">
      <c r="B76" s="419" t="s">
        <v>1987</v>
      </c>
      <c r="C76" s="505" t="s">
        <v>2000</v>
      </c>
      <c r="D76" s="504"/>
      <c r="E76" s="504"/>
      <c r="F76" s="504"/>
      <c r="G76" s="504"/>
      <c r="H76" s="504"/>
      <c r="I76" s="504"/>
      <c r="J76" s="504"/>
    </row>
    <row r="77" spans="2:10" ht="51.95" customHeight="1" x14ac:dyDescent="0.45">
      <c r="B77" s="419" t="s">
        <v>1988</v>
      </c>
      <c r="C77" s="506" t="s">
        <v>11837</v>
      </c>
      <c r="D77" s="507"/>
      <c r="E77" s="507"/>
      <c r="F77" s="507"/>
      <c r="G77" s="507"/>
      <c r="H77" s="507"/>
      <c r="I77" s="507"/>
      <c r="J77" s="507"/>
    </row>
    <row r="78" spans="2:10" ht="33" customHeight="1" x14ac:dyDescent="0.45">
      <c r="B78" s="419" t="s">
        <v>1989</v>
      </c>
      <c r="C78" s="505" t="s">
        <v>2001</v>
      </c>
      <c r="D78" s="504"/>
      <c r="E78" s="504"/>
      <c r="F78" s="504"/>
      <c r="G78" s="504"/>
      <c r="H78" s="504"/>
      <c r="I78" s="504"/>
      <c r="J78" s="504"/>
    </row>
    <row r="79" spans="2:10" ht="16" customHeight="1" x14ac:dyDescent="0.45">
      <c r="B79" s="442" t="s">
        <v>1990</v>
      </c>
      <c r="C79" s="506" t="s">
        <v>8511</v>
      </c>
      <c r="D79" s="506"/>
      <c r="E79" s="506"/>
      <c r="F79" s="506"/>
      <c r="G79" s="506"/>
      <c r="H79" s="506"/>
      <c r="I79" s="506"/>
      <c r="J79" s="506"/>
    </row>
    <row r="80" spans="2:10" ht="13.5" customHeight="1" x14ac:dyDescent="0.45">
      <c r="B80" s="442" t="s">
        <v>3950</v>
      </c>
      <c r="C80" s="442" t="s">
        <v>8455</v>
      </c>
    </row>
    <row r="81" spans="2:10" x14ac:dyDescent="0.45">
      <c r="C81" s="442" t="s">
        <v>8456</v>
      </c>
    </row>
    <row r="82" spans="2:10" x14ac:dyDescent="0.45">
      <c r="B82" s="424" t="s">
        <v>8457</v>
      </c>
      <c r="C82" s="505" t="s">
        <v>3240</v>
      </c>
      <c r="D82" s="504"/>
      <c r="E82" s="504"/>
      <c r="F82" s="504"/>
      <c r="G82" s="504"/>
      <c r="H82" s="504"/>
      <c r="I82" s="504"/>
      <c r="J82" s="504"/>
    </row>
  </sheetData>
  <mergeCells count="63">
    <mergeCell ref="E47:J47"/>
    <mergeCell ref="C31:J31"/>
    <mergeCell ref="B13:J13"/>
    <mergeCell ref="D41:J41"/>
    <mergeCell ref="C36:J36"/>
    <mergeCell ref="C37:J37"/>
    <mergeCell ref="C38:J38"/>
    <mergeCell ref="C39:J39"/>
    <mergeCell ref="D42:J42"/>
    <mergeCell ref="C30:J30"/>
    <mergeCell ref="C32:J32"/>
    <mergeCell ref="C33:J33"/>
    <mergeCell ref="C34:J34"/>
    <mergeCell ref="C35:J35"/>
    <mergeCell ref="C43:J43"/>
    <mergeCell ref="B5:J5"/>
    <mergeCell ref="B7:J7"/>
    <mergeCell ref="B9:J9"/>
    <mergeCell ref="C29:J29"/>
    <mergeCell ref="B15:J15"/>
    <mergeCell ref="B17:J17"/>
    <mergeCell ref="C19:J19"/>
    <mergeCell ref="C20:J20"/>
    <mergeCell ref="C21:J21"/>
    <mergeCell ref="C22:J22"/>
    <mergeCell ref="C23:J23"/>
    <mergeCell ref="C24:J24"/>
    <mergeCell ref="C26:J26"/>
    <mergeCell ref="I1:J1"/>
    <mergeCell ref="A1:H1"/>
    <mergeCell ref="C73:J73"/>
    <mergeCell ref="C59:J59"/>
    <mergeCell ref="C51:J51"/>
    <mergeCell ref="C52:J52"/>
    <mergeCell ref="C53:J53"/>
    <mergeCell ref="C54:J54"/>
    <mergeCell ref="C55:J55"/>
    <mergeCell ref="C56:J56"/>
    <mergeCell ref="C57:J57"/>
    <mergeCell ref="C58:J58"/>
    <mergeCell ref="C27:J27"/>
    <mergeCell ref="C28:J28"/>
    <mergeCell ref="B3:J3"/>
    <mergeCell ref="C68:J68"/>
    <mergeCell ref="C82:J82"/>
    <mergeCell ref="C74:J74"/>
    <mergeCell ref="C71:J71"/>
    <mergeCell ref="C72:J72"/>
    <mergeCell ref="C69:J69"/>
    <mergeCell ref="C70:J70"/>
    <mergeCell ref="C75:J75"/>
    <mergeCell ref="C76:J76"/>
    <mergeCell ref="C77:J77"/>
    <mergeCell ref="C78:J78"/>
    <mergeCell ref="C79:J79"/>
    <mergeCell ref="C60:J60"/>
    <mergeCell ref="C61:J61"/>
    <mergeCell ref="C62:J62"/>
    <mergeCell ref="C65:J65"/>
    <mergeCell ref="C67:J67"/>
    <mergeCell ref="C63:J63"/>
    <mergeCell ref="C64:J64"/>
    <mergeCell ref="C66:J66"/>
  </mergeCells>
  <phoneticPr fontId="5"/>
  <pageMargins left="0.39370078740157483" right="0.39370078740157483" top="0.39370078740157483" bottom="0.39370078740157483" header="0.31496062992125984" footer="0.31496062992125984"/>
  <pageSetup paperSize="9" scale="91" fitToHeight="2" orientation="portrait" r:id="rId1"/>
  <rowBreaks count="1" manualBreakCount="1">
    <brk id="40"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Q120"/>
  <sheetViews>
    <sheetView showZeros="0" zoomScale="80" zoomScaleNormal="80" zoomScaleSheetLayoutView="85" workbookViewId="0">
      <selection activeCell="A5" sqref="A5"/>
    </sheetView>
  </sheetViews>
  <sheetFormatPr defaultColWidth="9" defaultRowHeight="13.25" x14ac:dyDescent="0.45"/>
  <cols>
    <col min="1" max="141" width="2.6328125" style="67" customWidth="1"/>
    <col min="142" max="210" width="3.6328125" style="67" customWidth="1"/>
    <col min="211" max="16384" width="9" style="67"/>
  </cols>
  <sheetData>
    <row r="1" spans="1:36" s="63" customFormat="1" ht="30" customHeight="1" x14ac:dyDescent="0.45">
      <c r="A1" s="545" t="s">
        <v>1864</v>
      </c>
      <c r="B1" s="545"/>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row>
    <row r="2" spans="1:36" s="63" customFormat="1" x14ac:dyDescent="0.45">
      <c r="A2" s="546" t="str">
        <f>大会要項!B3</f>
        <v>第12回 全日本不動産協会杯争奪U-12サッカー大会【ラビットカップ】大分県大会</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row>
    <row r="3" spans="1:36" s="63" customFormat="1" x14ac:dyDescent="0.45">
      <c r="A3" s="546"/>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row>
    <row r="4" spans="1:36" s="63" customFormat="1" x14ac:dyDescent="0.45">
      <c r="A4" s="546"/>
      <c r="B4" s="546"/>
      <c r="C4" s="546"/>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row>
    <row r="5" spans="1:36" s="63" customFormat="1" ht="18" customHeight="1" x14ac:dyDescent="0.45">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row>
    <row r="6" spans="1:36" s="406" customFormat="1" ht="18" customHeight="1" x14ac:dyDescent="0.45">
      <c r="J6" s="547" t="s">
        <v>1865</v>
      </c>
      <c r="K6" s="547"/>
      <c r="L6" s="547"/>
      <c r="M6" s="547"/>
      <c r="N6" s="547"/>
      <c r="O6" s="547"/>
      <c r="P6" s="547"/>
      <c r="Q6" s="547"/>
      <c r="R6" s="540"/>
      <c r="S6" s="540"/>
      <c r="T6" s="540"/>
      <c r="Y6" s="65"/>
      <c r="Z6" s="65"/>
      <c r="AA6" s="65"/>
      <c r="AB6" s="65"/>
      <c r="AC6" s="65"/>
      <c r="AD6" s="65"/>
      <c r="AE6" s="65"/>
      <c r="AF6" s="65"/>
      <c r="AG6" s="65"/>
      <c r="AH6" s="65"/>
    </row>
    <row r="7" spans="1:36" s="406" customFormat="1" ht="18" customHeight="1" x14ac:dyDescent="0.45"/>
    <row r="8" spans="1:36" s="406" customFormat="1" ht="18" customHeight="1" x14ac:dyDescent="0.45">
      <c r="B8" s="542" t="s">
        <v>1949</v>
      </c>
      <c r="C8" s="542"/>
      <c r="D8" s="542"/>
      <c r="E8" s="542"/>
      <c r="F8" s="542"/>
      <c r="G8" s="542"/>
      <c r="H8" s="542"/>
      <c r="I8" s="542"/>
      <c r="J8" s="542"/>
      <c r="K8" s="66" t="s">
        <v>205</v>
      </c>
      <c r="L8" s="542"/>
      <c r="M8" s="542"/>
      <c r="N8" s="542"/>
      <c r="O8" s="548" t="s">
        <v>1866</v>
      </c>
      <c r="P8" s="548"/>
      <c r="Q8" s="542" t="s">
        <v>1867</v>
      </c>
      <c r="R8" s="542"/>
      <c r="S8" s="542" t="s">
        <v>1951</v>
      </c>
      <c r="T8" s="542"/>
      <c r="U8" s="542"/>
      <c r="V8" s="542"/>
      <c r="W8" s="542"/>
      <c r="X8" s="542"/>
      <c r="Y8" s="542"/>
      <c r="Z8" s="542"/>
      <c r="AA8" s="542"/>
      <c r="AB8" s="66" t="s">
        <v>205</v>
      </c>
      <c r="AC8" s="542"/>
      <c r="AD8" s="542"/>
      <c r="AE8" s="542"/>
      <c r="AF8" s="548" t="s">
        <v>1866</v>
      </c>
      <c r="AG8" s="548"/>
    </row>
    <row r="9" spans="1:36" s="406" customFormat="1" ht="9.9499999999999993" customHeight="1" x14ac:dyDescent="0.45"/>
    <row r="10" spans="1:36" s="406" customFormat="1" ht="18" customHeight="1" x14ac:dyDescent="0.45">
      <c r="A10" s="543" t="s">
        <v>8448</v>
      </c>
      <c r="B10" s="544"/>
      <c r="C10" s="544"/>
      <c r="D10" s="544"/>
      <c r="E10" s="544"/>
      <c r="F10" s="544"/>
      <c r="G10" s="544"/>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row>
    <row r="11" spans="1:36" s="406" customFormat="1" ht="18" customHeight="1" x14ac:dyDescent="0.45">
      <c r="A11" s="544"/>
      <c r="B11" s="544"/>
      <c r="C11" s="544"/>
      <c r="D11" s="544"/>
      <c r="E11" s="544"/>
      <c r="F11" s="544"/>
      <c r="G11" s="544"/>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row>
    <row r="12" spans="1:36" s="406" customFormat="1" ht="18" customHeight="1" x14ac:dyDescent="0.45">
      <c r="A12" s="542" t="s">
        <v>8449</v>
      </c>
      <c r="B12" s="542"/>
      <c r="C12" s="542"/>
      <c r="D12" s="542"/>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42"/>
      <c r="AI12" s="542"/>
      <c r="AJ12" s="542"/>
    </row>
    <row r="13" spans="1:36" s="406" customFormat="1" ht="18" customHeight="1" x14ac:dyDescent="0.45">
      <c r="E13" s="539" t="s">
        <v>8443</v>
      </c>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row>
    <row r="14" spans="1:36" s="406" customFormat="1" ht="18" customHeight="1" x14ac:dyDescent="0.45">
      <c r="A14" s="540" t="s">
        <v>1954</v>
      </c>
      <c r="B14" s="540"/>
      <c r="C14" s="540"/>
      <c r="E14" s="541" t="s">
        <v>3245</v>
      </c>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row>
    <row r="15" spans="1:36" s="406" customFormat="1" ht="18" customHeight="1" x14ac:dyDescent="0.45">
      <c r="A15" s="540" t="s">
        <v>1953</v>
      </c>
      <c r="B15" s="540"/>
      <c r="C15" s="540"/>
      <c r="E15" s="541" t="s">
        <v>3933</v>
      </c>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row>
    <row r="16" spans="1:36" ht="9.9499999999999993" customHeight="1" x14ac:dyDescent="0.45"/>
    <row r="17" spans="1:34" ht="16.5" customHeight="1" x14ac:dyDescent="0.45">
      <c r="A17" s="68">
        <v>1</v>
      </c>
      <c r="B17" s="68" t="s">
        <v>1868</v>
      </c>
      <c r="C17" s="68"/>
      <c r="D17" s="68"/>
      <c r="E17" s="68"/>
      <c r="M17" s="67" t="s">
        <v>1869</v>
      </c>
    </row>
    <row r="18" spans="1:34" ht="16.5" customHeight="1" x14ac:dyDescent="0.45">
      <c r="B18" s="530" t="s">
        <v>1870</v>
      </c>
      <c r="C18" s="530"/>
      <c r="D18" s="67" t="s">
        <v>1871</v>
      </c>
      <c r="Q18" s="530"/>
      <c r="R18" s="530"/>
      <c r="S18" s="530"/>
      <c r="T18" s="530"/>
      <c r="U18" s="530"/>
      <c r="V18" s="530"/>
      <c r="W18" s="530"/>
      <c r="X18" s="530"/>
      <c r="Y18" s="530" t="s">
        <v>1872</v>
      </c>
      <c r="Z18" s="530"/>
    </row>
    <row r="19" spans="1:34" ht="16.5" customHeight="1" x14ac:dyDescent="0.45">
      <c r="B19" s="530" t="s">
        <v>1873</v>
      </c>
      <c r="C19" s="530"/>
      <c r="D19" s="67" t="s">
        <v>1885</v>
      </c>
      <c r="M19" s="67" t="s">
        <v>1874</v>
      </c>
      <c r="Q19" s="530"/>
      <c r="R19" s="530"/>
      <c r="S19" s="530"/>
      <c r="T19" s="530"/>
      <c r="U19" s="530"/>
      <c r="V19" s="530"/>
      <c r="W19" s="530"/>
      <c r="X19" s="530"/>
      <c r="Y19" s="530" t="s">
        <v>1872</v>
      </c>
      <c r="Z19" s="530"/>
    </row>
    <row r="20" spans="1:34" ht="16.5" customHeight="1" x14ac:dyDescent="0.45">
      <c r="B20" s="530" t="s">
        <v>1875</v>
      </c>
      <c r="C20" s="530"/>
      <c r="D20" s="537" t="s">
        <v>1948</v>
      </c>
      <c r="E20" s="537"/>
      <c r="F20" s="537"/>
      <c r="G20" s="537"/>
      <c r="H20" s="537"/>
      <c r="I20" s="537"/>
      <c r="J20" s="537"/>
      <c r="K20" s="537"/>
      <c r="L20" s="537"/>
      <c r="M20" s="67" t="s">
        <v>1874</v>
      </c>
      <c r="Q20" s="530"/>
      <c r="R20" s="530"/>
      <c r="S20" s="530"/>
      <c r="T20" s="530"/>
      <c r="U20" s="530"/>
      <c r="V20" s="530"/>
      <c r="W20" s="530"/>
      <c r="X20" s="530"/>
      <c r="Y20" s="530" t="s">
        <v>1872</v>
      </c>
      <c r="Z20" s="530"/>
    </row>
    <row r="21" spans="1:34" ht="16.5" customHeight="1" x14ac:dyDescent="0.45">
      <c r="B21" s="530" t="s">
        <v>1876</v>
      </c>
      <c r="C21" s="530"/>
      <c r="D21" s="537" t="s">
        <v>1950</v>
      </c>
      <c r="E21" s="537"/>
      <c r="F21" s="537"/>
      <c r="G21" s="537"/>
      <c r="H21" s="537"/>
      <c r="I21" s="537"/>
      <c r="J21" s="537"/>
      <c r="K21" s="537"/>
      <c r="L21" s="537"/>
      <c r="M21" s="67" t="s">
        <v>1874</v>
      </c>
      <c r="Q21" s="530"/>
      <c r="R21" s="530"/>
      <c r="S21" s="530"/>
      <c r="T21" s="530"/>
      <c r="U21" s="530"/>
      <c r="V21" s="530"/>
      <c r="W21" s="530"/>
      <c r="X21" s="530"/>
      <c r="Y21" s="530" t="s">
        <v>1872</v>
      </c>
      <c r="Z21" s="530"/>
    </row>
    <row r="22" spans="1:34" ht="16.5" customHeight="1" x14ac:dyDescent="0.45">
      <c r="B22" s="530" t="s">
        <v>1882</v>
      </c>
      <c r="C22" s="530"/>
      <c r="D22" s="67" t="s">
        <v>1877</v>
      </c>
      <c r="H22" s="67" t="s">
        <v>1878</v>
      </c>
      <c r="Q22" s="530"/>
      <c r="R22" s="530"/>
      <c r="S22" s="530"/>
      <c r="T22" s="530"/>
      <c r="U22" s="530"/>
      <c r="V22" s="530"/>
      <c r="W22" s="530"/>
      <c r="X22" s="530"/>
      <c r="Y22" s="530" t="s">
        <v>1872</v>
      </c>
      <c r="Z22" s="530"/>
      <c r="AA22" s="405"/>
      <c r="AB22" s="405"/>
    </row>
    <row r="23" spans="1:34" ht="16.5" customHeight="1" x14ac:dyDescent="0.45">
      <c r="H23" s="67" t="s">
        <v>1879</v>
      </c>
      <c r="Q23" s="530"/>
      <c r="R23" s="530"/>
      <c r="S23" s="530"/>
      <c r="T23" s="530"/>
      <c r="U23" s="530"/>
      <c r="V23" s="530"/>
      <c r="W23" s="530"/>
      <c r="X23" s="530"/>
      <c r="Y23" s="530" t="s">
        <v>1872</v>
      </c>
      <c r="Z23" s="530"/>
      <c r="AA23" s="405"/>
      <c r="AB23" s="405"/>
    </row>
    <row r="24" spans="1:34" ht="16.5" customHeight="1" x14ac:dyDescent="0.45">
      <c r="H24" s="67" t="s">
        <v>1880</v>
      </c>
      <c r="Q24" s="530"/>
      <c r="R24" s="530"/>
      <c r="S24" s="530"/>
      <c r="T24" s="530"/>
      <c r="U24" s="530"/>
      <c r="V24" s="530"/>
      <c r="W24" s="530"/>
      <c r="X24" s="530"/>
      <c r="Y24" s="530" t="s">
        <v>1872</v>
      </c>
      <c r="Z24" s="530"/>
    </row>
    <row r="25" spans="1:34" ht="16.5" customHeight="1" x14ac:dyDescent="0.45">
      <c r="H25" s="67" t="s">
        <v>1881</v>
      </c>
      <c r="Q25" s="530"/>
      <c r="R25" s="530"/>
      <c r="S25" s="530"/>
      <c r="T25" s="530"/>
      <c r="U25" s="530"/>
      <c r="V25" s="530"/>
      <c r="W25" s="530"/>
      <c r="X25" s="530"/>
      <c r="Y25" s="530" t="s">
        <v>1872</v>
      </c>
      <c r="Z25" s="530"/>
    </row>
    <row r="26" spans="1:34" ht="16.5" customHeight="1" x14ac:dyDescent="0.45">
      <c r="B26" s="530" t="s">
        <v>1884</v>
      </c>
      <c r="C26" s="530"/>
      <c r="D26" s="67" t="s">
        <v>1883</v>
      </c>
      <c r="Q26" s="530"/>
      <c r="R26" s="530"/>
      <c r="S26" s="530"/>
      <c r="T26" s="530"/>
      <c r="U26" s="530"/>
      <c r="V26" s="530"/>
      <c r="W26" s="530"/>
      <c r="X26" s="530"/>
      <c r="Y26" s="530" t="s">
        <v>1872</v>
      </c>
      <c r="Z26" s="530"/>
    </row>
    <row r="27" spans="1:34" ht="9.9499999999999993" customHeight="1" x14ac:dyDescent="0.45">
      <c r="B27" s="530"/>
      <c r="C27" s="530"/>
    </row>
    <row r="28" spans="1:34" ht="16.5" customHeight="1" x14ac:dyDescent="0.45">
      <c r="A28" s="68">
        <v>2</v>
      </c>
      <c r="B28" s="68" t="s">
        <v>1886</v>
      </c>
      <c r="C28" s="68"/>
      <c r="S28" s="530"/>
      <c r="T28" s="530"/>
      <c r="U28" s="530"/>
      <c r="V28" s="530"/>
      <c r="W28" s="530"/>
      <c r="X28" s="530"/>
      <c r="Y28" s="530"/>
    </row>
    <row r="29" spans="1:34" ht="16.5" customHeight="1" x14ac:dyDescent="0.45">
      <c r="B29" s="521" t="s">
        <v>1887</v>
      </c>
      <c r="C29" s="522"/>
      <c r="D29" s="69" t="s">
        <v>1888</v>
      </c>
      <c r="E29" s="69"/>
      <c r="F29" s="69"/>
      <c r="G29" s="69"/>
      <c r="L29" s="537" t="s">
        <v>1952</v>
      </c>
      <c r="M29" s="537"/>
      <c r="N29" s="537"/>
      <c r="O29" s="537"/>
      <c r="P29" s="537"/>
      <c r="Q29" s="537"/>
      <c r="R29" s="537"/>
      <c r="S29" s="537"/>
      <c r="T29" s="537"/>
      <c r="U29" s="537"/>
      <c r="V29" s="537"/>
      <c r="W29" s="537"/>
      <c r="X29" s="537"/>
      <c r="Y29" s="537"/>
      <c r="Z29" s="537"/>
      <c r="AA29" s="537"/>
      <c r="AB29" s="537"/>
      <c r="AC29" s="537"/>
      <c r="AD29" s="537"/>
      <c r="AE29" s="537"/>
      <c r="AF29" s="537"/>
      <c r="AG29" s="537"/>
      <c r="AH29" s="537"/>
    </row>
    <row r="30" spans="1:34" s="70" customFormat="1" ht="16.5" customHeight="1" x14ac:dyDescent="0.45">
      <c r="C30" s="538" t="str">
        <f>+D20</f>
        <v>組み合わせ左側チーム</v>
      </c>
      <c r="D30" s="538"/>
      <c r="E30" s="538"/>
      <c r="F30" s="538"/>
      <c r="G30" s="538"/>
      <c r="H30" s="538"/>
      <c r="I30" s="538"/>
      <c r="J30" s="538"/>
      <c r="K30" s="71"/>
      <c r="L30" s="71"/>
      <c r="M30" s="71"/>
      <c r="N30" s="71"/>
      <c r="O30" s="71"/>
      <c r="P30" s="71"/>
      <c r="Q30" s="71"/>
      <c r="R30" s="71"/>
      <c r="S30" s="71"/>
      <c r="T30" s="71"/>
      <c r="U30" s="71"/>
      <c r="V30" s="71"/>
      <c r="W30" s="71"/>
      <c r="X30" s="71"/>
      <c r="Y30" s="71"/>
      <c r="Z30" s="71"/>
      <c r="AA30" s="71"/>
      <c r="AB30" s="71"/>
      <c r="AC30" s="71"/>
      <c r="AD30" s="71"/>
      <c r="AE30" s="71"/>
      <c r="AF30" s="71"/>
      <c r="AG30" s="71"/>
    </row>
    <row r="31" spans="1:34" s="70" customFormat="1" ht="16.5" customHeight="1" x14ac:dyDescent="0.45">
      <c r="C31" s="538" t="str">
        <f>+D21</f>
        <v>組み合わせ右側チーム</v>
      </c>
      <c r="D31" s="538"/>
      <c r="E31" s="538"/>
      <c r="F31" s="538"/>
      <c r="G31" s="538"/>
      <c r="H31" s="538"/>
      <c r="I31" s="538"/>
      <c r="J31" s="538"/>
      <c r="K31" s="72"/>
      <c r="L31" s="72"/>
      <c r="M31" s="72"/>
      <c r="N31" s="72"/>
      <c r="O31" s="72"/>
      <c r="P31" s="72"/>
      <c r="Q31" s="71"/>
      <c r="R31" s="72"/>
      <c r="S31" s="72"/>
      <c r="T31" s="72"/>
      <c r="U31" s="72"/>
      <c r="V31" s="72"/>
      <c r="W31" s="72"/>
      <c r="X31" s="72"/>
      <c r="Y31" s="72"/>
      <c r="Z31" s="72"/>
      <c r="AA31" s="72"/>
      <c r="AB31" s="72"/>
      <c r="AC31" s="72"/>
      <c r="AD31" s="72"/>
      <c r="AE31" s="72"/>
      <c r="AF31" s="72"/>
      <c r="AG31" s="72"/>
      <c r="AH31" s="72"/>
    </row>
    <row r="32" spans="1:34" ht="16.5" customHeight="1" x14ac:dyDescent="0.45">
      <c r="B32" s="521" t="s">
        <v>1889</v>
      </c>
      <c r="C32" s="522"/>
      <c r="D32" s="69" t="s">
        <v>1890</v>
      </c>
      <c r="E32" s="69"/>
      <c r="F32" s="69"/>
    </row>
    <row r="33" spans="2:35" ht="9.9499999999999993" customHeight="1" x14ac:dyDescent="0.45"/>
    <row r="34" spans="2:35" ht="16.5" customHeight="1" x14ac:dyDescent="0.45">
      <c r="B34" s="521" t="s">
        <v>1891</v>
      </c>
      <c r="C34" s="522"/>
      <c r="D34" s="69" t="s">
        <v>1892</v>
      </c>
      <c r="E34" s="69"/>
      <c r="F34" s="69"/>
      <c r="G34" s="69"/>
    </row>
    <row r="35" spans="2:35" ht="9.9499999999999993" customHeight="1" x14ac:dyDescent="0.45"/>
    <row r="36" spans="2:35" ht="16.5" customHeight="1" x14ac:dyDescent="0.45">
      <c r="B36" s="521" t="s">
        <v>1893</v>
      </c>
      <c r="C36" s="522"/>
      <c r="D36" s="69" t="s">
        <v>1894</v>
      </c>
      <c r="E36" s="69"/>
    </row>
    <row r="37" spans="2:35" ht="22" customHeight="1" x14ac:dyDescent="0.45">
      <c r="B37" s="82" t="s">
        <v>1570</v>
      </c>
      <c r="C37" s="524" t="s">
        <v>5834</v>
      </c>
      <c r="D37" s="524"/>
      <c r="E37" s="524"/>
      <c r="F37" s="524"/>
      <c r="G37" s="524"/>
      <c r="H37" s="524"/>
      <c r="I37" s="524"/>
      <c r="J37" s="524"/>
      <c r="K37" s="524"/>
      <c r="L37" s="524"/>
      <c r="M37" s="524"/>
      <c r="N37" s="524"/>
      <c r="O37" s="524"/>
      <c r="P37" s="524"/>
      <c r="Q37" s="524"/>
      <c r="R37" s="524"/>
      <c r="S37" s="524"/>
      <c r="T37" s="524"/>
      <c r="U37" s="524"/>
      <c r="V37" s="524"/>
      <c r="W37" s="524"/>
      <c r="X37" s="524"/>
      <c r="Y37" s="524"/>
      <c r="Z37" s="524"/>
      <c r="AA37" s="524"/>
      <c r="AB37" s="524"/>
      <c r="AC37" s="524"/>
      <c r="AD37" s="524"/>
      <c r="AE37" s="524"/>
      <c r="AF37" s="524"/>
      <c r="AG37" s="524"/>
      <c r="AH37" s="524"/>
      <c r="AI37" s="524"/>
    </row>
    <row r="38" spans="2:35" ht="22" customHeight="1" x14ac:dyDescent="0.45">
      <c r="B38" s="82"/>
      <c r="C38" s="524"/>
      <c r="D38" s="524"/>
      <c r="E38" s="524"/>
      <c r="F38" s="524"/>
      <c r="G38" s="524"/>
      <c r="H38" s="524"/>
      <c r="I38" s="524"/>
      <c r="J38" s="524"/>
      <c r="K38" s="524"/>
      <c r="L38" s="524"/>
      <c r="M38" s="524"/>
      <c r="N38" s="524"/>
      <c r="O38" s="524"/>
      <c r="P38" s="524"/>
      <c r="Q38" s="524"/>
      <c r="R38" s="524"/>
      <c r="S38" s="524"/>
      <c r="T38" s="524"/>
      <c r="U38" s="524"/>
      <c r="V38" s="524"/>
      <c r="W38" s="524"/>
      <c r="X38" s="524"/>
      <c r="Y38" s="524"/>
      <c r="Z38" s="524"/>
      <c r="AA38" s="524"/>
      <c r="AB38" s="524"/>
      <c r="AC38" s="524"/>
      <c r="AD38" s="524"/>
      <c r="AE38" s="524"/>
      <c r="AF38" s="524"/>
      <c r="AG38" s="524"/>
      <c r="AH38" s="524"/>
      <c r="AI38" s="524"/>
    </row>
    <row r="39" spans="2:35" ht="22" customHeight="1" x14ac:dyDescent="0.45">
      <c r="C39" s="524"/>
      <c r="D39" s="524"/>
      <c r="E39" s="524"/>
      <c r="F39" s="524"/>
      <c r="G39" s="524"/>
      <c r="H39" s="524"/>
      <c r="I39" s="524"/>
      <c r="J39" s="524"/>
      <c r="K39" s="524"/>
      <c r="L39" s="524"/>
      <c r="M39" s="524"/>
      <c r="N39" s="524"/>
      <c r="O39" s="524"/>
      <c r="P39" s="524"/>
      <c r="Q39" s="524"/>
      <c r="R39" s="524"/>
      <c r="S39" s="524"/>
      <c r="T39" s="524"/>
      <c r="U39" s="524"/>
      <c r="V39" s="524"/>
      <c r="W39" s="524"/>
      <c r="X39" s="524"/>
      <c r="Y39" s="524"/>
      <c r="Z39" s="524"/>
      <c r="AA39" s="524"/>
      <c r="AB39" s="524"/>
      <c r="AC39" s="524"/>
      <c r="AD39" s="524"/>
      <c r="AE39" s="524"/>
      <c r="AF39" s="524"/>
      <c r="AG39" s="524"/>
      <c r="AH39" s="524"/>
      <c r="AI39" s="524"/>
    </row>
    <row r="40" spans="2:35" ht="22" customHeight="1" x14ac:dyDescent="0.45">
      <c r="B40" s="82" t="s">
        <v>1570</v>
      </c>
      <c r="C40" s="525" t="s">
        <v>8523</v>
      </c>
      <c r="D40" s="525"/>
      <c r="E40" s="525"/>
      <c r="F40" s="525"/>
      <c r="G40" s="525"/>
      <c r="H40" s="525"/>
      <c r="I40" s="525"/>
      <c r="J40" s="525"/>
      <c r="K40" s="525"/>
      <c r="L40" s="525"/>
      <c r="M40" s="525"/>
      <c r="N40" s="525"/>
      <c r="O40" s="525"/>
      <c r="P40" s="525"/>
      <c r="Q40" s="525"/>
      <c r="R40" s="525"/>
      <c r="S40" s="525"/>
      <c r="T40" s="525"/>
      <c r="U40" s="525"/>
      <c r="V40" s="525"/>
      <c r="W40" s="525"/>
      <c r="X40" s="525"/>
      <c r="Y40" s="525"/>
      <c r="Z40" s="525"/>
      <c r="AA40" s="525"/>
      <c r="AB40" s="525"/>
      <c r="AC40" s="525"/>
      <c r="AD40" s="525"/>
      <c r="AE40" s="525"/>
      <c r="AF40" s="525"/>
      <c r="AG40" s="525"/>
      <c r="AH40" s="525"/>
      <c r="AI40" s="525"/>
    </row>
    <row r="41" spans="2:35" ht="22" customHeight="1" x14ac:dyDescent="0.45">
      <c r="C41" s="525"/>
      <c r="D41" s="525"/>
      <c r="E41" s="525"/>
      <c r="F41" s="525"/>
      <c r="G41" s="525"/>
      <c r="H41" s="525"/>
      <c r="I41" s="525"/>
      <c r="J41" s="525"/>
      <c r="K41" s="525"/>
      <c r="L41" s="525"/>
      <c r="M41" s="525"/>
      <c r="N41" s="525"/>
      <c r="O41" s="525"/>
      <c r="P41" s="525"/>
      <c r="Q41" s="525"/>
      <c r="R41" s="525"/>
      <c r="S41" s="525"/>
      <c r="T41" s="525"/>
      <c r="U41" s="525"/>
      <c r="V41" s="525"/>
      <c r="W41" s="525"/>
      <c r="X41" s="525"/>
      <c r="Y41" s="525"/>
      <c r="Z41" s="525"/>
      <c r="AA41" s="525"/>
      <c r="AB41" s="525"/>
      <c r="AC41" s="525"/>
      <c r="AD41" s="525"/>
      <c r="AE41" s="525"/>
      <c r="AF41" s="525"/>
      <c r="AG41" s="525"/>
      <c r="AH41" s="525"/>
      <c r="AI41" s="525"/>
    </row>
    <row r="42" spans="2:35" ht="22" customHeight="1" x14ac:dyDescent="0.45">
      <c r="C42" s="525"/>
      <c r="D42" s="525"/>
      <c r="E42" s="525"/>
      <c r="F42" s="525"/>
      <c r="G42" s="525"/>
      <c r="H42" s="525"/>
      <c r="I42" s="525"/>
      <c r="J42" s="525"/>
      <c r="K42" s="525"/>
      <c r="L42" s="525"/>
      <c r="M42" s="525"/>
      <c r="N42" s="525"/>
      <c r="O42" s="525"/>
      <c r="P42" s="525"/>
      <c r="Q42" s="525"/>
      <c r="R42" s="525"/>
      <c r="S42" s="525"/>
      <c r="T42" s="525"/>
      <c r="U42" s="525"/>
      <c r="V42" s="525"/>
      <c r="W42" s="525"/>
      <c r="X42" s="525"/>
      <c r="Y42" s="525"/>
      <c r="Z42" s="525"/>
      <c r="AA42" s="525"/>
      <c r="AB42" s="525"/>
      <c r="AC42" s="525"/>
      <c r="AD42" s="525"/>
      <c r="AE42" s="525"/>
      <c r="AF42" s="525"/>
      <c r="AG42" s="525"/>
      <c r="AH42" s="525"/>
      <c r="AI42" s="525"/>
    </row>
    <row r="43" spans="2:35" ht="16.5" customHeight="1" x14ac:dyDescent="0.45">
      <c r="B43" s="67" t="s">
        <v>1570</v>
      </c>
      <c r="C43" s="520" t="s">
        <v>1895</v>
      </c>
      <c r="D43" s="520"/>
      <c r="E43" s="520"/>
      <c r="F43" s="520"/>
      <c r="G43" s="520"/>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row>
    <row r="44" spans="2:35" ht="16.5" customHeight="1" x14ac:dyDescent="0.45">
      <c r="B44" s="67" t="s">
        <v>1570</v>
      </c>
      <c r="C44" s="73" t="s">
        <v>1896</v>
      </c>
      <c r="E44" s="73"/>
      <c r="F44" s="73"/>
      <c r="G44" s="73"/>
      <c r="H44" s="73"/>
      <c r="I44" s="73"/>
      <c r="J44" s="73"/>
      <c r="K44" s="73"/>
      <c r="L44" s="73"/>
      <c r="M44" s="73"/>
      <c r="N44" s="73"/>
      <c r="O44" s="73" t="s">
        <v>1897</v>
      </c>
      <c r="P44" s="73"/>
      <c r="Q44" s="73"/>
      <c r="R44" s="73"/>
      <c r="S44" s="73"/>
      <c r="T44" s="73"/>
      <c r="U44" s="73"/>
      <c r="V44" s="73"/>
      <c r="W44" s="73"/>
      <c r="X44" s="73"/>
      <c r="Y44" s="73"/>
      <c r="Z44" s="73"/>
    </row>
    <row r="45" spans="2:35" ht="16.5" customHeight="1" x14ac:dyDescent="0.45">
      <c r="B45" s="521" t="s">
        <v>1898</v>
      </c>
      <c r="C45" s="522"/>
      <c r="D45" s="69" t="s">
        <v>1899</v>
      </c>
      <c r="E45" s="69"/>
      <c r="F45" s="69"/>
    </row>
    <row r="46" spans="2:35" ht="23.25" customHeight="1" x14ac:dyDescent="0.45">
      <c r="B46" s="527" t="s">
        <v>1900</v>
      </c>
      <c r="C46" s="528"/>
      <c r="D46" s="528"/>
      <c r="E46" s="528"/>
      <c r="F46" s="528"/>
      <c r="G46" s="528"/>
      <c r="H46" s="528"/>
      <c r="I46" s="528"/>
      <c r="J46" s="528"/>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8"/>
    </row>
    <row r="47" spans="2:35" ht="23.25" customHeight="1" x14ac:dyDescent="0.45">
      <c r="B47" s="528"/>
      <c r="C47" s="528"/>
      <c r="D47" s="528"/>
      <c r="E47" s="528"/>
      <c r="F47" s="528"/>
      <c r="G47" s="528"/>
      <c r="H47" s="528"/>
      <c r="I47" s="528"/>
      <c r="J47" s="528"/>
      <c r="K47" s="528"/>
      <c r="L47" s="528"/>
      <c r="M47" s="528"/>
      <c r="N47" s="528"/>
      <c r="O47" s="528"/>
      <c r="P47" s="528"/>
      <c r="Q47" s="528"/>
      <c r="R47" s="528"/>
      <c r="S47" s="528"/>
      <c r="T47" s="528"/>
      <c r="U47" s="528"/>
      <c r="V47" s="528"/>
      <c r="W47" s="528"/>
      <c r="X47" s="528"/>
      <c r="Y47" s="528"/>
      <c r="Z47" s="528"/>
      <c r="AA47" s="528"/>
      <c r="AB47" s="528"/>
      <c r="AC47" s="528"/>
      <c r="AD47" s="528"/>
      <c r="AE47" s="528"/>
      <c r="AF47" s="528"/>
      <c r="AG47" s="528"/>
    </row>
    <row r="48" spans="2:35" ht="23.25" customHeight="1" x14ac:dyDescent="0.45">
      <c r="B48" s="528"/>
      <c r="C48" s="528"/>
      <c r="D48" s="528"/>
      <c r="E48" s="528"/>
      <c r="F48" s="528"/>
      <c r="G48" s="528"/>
      <c r="H48" s="528"/>
      <c r="I48" s="528"/>
      <c r="J48" s="528"/>
      <c r="K48" s="528"/>
      <c r="L48" s="528"/>
      <c r="M48" s="528"/>
      <c r="N48" s="528"/>
      <c r="O48" s="528"/>
      <c r="P48" s="528"/>
      <c r="Q48" s="528"/>
      <c r="R48" s="528"/>
      <c r="S48" s="528"/>
      <c r="T48" s="528"/>
      <c r="U48" s="528"/>
      <c r="V48" s="528"/>
      <c r="W48" s="528"/>
      <c r="X48" s="528"/>
      <c r="Y48" s="528"/>
      <c r="Z48" s="528"/>
      <c r="AA48" s="528"/>
      <c r="AB48" s="528"/>
      <c r="AC48" s="528"/>
      <c r="AD48" s="528"/>
      <c r="AE48" s="528"/>
      <c r="AF48" s="528"/>
      <c r="AG48" s="528"/>
    </row>
    <row r="49" spans="2:34" ht="16.5" customHeight="1" x14ac:dyDescent="0.45">
      <c r="B49" s="521" t="s">
        <v>1901</v>
      </c>
      <c r="C49" s="522"/>
      <c r="D49" s="69" t="s">
        <v>1902</v>
      </c>
      <c r="E49" s="69"/>
      <c r="O49" s="74"/>
      <c r="P49" s="74"/>
      <c r="Q49" s="74"/>
      <c r="R49" s="74"/>
      <c r="S49" s="74"/>
      <c r="T49" s="74"/>
      <c r="U49" s="74"/>
      <c r="V49" s="74"/>
      <c r="W49" s="74"/>
      <c r="X49" s="74"/>
      <c r="Y49" s="74"/>
      <c r="Z49" s="74"/>
      <c r="AA49" s="74"/>
      <c r="AB49" s="74"/>
      <c r="AC49" s="74"/>
      <c r="AD49" s="74"/>
      <c r="AE49" s="74"/>
      <c r="AF49" s="74"/>
      <c r="AG49" s="74"/>
      <c r="AH49" s="74"/>
    </row>
    <row r="50" spans="2:34" ht="18" customHeight="1" x14ac:dyDescent="0.45">
      <c r="B50" s="529" t="s">
        <v>1903</v>
      </c>
      <c r="C50" s="529"/>
      <c r="D50" s="529"/>
      <c r="E50" s="529"/>
      <c r="F50" s="529"/>
      <c r="G50" s="529"/>
      <c r="H50" s="529"/>
      <c r="I50" s="529"/>
      <c r="J50" s="529"/>
      <c r="K50" s="529"/>
      <c r="L50" s="529"/>
      <c r="M50" s="529"/>
      <c r="N50" s="529"/>
      <c r="O50" s="529"/>
      <c r="P50" s="529"/>
      <c r="Q50" s="529"/>
      <c r="R50" s="529"/>
      <c r="S50" s="529"/>
      <c r="T50" s="529"/>
      <c r="U50" s="529"/>
      <c r="V50" s="529"/>
      <c r="W50" s="529"/>
      <c r="X50" s="529"/>
      <c r="Y50" s="529"/>
      <c r="Z50" s="529"/>
      <c r="AA50" s="529"/>
      <c r="AB50" s="529"/>
      <c r="AC50" s="529"/>
      <c r="AD50" s="529"/>
      <c r="AE50" s="529"/>
      <c r="AF50" s="529"/>
      <c r="AG50" s="529"/>
    </row>
    <row r="51" spans="2:34" ht="18" customHeight="1" x14ac:dyDescent="0.45">
      <c r="B51" s="529"/>
      <c r="C51" s="529"/>
      <c r="D51" s="529"/>
      <c r="E51" s="529"/>
      <c r="F51" s="529"/>
      <c r="G51" s="529"/>
      <c r="H51" s="529"/>
      <c r="I51" s="529"/>
      <c r="J51" s="529"/>
      <c r="K51" s="529"/>
      <c r="L51" s="529"/>
      <c r="M51" s="529"/>
      <c r="N51" s="529"/>
      <c r="O51" s="529"/>
      <c r="P51" s="529"/>
      <c r="Q51" s="529"/>
      <c r="R51" s="529"/>
      <c r="S51" s="529"/>
      <c r="T51" s="529"/>
      <c r="U51" s="529"/>
      <c r="V51" s="529"/>
      <c r="W51" s="529"/>
      <c r="X51" s="529"/>
      <c r="Y51" s="529"/>
      <c r="Z51" s="529"/>
      <c r="AA51" s="529"/>
      <c r="AB51" s="529"/>
      <c r="AC51" s="529"/>
      <c r="AD51" s="529"/>
      <c r="AE51" s="529"/>
      <c r="AF51" s="529"/>
      <c r="AG51" s="529"/>
    </row>
    <row r="52" spans="2:34" ht="18" customHeight="1" x14ac:dyDescent="0.45">
      <c r="B52" s="529"/>
      <c r="C52" s="529"/>
      <c r="D52" s="529"/>
      <c r="E52" s="529"/>
      <c r="F52" s="529"/>
      <c r="G52" s="529"/>
      <c r="H52" s="529"/>
      <c r="I52" s="529"/>
      <c r="J52" s="529"/>
      <c r="K52" s="529"/>
      <c r="L52" s="529"/>
      <c r="M52" s="529"/>
      <c r="N52" s="529"/>
      <c r="O52" s="529"/>
      <c r="P52" s="529"/>
      <c r="Q52" s="529"/>
      <c r="R52" s="529"/>
      <c r="S52" s="529"/>
      <c r="T52" s="529"/>
      <c r="U52" s="529"/>
      <c r="V52" s="529"/>
      <c r="W52" s="529"/>
      <c r="X52" s="529"/>
      <c r="Y52" s="529"/>
      <c r="Z52" s="529"/>
      <c r="AA52" s="529"/>
      <c r="AB52" s="529"/>
      <c r="AC52" s="529"/>
      <c r="AD52" s="529"/>
      <c r="AE52" s="529"/>
      <c r="AF52" s="529"/>
      <c r="AG52" s="529"/>
    </row>
    <row r="53" spans="2:34" ht="18" customHeight="1" x14ac:dyDescent="0.45">
      <c r="B53" s="529"/>
      <c r="C53" s="529"/>
      <c r="D53" s="529"/>
      <c r="E53" s="529"/>
      <c r="F53" s="529"/>
      <c r="G53" s="529"/>
      <c r="H53" s="529"/>
      <c r="I53" s="529"/>
      <c r="J53" s="529"/>
      <c r="K53" s="529"/>
      <c r="L53" s="529"/>
      <c r="M53" s="529"/>
      <c r="N53" s="529"/>
      <c r="O53" s="529"/>
      <c r="P53" s="529"/>
      <c r="Q53" s="529"/>
      <c r="R53" s="529"/>
      <c r="S53" s="529"/>
      <c r="T53" s="529"/>
      <c r="U53" s="529"/>
      <c r="V53" s="529"/>
      <c r="W53" s="529"/>
      <c r="X53" s="529"/>
      <c r="Y53" s="529"/>
      <c r="Z53" s="529"/>
      <c r="AA53" s="529"/>
      <c r="AB53" s="529"/>
      <c r="AC53" s="529"/>
      <c r="AD53" s="529"/>
      <c r="AE53" s="529"/>
      <c r="AF53" s="529"/>
      <c r="AG53" s="529"/>
    </row>
    <row r="54" spans="2:34" ht="18" customHeight="1" x14ac:dyDescent="0.45">
      <c r="B54" s="529"/>
      <c r="C54" s="529"/>
      <c r="D54" s="529"/>
      <c r="E54" s="529"/>
      <c r="F54" s="529"/>
      <c r="G54" s="529"/>
      <c r="H54" s="529"/>
      <c r="I54" s="529"/>
      <c r="J54" s="529"/>
      <c r="K54" s="529"/>
      <c r="L54" s="529"/>
      <c r="M54" s="529"/>
      <c r="N54" s="529"/>
      <c r="O54" s="529"/>
      <c r="P54" s="529"/>
      <c r="Q54" s="529"/>
      <c r="R54" s="529"/>
      <c r="S54" s="529"/>
      <c r="T54" s="529"/>
      <c r="U54" s="529"/>
      <c r="V54" s="529"/>
      <c r="W54" s="529"/>
      <c r="X54" s="529"/>
      <c r="Y54" s="529"/>
      <c r="Z54" s="529"/>
      <c r="AA54" s="529"/>
      <c r="AB54" s="529"/>
      <c r="AC54" s="529"/>
      <c r="AD54" s="529"/>
      <c r="AE54" s="529"/>
      <c r="AF54" s="529"/>
      <c r="AG54" s="529"/>
    </row>
    <row r="55" spans="2:34" ht="16.5" customHeight="1" x14ac:dyDescent="0.45">
      <c r="B55" s="521" t="s">
        <v>1904</v>
      </c>
      <c r="C55" s="522"/>
      <c r="D55" s="69" t="s">
        <v>1905</v>
      </c>
      <c r="E55" s="69"/>
    </row>
    <row r="56" spans="2:34" ht="23.25" customHeight="1" x14ac:dyDescent="0.45">
      <c r="C56" s="527" t="s">
        <v>1906</v>
      </c>
      <c r="D56" s="527"/>
      <c r="E56" s="527"/>
      <c r="F56" s="527"/>
      <c r="G56" s="527"/>
      <c r="H56" s="527"/>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row>
    <row r="57" spans="2:34" ht="23.25" customHeight="1" x14ac:dyDescent="0.45">
      <c r="C57" s="527"/>
      <c r="D57" s="527"/>
      <c r="E57" s="527"/>
      <c r="F57" s="527"/>
      <c r="G57" s="527"/>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527"/>
    </row>
    <row r="58" spans="2:34" ht="16.5" customHeight="1" x14ac:dyDescent="0.45">
      <c r="B58" s="521" t="s">
        <v>1907</v>
      </c>
      <c r="C58" s="522"/>
      <c r="D58" s="69" t="s">
        <v>1908</v>
      </c>
      <c r="E58" s="69"/>
      <c r="F58" s="69"/>
      <c r="G58" s="69"/>
    </row>
    <row r="59" spans="2:34" ht="16.5" customHeight="1" x14ac:dyDescent="0.45">
      <c r="B59" s="67" t="s">
        <v>1909</v>
      </c>
    </row>
    <row r="60" spans="2:34" ht="16.5" customHeight="1" x14ac:dyDescent="0.45">
      <c r="B60" s="67" t="s">
        <v>1570</v>
      </c>
      <c r="C60" s="67" t="s">
        <v>1910</v>
      </c>
      <c r="F60" s="73" t="s">
        <v>2041</v>
      </c>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2:34" ht="16.5" customHeight="1" x14ac:dyDescent="0.45">
      <c r="B61" s="67" t="s">
        <v>1570</v>
      </c>
      <c r="C61" s="67" t="s">
        <v>1911</v>
      </c>
      <c r="F61" s="526" t="s">
        <v>1956</v>
      </c>
      <c r="G61" s="526"/>
      <c r="H61" s="526"/>
      <c r="I61" s="526"/>
      <c r="J61" s="526"/>
      <c r="K61" s="526"/>
      <c r="L61" s="526"/>
      <c r="M61" s="526"/>
      <c r="N61" s="526"/>
      <c r="O61" s="526"/>
      <c r="P61" s="526"/>
      <c r="Q61" s="526"/>
      <c r="R61" s="526"/>
      <c r="S61" s="526"/>
      <c r="T61" s="526"/>
      <c r="U61" s="526"/>
      <c r="V61" s="526"/>
      <c r="W61" s="526"/>
      <c r="X61" s="526"/>
      <c r="Y61" s="526"/>
      <c r="Z61" s="526"/>
      <c r="AA61" s="526"/>
      <c r="AB61" s="526"/>
      <c r="AC61" s="526"/>
      <c r="AD61" s="526"/>
      <c r="AE61" s="526"/>
      <c r="AF61" s="526"/>
      <c r="AG61" s="526"/>
      <c r="AH61" s="75"/>
    </row>
    <row r="62" spans="2:34" ht="16.5" customHeight="1" x14ac:dyDescent="0.45">
      <c r="F62" s="526" t="s">
        <v>1955</v>
      </c>
      <c r="G62" s="526"/>
      <c r="H62" s="526"/>
      <c r="I62" s="526"/>
      <c r="J62" s="526"/>
      <c r="K62" s="526"/>
      <c r="L62" s="526"/>
      <c r="M62" s="526"/>
      <c r="N62" s="526"/>
      <c r="O62" s="526"/>
      <c r="P62" s="526"/>
      <c r="Q62" s="526"/>
      <c r="R62" s="526"/>
      <c r="S62" s="526"/>
      <c r="T62" s="526"/>
      <c r="U62" s="526"/>
      <c r="V62" s="526"/>
      <c r="W62" s="526"/>
      <c r="X62" s="526"/>
      <c r="Y62" s="526"/>
      <c r="Z62" s="526"/>
      <c r="AA62" s="526"/>
      <c r="AB62" s="526"/>
      <c r="AC62" s="526"/>
      <c r="AD62" s="526"/>
      <c r="AE62" s="526"/>
      <c r="AF62" s="526"/>
      <c r="AG62" s="526"/>
      <c r="AH62" s="75"/>
    </row>
    <row r="63" spans="2:34" ht="16.5" customHeight="1" x14ac:dyDescent="0.45">
      <c r="B63" s="67" t="s">
        <v>1570</v>
      </c>
      <c r="C63" s="67" t="s">
        <v>1912</v>
      </c>
      <c r="J63" s="519" t="s">
        <v>1913</v>
      </c>
      <c r="K63" s="519"/>
      <c r="L63" s="519"/>
      <c r="M63" s="519"/>
      <c r="N63" s="519"/>
      <c r="O63" s="519"/>
    </row>
    <row r="64" spans="2:34" ht="16.5" customHeight="1" x14ac:dyDescent="0.45">
      <c r="B64" s="67" t="s">
        <v>1914</v>
      </c>
    </row>
    <row r="65" spans="2:36" ht="16.5" customHeight="1" x14ac:dyDescent="0.45">
      <c r="B65" s="67" t="s">
        <v>1915</v>
      </c>
      <c r="C65" s="67" t="s">
        <v>1910</v>
      </c>
      <c r="F65" s="67" t="s">
        <v>1916</v>
      </c>
    </row>
    <row r="66" spans="2:36" ht="16.5" customHeight="1" x14ac:dyDescent="0.45">
      <c r="B66" s="67" t="s">
        <v>1915</v>
      </c>
      <c r="C66" s="67" t="s">
        <v>1917</v>
      </c>
      <c r="J66" s="519" t="s">
        <v>1918</v>
      </c>
      <c r="K66" s="519"/>
      <c r="L66" s="519"/>
      <c r="M66" s="519"/>
      <c r="N66" s="519"/>
      <c r="O66" s="519"/>
    </row>
    <row r="67" spans="2:36" ht="16.5" customHeight="1" x14ac:dyDescent="0.45">
      <c r="B67" s="67" t="s">
        <v>1919</v>
      </c>
      <c r="C67" s="67" t="s">
        <v>1920</v>
      </c>
      <c r="F67" s="520" t="s">
        <v>1921</v>
      </c>
      <c r="G67" s="520"/>
      <c r="H67" s="520"/>
      <c r="I67" s="520"/>
      <c r="J67" s="520"/>
      <c r="K67" s="520"/>
      <c r="L67" s="520"/>
      <c r="M67" s="520"/>
      <c r="N67" s="520"/>
      <c r="O67" s="520"/>
      <c r="P67" s="520"/>
      <c r="Q67" s="520"/>
      <c r="R67" s="520"/>
      <c r="S67" s="520"/>
      <c r="T67" s="520"/>
      <c r="U67" s="520"/>
      <c r="V67" s="520"/>
      <c r="W67" s="520"/>
      <c r="X67" s="520"/>
      <c r="Y67" s="520"/>
      <c r="Z67" s="520"/>
      <c r="AA67" s="520"/>
      <c r="AB67" s="520"/>
      <c r="AC67" s="520"/>
      <c r="AD67" s="520"/>
      <c r="AE67" s="520"/>
      <c r="AF67" s="520"/>
      <c r="AG67" s="520"/>
    </row>
    <row r="68" spans="2:36" ht="16.5" customHeight="1" x14ac:dyDescent="0.45">
      <c r="F68" s="520"/>
      <c r="G68" s="520"/>
      <c r="H68" s="520"/>
      <c r="I68" s="520"/>
      <c r="J68" s="520"/>
      <c r="K68" s="520"/>
      <c r="L68" s="520"/>
      <c r="M68" s="520"/>
      <c r="N68" s="520"/>
      <c r="O68" s="520"/>
      <c r="P68" s="520"/>
      <c r="Q68" s="520"/>
      <c r="R68" s="520"/>
      <c r="S68" s="520"/>
      <c r="T68" s="520"/>
      <c r="U68" s="520"/>
      <c r="V68" s="520"/>
      <c r="W68" s="520"/>
      <c r="X68" s="520"/>
      <c r="Y68" s="520"/>
      <c r="Z68" s="520"/>
      <c r="AA68" s="520"/>
      <c r="AB68" s="520"/>
      <c r="AC68" s="520"/>
      <c r="AD68" s="520"/>
      <c r="AE68" s="520"/>
      <c r="AF68" s="520"/>
      <c r="AG68" s="520"/>
    </row>
    <row r="69" spans="2:36" ht="16.5" customHeight="1" x14ac:dyDescent="0.45">
      <c r="B69" s="521" t="s">
        <v>1922</v>
      </c>
      <c r="C69" s="522"/>
      <c r="D69" s="69" t="s">
        <v>1923</v>
      </c>
      <c r="E69" s="69"/>
    </row>
    <row r="70" spans="2:36" s="407" customFormat="1" ht="16.5" customHeight="1" x14ac:dyDescent="0.45">
      <c r="C70" s="408" t="s">
        <v>1858</v>
      </c>
      <c r="D70" s="523" t="s">
        <v>3990</v>
      </c>
      <c r="E70" s="523"/>
      <c r="F70" s="523"/>
      <c r="G70" s="523"/>
      <c r="H70" s="523"/>
      <c r="I70" s="523"/>
      <c r="J70" s="523"/>
      <c r="K70" s="523"/>
      <c r="L70" s="523"/>
      <c r="M70" s="523"/>
      <c r="N70" s="523"/>
      <c r="O70" s="523"/>
      <c r="P70" s="523"/>
      <c r="Q70" s="523"/>
      <c r="R70" s="523"/>
      <c r="S70" s="523"/>
      <c r="T70" s="523"/>
      <c r="U70" s="523"/>
      <c r="V70" s="523"/>
      <c r="W70" s="523"/>
      <c r="X70" s="523"/>
      <c r="Y70" s="523"/>
      <c r="Z70" s="523"/>
      <c r="AA70" s="523"/>
      <c r="AB70" s="523"/>
      <c r="AC70" s="523"/>
      <c r="AD70" s="523"/>
      <c r="AE70" s="523"/>
      <c r="AF70" s="523"/>
      <c r="AG70" s="523"/>
      <c r="AH70" s="523"/>
      <c r="AI70" s="523"/>
      <c r="AJ70" s="523"/>
    </row>
    <row r="71" spans="2:36" s="407" customFormat="1" ht="16.5" customHeight="1" x14ac:dyDescent="0.45">
      <c r="C71" s="408"/>
      <c r="D71" s="523"/>
      <c r="E71" s="523"/>
      <c r="F71" s="523"/>
      <c r="G71" s="523"/>
      <c r="H71" s="523"/>
      <c r="I71" s="523"/>
      <c r="J71" s="523"/>
      <c r="K71" s="523"/>
      <c r="L71" s="523"/>
      <c r="M71" s="523"/>
      <c r="N71" s="523"/>
      <c r="O71" s="523"/>
      <c r="P71" s="523"/>
      <c r="Q71" s="523"/>
      <c r="R71" s="523"/>
      <c r="S71" s="523"/>
      <c r="T71" s="523"/>
      <c r="U71" s="523"/>
      <c r="V71" s="523"/>
      <c r="W71" s="523"/>
      <c r="X71" s="523"/>
      <c r="Y71" s="523"/>
      <c r="Z71" s="523"/>
      <c r="AA71" s="523"/>
      <c r="AB71" s="523"/>
      <c r="AC71" s="523"/>
      <c r="AD71" s="523"/>
      <c r="AE71" s="523"/>
      <c r="AF71" s="523"/>
      <c r="AG71" s="523"/>
      <c r="AH71" s="523"/>
      <c r="AI71" s="523"/>
      <c r="AJ71" s="523"/>
    </row>
    <row r="72" spans="2:36" s="407" customFormat="1" ht="16.5" customHeight="1" x14ac:dyDescent="0.45">
      <c r="C72" s="408" t="s">
        <v>1858</v>
      </c>
      <c r="D72" s="523" t="s">
        <v>3991</v>
      </c>
      <c r="E72" s="523"/>
      <c r="F72" s="523"/>
      <c r="G72" s="523"/>
      <c r="H72" s="523"/>
      <c r="I72" s="523"/>
      <c r="J72" s="523"/>
      <c r="K72" s="523"/>
      <c r="L72" s="523"/>
      <c r="M72" s="523"/>
      <c r="N72" s="523"/>
      <c r="O72" s="523"/>
      <c r="P72" s="523"/>
      <c r="Q72" s="523"/>
      <c r="R72" s="523"/>
      <c r="S72" s="523"/>
      <c r="T72" s="523"/>
      <c r="U72" s="523"/>
      <c r="V72" s="523"/>
      <c r="W72" s="523"/>
      <c r="X72" s="523"/>
      <c r="Y72" s="523"/>
      <c r="Z72" s="523"/>
      <c r="AA72" s="523"/>
      <c r="AB72" s="523"/>
      <c r="AC72" s="523"/>
      <c r="AD72" s="523"/>
      <c r="AE72" s="523"/>
      <c r="AF72" s="523"/>
      <c r="AG72" s="523"/>
      <c r="AH72" s="523"/>
      <c r="AI72" s="523"/>
      <c r="AJ72" s="523"/>
    </row>
    <row r="73" spans="2:36" s="407" customFormat="1" ht="16.5" customHeight="1" x14ac:dyDescent="0.45">
      <c r="C73" s="408"/>
      <c r="D73" s="523"/>
      <c r="E73" s="523"/>
      <c r="F73" s="523"/>
      <c r="G73" s="523"/>
      <c r="H73" s="523"/>
      <c r="I73" s="523"/>
      <c r="J73" s="523"/>
      <c r="K73" s="523"/>
      <c r="L73" s="523"/>
      <c r="M73" s="523"/>
      <c r="N73" s="523"/>
      <c r="O73" s="523"/>
      <c r="P73" s="523"/>
      <c r="Q73" s="523"/>
      <c r="R73" s="523"/>
      <c r="S73" s="523"/>
      <c r="T73" s="523"/>
      <c r="U73" s="523"/>
      <c r="V73" s="523"/>
      <c r="W73" s="523"/>
      <c r="X73" s="523"/>
      <c r="Y73" s="523"/>
      <c r="Z73" s="523"/>
      <c r="AA73" s="523"/>
      <c r="AB73" s="523"/>
      <c r="AC73" s="523"/>
      <c r="AD73" s="523"/>
      <c r="AE73" s="523"/>
      <c r="AF73" s="523"/>
      <c r="AG73" s="523"/>
      <c r="AH73" s="523"/>
      <c r="AI73" s="523"/>
      <c r="AJ73" s="523"/>
    </row>
    <row r="74" spans="2:36" s="407" customFormat="1" ht="16.5" customHeight="1" x14ac:dyDescent="0.45">
      <c r="C74" s="409"/>
      <c r="D74" s="523"/>
      <c r="E74" s="523"/>
      <c r="F74" s="523"/>
      <c r="G74" s="523"/>
      <c r="H74" s="523"/>
      <c r="I74" s="523"/>
      <c r="J74" s="523"/>
      <c r="K74" s="523"/>
      <c r="L74" s="523"/>
      <c r="M74" s="523"/>
      <c r="N74" s="523"/>
      <c r="O74" s="523"/>
      <c r="P74" s="523"/>
      <c r="Q74" s="523"/>
      <c r="R74" s="523"/>
      <c r="S74" s="523"/>
      <c r="T74" s="523"/>
      <c r="U74" s="523"/>
      <c r="V74" s="523"/>
      <c r="W74" s="523"/>
      <c r="X74" s="523"/>
      <c r="Y74" s="523"/>
      <c r="Z74" s="523"/>
      <c r="AA74" s="523"/>
      <c r="AB74" s="523"/>
      <c r="AC74" s="523"/>
      <c r="AD74" s="523"/>
      <c r="AE74" s="523"/>
      <c r="AF74" s="523"/>
      <c r="AG74" s="523"/>
      <c r="AH74" s="523"/>
      <c r="AI74" s="523"/>
      <c r="AJ74" s="523"/>
    </row>
    <row r="75" spans="2:36" ht="16.5" customHeight="1" x14ac:dyDescent="0.45">
      <c r="B75" s="521" t="s">
        <v>1924</v>
      </c>
      <c r="C75" s="522"/>
      <c r="D75" s="69" t="s">
        <v>1925</v>
      </c>
      <c r="E75" s="69"/>
    </row>
    <row r="76" spans="2:36" s="76" customFormat="1" ht="16.5" customHeight="1" x14ac:dyDescent="0.45">
      <c r="B76" s="77" t="s">
        <v>1919</v>
      </c>
      <c r="C76" s="517" t="s">
        <v>1926</v>
      </c>
      <c r="D76" s="517"/>
      <c r="E76" s="517"/>
      <c r="F76" s="517"/>
      <c r="G76" s="517"/>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row>
    <row r="77" spans="2:36" s="76" customFormat="1" ht="15" customHeight="1" x14ac:dyDescent="0.45">
      <c r="B77" s="78" t="s">
        <v>1919</v>
      </c>
      <c r="C77" s="518" t="s">
        <v>1927</v>
      </c>
      <c r="D77" s="518"/>
      <c r="E77" s="518"/>
      <c r="F77" s="518"/>
      <c r="G77" s="518"/>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row>
    <row r="78" spans="2:36" s="76" customFormat="1" ht="15" customHeight="1" x14ac:dyDescent="0.45">
      <c r="B78" s="78"/>
      <c r="C78" s="518"/>
      <c r="D78" s="518"/>
      <c r="E78" s="518"/>
      <c r="F78" s="518"/>
      <c r="G78" s="518"/>
      <c r="H78" s="518"/>
      <c r="I78" s="518"/>
      <c r="J78" s="518"/>
      <c r="K78" s="518"/>
      <c r="L78" s="518"/>
      <c r="M78" s="518"/>
      <c r="N78" s="518"/>
      <c r="O78" s="518"/>
      <c r="P78" s="518"/>
      <c r="Q78" s="518"/>
      <c r="R78" s="518"/>
      <c r="S78" s="518"/>
      <c r="T78" s="518"/>
      <c r="U78" s="518"/>
      <c r="V78" s="518"/>
      <c r="W78" s="518"/>
      <c r="X78" s="518"/>
      <c r="Y78" s="518"/>
      <c r="Z78" s="518"/>
      <c r="AA78" s="518"/>
      <c r="AB78" s="518"/>
      <c r="AC78" s="518"/>
      <c r="AD78" s="518"/>
      <c r="AE78" s="518"/>
      <c r="AF78" s="518"/>
      <c r="AG78" s="518"/>
    </row>
    <row r="79" spans="2:36" s="76" customFormat="1" ht="16.5" customHeight="1" x14ac:dyDescent="0.45">
      <c r="B79" s="78" t="s">
        <v>1919</v>
      </c>
      <c r="C79" s="517" t="s">
        <v>1928</v>
      </c>
      <c r="D79" s="517"/>
      <c r="E79" s="517"/>
      <c r="F79" s="517"/>
      <c r="G79" s="517"/>
      <c r="H79" s="517"/>
      <c r="I79" s="517"/>
      <c r="J79" s="517"/>
      <c r="K79" s="517"/>
      <c r="L79" s="517"/>
      <c r="M79" s="517"/>
      <c r="N79" s="517"/>
      <c r="O79" s="517"/>
      <c r="P79" s="517"/>
      <c r="Q79" s="517"/>
      <c r="R79" s="517"/>
      <c r="S79" s="517"/>
      <c r="T79" s="517"/>
      <c r="U79" s="517"/>
      <c r="V79" s="517"/>
      <c r="W79" s="517"/>
      <c r="X79" s="517"/>
      <c r="Y79" s="517"/>
      <c r="Z79" s="517"/>
      <c r="AA79" s="517"/>
      <c r="AB79" s="517"/>
      <c r="AC79" s="517"/>
      <c r="AD79" s="517"/>
      <c r="AE79" s="517"/>
      <c r="AF79" s="517"/>
      <c r="AG79" s="517"/>
    </row>
    <row r="80" spans="2:36" s="76" customFormat="1" ht="15" customHeight="1" x14ac:dyDescent="0.45">
      <c r="B80" s="78" t="s">
        <v>1919</v>
      </c>
      <c r="C80" s="518" t="s">
        <v>1929</v>
      </c>
      <c r="D80" s="518"/>
      <c r="E80" s="518"/>
      <c r="F80" s="518"/>
      <c r="G80" s="518"/>
      <c r="H80" s="518"/>
      <c r="I80" s="518"/>
      <c r="J80" s="518"/>
      <c r="K80" s="518"/>
      <c r="L80" s="518"/>
      <c r="M80" s="518"/>
      <c r="N80" s="518"/>
      <c r="O80" s="518"/>
      <c r="P80" s="518"/>
      <c r="Q80" s="518"/>
      <c r="R80" s="518"/>
      <c r="S80" s="518"/>
      <c r="T80" s="518"/>
      <c r="U80" s="518"/>
      <c r="V80" s="518"/>
      <c r="W80" s="518"/>
      <c r="X80" s="518"/>
      <c r="Y80" s="518"/>
      <c r="Z80" s="518"/>
      <c r="AA80" s="518"/>
      <c r="AB80" s="518"/>
      <c r="AC80" s="518"/>
      <c r="AD80" s="518"/>
      <c r="AE80" s="518"/>
      <c r="AF80" s="518"/>
      <c r="AG80" s="518"/>
    </row>
    <row r="81" spans="2:43" s="76" customFormat="1" ht="15" customHeight="1" x14ac:dyDescent="0.45">
      <c r="B81" s="78"/>
      <c r="C81" s="518"/>
      <c r="D81" s="518"/>
      <c r="E81" s="518"/>
      <c r="F81" s="518"/>
      <c r="G81" s="518"/>
      <c r="H81" s="518"/>
      <c r="I81" s="518"/>
      <c r="J81" s="518"/>
      <c r="K81" s="518"/>
      <c r="L81" s="518"/>
      <c r="M81" s="518"/>
      <c r="N81" s="518"/>
      <c r="O81" s="518"/>
      <c r="P81" s="518"/>
      <c r="Q81" s="518"/>
      <c r="R81" s="518"/>
      <c r="S81" s="518"/>
      <c r="T81" s="518"/>
      <c r="U81" s="518"/>
      <c r="V81" s="518"/>
      <c r="W81" s="518"/>
      <c r="X81" s="518"/>
      <c r="Y81" s="518"/>
      <c r="Z81" s="518"/>
      <c r="AA81" s="518"/>
      <c r="AB81" s="518"/>
      <c r="AC81" s="518"/>
      <c r="AD81" s="518"/>
      <c r="AE81" s="518"/>
      <c r="AF81" s="518"/>
      <c r="AG81" s="518"/>
    </row>
    <row r="82" spans="2:43" s="76" customFormat="1" ht="15" customHeight="1" x14ac:dyDescent="0.45">
      <c r="B82" s="78" t="s">
        <v>1919</v>
      </c>
      <c r="C82" s="517" t="s">
        <v>1930</v>
      </c>
      <c r="D82" s="517"/>
      <c r="E82" s="517"/>
      <c r="F82" s="517"/>
      <c r="G82" s="517"/>
      <c r="H82" s="517"/>
      <c r="I82" s="517"/>
      <c r="J82" s="517"/>
      <c r="K82" s="517"/>
      <c r="L82" s="517"/>
      <c r="M82" s="517"/>
      <c r="N82" s="517"/>
      <c r="O82" s="517"/>
      <c r="P82" s="517"/>
      <c r="Q82" s="517"/>
      <c r="R82" s="517"/>
      <c r="S82" s="517"/>
      <c r="T82" s="517"/>
      <c r="U82" s="517"/>
      <c r="V82" s="517"/>
      <c r="W82" s="517"/>
      <c r="X82" s="517"/>
      <c r="Y82" s="517"/>
      <c r="Z82" s="517"/>
      <c r="AA82" s="517"/>
      <c r="AB82" s="517"/>
      <c r="AC82" s="517"/>
      <c r="AD82" s="517"/>
      <c r="AE82" s="517"/>
      <c r="AF82" s="517"/>
      <c r="AG82" s="517"/>
    </row>
    <row r="83" spans="2:43" s="76" customFormat="1" ht="15" customHeight="1" x14ac:dyDescent="0.45">
      <c r="B83" s="78"/>
      <c r="C83" s="517"/>
      <c r="D83" s="517"/>
      <c r="E83" s="517"/>
      <c r="F83" s="517"/>
      <c r="G83" s="517"/>
      <c r="H83" s="517"/>
      <c r="I83" s="517"/>
      <c r="J83" s="517"/>
      <c r="K83" s="517"/>
      <c r="L83" s="517"/>
      <c r="M83" s="517"/>
      <c r="N83" s="517"/>
      <c r="O83" s="517"/>
      <c r="P83" s="517"/>
      <c r="Q83" s="517"/>
      <c r="R83" s="517"/>
      <c r="S83" s="517"/>
      <c r="T83" s="517"/>
      <c r="U83" s="517"/>
      <c r="V83" s="517"/>
      <c r="W83" s="517"/>
      <c r="X83" s="517"/>
      <c r="Y83" s="517"/>
      <c r="Z83" s="517"/>
      <c r="AA83" s="517"/>
      <c r="AB83" s="517"/>
      <c r="AC83" s="517"/>
      <c r="AD83" s="517"/>
      <c r="AE83" s="517"/>
      <c r="AF83" s="517"/>
      <c r="AG83" s="517"/>
    </row>
    <row r="84" spans="2:43" s="76" customFormat="1" ht="15" customHeight="1" x14ac:dyDescent="0.45">
      <c r="B84" s="78" t="s">
        <v>1919</v>
      </c>
      <c r="C84" s="517" t="s">
        <v>1931</v>
      </c>
      <c r="D84" s="517"/>
      <c r="E84" s="517"/>
      <c r="F84" s="517"/>
      <c r="G84" s="517"/>
      <c r="H84" s="517"/>
      <c r="I84" s="517"/>
      <c r="J84" s="517"/>
      <c r="K84" s="517"/>
      <c r="L84" s="517"/>
      <c r="M84" s="517"/>
      <c r="N84" s="517"/>
      <c r="O84" s="517"/>
      <c r="P84" s="517"/>
      <c r="Q84" s="517"/>
      <c r="R84" s="517"/>
      <c r="S84" s="517"/>
      <c r="T84" s="517"/>
      <c r="U84" s="517"/>
      <c r="V84" s="517"/>
      <c r="W84" s="517"/>
      <c r="X84" s="517"/>
      <c r="Y84" s="517"/>
      <c r="Z84" s="517"/>
      <c r="AA84" s="517"/>
      <c r="AB84" s="517"/>
      <c r="AC84" s="517"/>
      <c r="AD84" s="517"/>
      <c r="AE84" s="517"/>
      <c r="AF84" s="517"/>
      <c r="AG84" s="517"/>
    </row>
    <row r="85" spans="2:43" s="76" customFormat="1" ht="15" customHeight="1" x14ac:dyDescent="0.45">
      <c r="B85" s="78"/>
      <c r="C85" s="517"/>
      <c r="D85" s="517"/>
      <c r="E85" s="517"/>
      <c r="F85" s="517"/>
      <c r="G85" s="517"/>
      <c r="H85" s="517"/>
      <c r="I85" s="517"/>
      <c r="J85" s="517"/>
      <c r="K85" s="517"/>
      <c r="L85" s="517"/>
      <c r="M85" s="517"/>
      <c r="N85" s="517"/>
      <c r="O85" s="517"/>
      <c r="P85" s="517"/>
      <c r="Q85" s="517"/>
      <c r="R85" s="517"/>
      <c r="S85" s="517"/>
      <c r="T85" s="517"/>
      <c r="U85" s="517"/>
      <c r="V85" s="517"/>
      <c r="W85" s="517"/>
      <c r="X85" s="517"/>
      <c r="Y85" s="517"/>
      <c r="Z85" s="517"/>
      <c r="AA85" s="517"/>
      <c r="AB85" s="517"/>
      <c r="AC85" s="517"/>
      <c r="AD85" s="517"/>
      <c r="AE85" s="517"/>
      <c r="AF85" s="517"/>
      <c r="AG85" s="517"/>
    </row>
    <row r="86" spans="2:43" ht="16.5" customHeight="1" x14ac:dyDescent="0.45">
      <c r="B86" s="521" t="s">
        <v>1932</v>
      </c>
      <c r="C86" s="521"/>
      <c r="D86" s="69" t="s">
        <v>1933</v>
      </c>
      <c r="E86" s="69"/>
      <c r="F86" s="69"/>
    </row>
    <row r="87" spans="2:43" ht="16.5" customHeight="1" x14ac:dyDescent="0.45">
      <c r="B87" s="407" t="s">
        <v>1858</v>
      </c>
      <c r="C87" s="407" t="s">
        <v>3992</v>
      </c>
      <c r="D87" s="407"/>
      <c r="E87" s="407"/>
      <c r="F87" s="407"/>
      <c r="G87" s="407"/>
      <c r="H87" s="407"/>
      <c r="I87" s="407"/>
      <c r="J87" s="407"/>
      <c r="K87" s="407" t="s">
        <v>1858</v>
      </c>
      <c r="L87" s="407" t="s">
        <v>3993</v>
      </c>
      <c r="M87" s="407"/>
      <c r="N87" s="407"/>
      <c r="O87" s="407"/>
      <c r="P87" s="407"/>
      <c r="Q87" s="407"/>
      <c r="R87" s="407"/>
      <c r="S87" s="407"/>
      <c r="T87" s="407"/>
      <c r="U87" s="407"/>
      <c r="V87" s="407"/>
    </row>
    <row r="88" spans="2:43" ht="16.5" customHeight="1" x14ac:dyDescent="0.45">
      <c r="B88" s="407" t="s">
        <v>1858</v>
      </c>
      <c r="C88" s="407" t="s">
        <v>3994</v>
      </c>
      <c r="D88" s="407"/>
      <c r="E88" s="407"/>
      <c r="F88" s="407"/>
      <c r="G88" s="407"/>
      <c r="H88" s="407"/>
      <c r="I88" s="407"/>
      <c r="J88" s="407"/>
      <c r="K88" s="407"/>
      <c r="L88" s="407"/>
      <c r="M88" s="407" t="s">
        <v>1858</v>
      </c>
      <c r="N88" s="407" t="s">
        <v>3995</v>
      </c>
      <c r="O88" s="407"/>
      <c r="P88" s="407"/>
      <c r="Q88" s="407"/>
      <c r="R88" s="407"/>
      <c r="S88" s="407"/>
      <c r="T88" s="407"/>
      <c r="U88" s="407"/>
      <c r="V88" s="407"/>
    </row>
    <row r="89" spans="2:43" ht="16.5" customHeight="1" x14ac:dyDescent="0.45">
      <c r="B89" s="407" t="s">
        <v>1858</v>
      </c>
      <c r="C89" s="407" t="s">
        <v>3996</v>
      </c>
      <c r="D89" s="407"/>
      <c r="E89" s="407"/>
      <c r="F89" s="407"/>
      <c r="G89" s="407"/>
      <c r="H89" s="407"/>
      <c r="I89" s="407"/>
      <c r="J89" s="407"/>
      <c r="K89" s="407"/>
      <c r="L89" s="407"/>
      <c r="M89" s="407"/>
      <c r="N89" s="407"/>
      <c r="O89" s="407"/>
      <c r="P89" s="407"/>
      <c r="Q89" s="407"/>
      <c r="R89" s="407"/>
      <c r="S89" s="407"/>
      <c r="T89" s="407"/>
      <c r="U89" s="407"/>
      <c r="V89" s="407"/>
      <c r="W89" s="79"/>
      <c r="X89" s="79"/>
      <c r="Y89" s="79"/>
      <c r="Z89" s="79"/>
      <c r="AA89" s="79"/>
      <c r="AB89" s="79"/>
      <c r="AC89" s="79"/>
      <c r="AD89" s="79"/>
      <c r="AE89" s="79"/>
      <c r="AF89" s="79"/>
      <c r="AG89" s="79"/>
      <c r="AH89" s="79"/>
      <c r="AI89" s="79"/>
    </row>
    <row r="90" spans="2:43" ht="16.5" customHeight="1" x14ac:dyDescent="0.45">
      <c r="B90" s="521" t="s">
        <v>1934</v>
      </c>
      <c r="C90" s="522"/>
      <c r="D90" s="69" t="s">
        <v>1935</v>
      </c>
      <c r="E90" s="69"/>
      <c r="G90" s="73" t="s">
        <v>1936</v>
      </c>
      <c r="H90" s="532" t="s">
        <v>1958</v>
      </c>
      <c r="I90" s="532"/>
      <c r="J90" s="532"/>
      <c r="K90" s="532"/>
      <c r="L90" s="532"/>
      <c r="M90" s="532"/>
      <c r="N90" s="532"/>
      <c r="O90" s="532"/>
      <c r="P90" s="532"/>
      <c r="Q90" s="73" t="s">
        <v>1937</v>
      </c>
      <c r="X90" s="79"/>
      <c r="Y90" s="79"/>
      <c r="Z90" s="79"/>
      <c r="AA90" s="79"/>
      <c r="AB90" s="79"/>
      <c r="AC90" s="79"/>
      <c r="AD90" s="79"/>
      <c r="AE90" s="79"/>
      <c r="AF90" s="79"/>
      <c r="AG90" s="79"/>
      <c r="AH90" s="79"/>
      <c r="AI90" s="79"/>
      <c r="AJ90" s="79"/>
    </row>
    <row r="91" spans="2:43" ht="16.5" customHeight="1" x14ac:dyDescent="0.45">
      <c r="B91" s="403"/>
      <c r="C91" s="404"/>
      <c r="D91" s="69"/>
      <c r="E91" s="69"/>
      <c r="G91" s="73" t="s">
        <v>1936</v>
      </c>
      <c r="H91" s="532" t="s">
        <v>1957</v>
      </c>
      <c r="I91" s="532"/>
      <c r="J91" s="532"/>
      <c r="K91" s="532"/>
      <c r="L91" s="532"/>
      <c r="M91" s="532"/>
      <c r="N91" s="532"/>
      <c r="O91" s="532"/>
      <c r="P91" s="532"/>
      <c r="Q91" s="73" t="s">
        <v>1937</v>
      </c>
      <c r="X91" s="79"/>
      <c r="Y91" s="79"/>
      <c r="Z91" s="79"/>
      <c r="AA91" s="79"/>
      <c r="AB91" s="79"/>
      <c r="AC91" s="79"/>
      <c r="AD91" s="79"/>
      <c r="AE91" s="79"/>
      <c r="AF91" s="79"/>
      <c r="AG91" s="79"/>
      <c r="AH91" s="79"/>
      <c r="AI91" s="79"/>
      <c r="AJ91" s="79"/>
    </row>
    <row r="92" spans="2:43" ht="16.5" customHeight="1" x14ac:dyDescent="0.45">
      <c r="B92" s="521" t="s">
        <v>1938</v>
      </c>
      <c r="C92" s="522"/>
      <c r="D92" s="69" t="s">
        <v>1939</v>
      </c>
      <c r="E92" s="69"/>
      <c r="F92" s="69"/>
      <c r="I92" s="80" t="s">
        <v>1940</v>
      </c>
      <c r="J92" s="76"/>
      <c r="K92" s="76"/>
      <c r="L92" s="76"/>
      <c r="M92" s="76"/>
      <c r="N92" s="76"/>
      <c r="O92" s="76"/>
      <c r="P92" s="76"/>
      <c r="Q92" s="76"/>
      <c r="R92" s="76"/>
      <c r="S92" s="76"/>
      <c r="T92" s="76"/>
      <c r="U92" s="76"/>
      <c r="V92" s="76"/>
      <c r="W92" s="76"/>
      <c r="X92" s="76"/>
      <c r="Y92" s="76"/>
      <c r="Z92" s="76"/>
      <c r="AA92" s="76"/>
      <c r="AB92" s="76"/>
      <c r="AC92" s="76"/>
      <c r="AD92" s="76"/>
      <c r="AE92" s="76"/>
    </row>
    <row r="93" spans="2:43" s="410" customFormat="1" ht="13.4" customHeight="1" x14ac:dyDescent="0.45">
      <c r="C93" s="408" t="s">
        <v>1858</v>
      </c>
      <c r="D93" s="534" t="s">
        <v>3997</v>
      </c>
      <c r="E93" s="534"/>
      <c r="F93" s="534"/>
      <c r="G93" s="534"/>
      <c r="H93" s="534"/>
      <c r="I93" s="534"/>
      <c r="J93" s="534"/>
      <c r="K93" s="534"/>
      <c r="L93" s="534"/>
      <c r="M93" s="534"/>
      <c r="N93" s="534"/>
      <c r="O93" s="534"/>
      <c r="P93" s="534"/>
      <c r="Q93" s="534"/>
      <c r="R93" s="534"/>
      <c r="S93" s="534"/>
      <c r="T93" s="534"/>
      <c r="U93" s="534"/>
      <c r="V93" s="534"/>
      <c r="W93" s="534"/>
      <c r="X93" s="534"/>
      <c r="Y93" s="534"/>
      <c r="Z93" s="534"/>
      <c r="AA93" s="534"/>
      <c r="AB93" s="534"/>
      <c r="AC93" s="534"/>
      <c r="AD93" s="534"/>
      <c r="AE93" s="534"/>
      <c r="AF93" s="534"/>
      <c r="AG93" s="534"/>
      <c r="AH93" s="534"/>
      <c r="AI93" s="534"/>
      <c r="AJ93" s="534"/>
      <c r="AK93" s="411"/>
      <c r="AL93" s="411"/>
      <c r="AM93" s="411"/>
      <c r="AN93" s="411"/>
    </row>
    <row r="94" spans="2:43" s="410" customFormat="1" x14ac:dyDescent="0.45">
      <c r="D94" s="534"/>
      <c r="E94" s="534"/>
      <c r="F94" s="534"/>
      <c r="G94" s="534"/>
      <c r="H94" s="534"/>
      <c r="I94" s="534"/>
      <c r="J94" s="534"/>
      <c r="K94" s="534"/>
      <c r="L94" s="534"/>
      <c r="M94" s="534"/>
      <c r="N94" s="534"/>
      <c r="O94" s="534"/>
      <c r="P94" s="534"/>
      <c r="Q94" s="534"/>
      <c r="R94" s="534"/>
      <c r="S94" s="534"/>
      <c r="T94" s="534"/>
      <c r="U94" s="534"/>
      <c r="V94" s="534"/>
      <c r="W94" s="534"/>
      <c r="X94" s="534"/>
      <c r="Y94" s="534"/>
      <c r="Z94" s="534"/>
      <c r="AA94" s="534"/>
      <c r="AB94" s="534"/>
      <c r="AC94" s="534"/>
      <c r="AD94" s="534"/>
      <c r="AE94" s="534"/>
      <c r="AF94" s="534"/>
      <c r="AG94" s="534"/>
      <c r="AH94" s="534"/>
      <c r="AI94" s="534"/>
      <c r="AJ94" s="534"/>
      <c r="AK94" s="411"/>
      <c r="AL94" s="411"/>
      <c r="AM94" s="411"/>
      <c r="AN94" s="411"/>
    </row>
    <row r="95" spans="2:43" s="410" customFormat="1" x14ac:dyDescent="0.45">
      <c r="C95" s="408" t="s">
        <v>1858</v>
      </c>
      <c r="D95" s="535" t="s">
        <v>3998</v>
      </c>
      <c r="E95" s="535"/>
      <c r="F95" s="535"/>
      <c r="G95" s="535"/>
      <c r="H95" s="535"/>
      <c r="I95" s="535"/>
      <c r="J95" s="535"/>
      <c r="K95" s="535"/>
      <c r="L95" s="535"/>
      <c r="M95" s="535"/>
      <c r="N95" s="535"/>
      <c r="O95" s="535"/>
      <c r="P95" s="535"/>
      <c r="Q95" s="535"/>
      <c r="R95" s="535"/>
      <c r="S95" s="535"/>
      <c r="T95" s="535"/>
      <c r="U95" s="535"/>
      <c r="V95" s="535"/>
      <c r="W95" s="535"/>
      <c r="X95" s="535"/>
      <c r="Y95" s="535"/>
      <c r="Z95" s="535"/>
      <c r="AA95" s="535"/>
      <c r="AB95" s="535"/>
      <c r="AC95" s="535"/>
      <c r="AD95" s="535"/>
      <c r="AE95" s="535"/>
      <c r="AF95" s="535"/>
      <c r="AG95" s="535"/>
      <c r="AH95" s="535"/>
      <c r="AI95" s="535"/>
      <c r="AJ95" s="535"/>
      <c r="AK95" s="412"/>
      <c r="AL95" s="412"/>
      <c r="AM95" s="412"/>
      <c r="AN95" s="412"/>
      <c r="AO95" s="407"/>
      <c r="AP95" s="407"/>
      <c r="AQ95" s="407"/>
    </row>
    <row r="96" spans="2:43" s="410" customFormat="1" x14ac:dyDescent="0.45">
      <c r="C96" s="407"/>
      <c r="D96" s="535"/>
      <c r="E96" s="535"/>
      <c r="F96" s="535"/>
      <c r="G96" s="535"/>
      <c r="H96" s="535"/>
      <c r="I96" s="535"/>
      <c r="J96" s="535"/>
      <c r="K96" s="535"/>
      <c r="L96" s="535"/>
      <c r="M96" s="535"/>
      <c r="N96" s="535"/>
      <c r="O96" s="535"/>
      <c r="P96" s="535"/>
      <c r="Q96" s="535"/>
      <c r="R96" s="535"/>
      <c r="S96" s="535"/>
      <c r="T96" s="535"/>
      <c r="U96" s="535"/>
      <c r="V96" s="535"/>
      <c r="W96" s="535"/>
      <c r="X96" s="535"/>
      <c r="Y96" s="535"/>
      <c r="Z96" s="535"/>
      <c r="AA96" s="535"/>
      <c r="AB96" s="535"/>
      <c r="AC96" s="535"/>
      <c r="AD96" s="535"/>
      <c r="AE96" s="535"/>
      <c r="AF96" s="535"/>
      <c r="AG96" s="535"/>
      <c r="AH96" s="535"/>
      <c r="AI96" s="535"/>
      <c r="AJ96" s="535"/>
      <c r="AK96" s="412"/>
      <c r="AL96" s="412"/>
      <c r="AM96" s="412"/>
      <c r="AN96" s="412"/>
      <c r="AO96" s="407"/>
      <c r="AP96" s="407"/>
      <c r="AQ96" s="407"/>
    </row>
    <row r="97" spans="1:43" s="410" customFormat="1" x14ac:dyDescent="0.45">
      <c r="C97" s="408" t="s">
        <v>1858</v>
      </c>
      <c r="D97" s="536" t="s">
        <v>3999</v>
      </c>
      <c r="E97" s="536"/>
      <c r="F97" s="536"/>
      <c r="G97" s="536"/>
      <c r="H97" s="536"/>
      <c r="I97" s="536"/>
      <c r="J97" s="536"/>
      <c r="K97" s="536"/>
      <c r="L97" s="536"/>
      <c r="M97" s="536"/>
      <c r="N97" s="536"/>
      <c r="O97" s="536"/>
      <c r="P97" s="536"/>
      <c r="Q97" s="536"/>
      <c r="R97" s="536"/>
      <c r="S97" s="536"/>
      <c r="T97" s="536"/>
      <c r="U97" s="536"/>
      <c r="V97" s="536"/>
      <c r="W97" s="536"/>
      <c r="X97" s="536"/>
      <c r="Y97" s="536"/>
      <c r="Z97" s="536"/>
      <c r="AA97" s="536"/>
      <c r="AB97" s="536"/>
      <c r="AC97" s="536"/>
      <c r="AD97" s="536"/>
      <c r="AE97" s="536"/>
      <c r="AF97" s="536"/>
      <c r="AG97" s="536"/>
      <c r="AH97" s="536"/>
      <c r="AI97" s="536"/>
      <c r="AJ97" s="536"/>
      <c r="AK97" s="412"/>
      <c r="AL97" s="412"/>
      <c r="AM97" s="412"/>
      <c r="AN97" s="412"/>
      <c r="AO97" s="407"/>
      <c r="AP97" s="407"/>
      <c r="AQ97" s="407"/>
    </row>
    <row r="98" spans="1:43" s="410" customFormat="1" x14ac:dyDescent="0.45">
      <c r="C98" s="408"/>
      <c r="D98" s="536"/>
      <c r="E98" s="536"/>
      <c r="F98" s="536"/>
      <c r="G98" s="536"/>
      <c r="H98" s="536"/>
      <c r="I98" s="536"/>
      <c r="J98" s="536"/>
      <c r="K98" s="536"/>
      <c r="L98" s="536"/>
      <c r="M98" s="536"/>
      <c r="N98" s="536"/>
      <c r="O98" s="536"/>
      <c r="P98" s="536"/>
      <c r="Q98" s="536"/>
      <c r="R98" s="536"/>
      <c r="S98" s="536"/>
      <c r="T98" s="536"/>
      <c r="U98" s="536"/>
      <c r="V98" s="536"/>
      <c r="W98" s="536"/>
      <c r="X98" s="536"/>
      <c r="Y98" s="536"/>
      <c r="Z98" s="536"/>
      <c r="AA98" s="536"/>
      <c r="AB98" s="536"/>
      <c r="AC98" s="536"/>
      <c r="AD98" s="536"/>
      <c r="AE98" s="536"/>
      <c r="AF98" s="536"/>
      <c r="AG98" s="536"/>
      <c r="AH98" s="536"/>
      <c r="AI98" s="536"/>
      <c r="AJ98" s="536"/>
      <c r="AK98" s="412"/>
      <c r="AL98" s="412"/>
      <c r="AM98" s="412"/>
      <c r="AN98" s="412"/>
      <c r="AO98" s="407"/>
      <c r="AP98" s="407"/>
      <c r="AQ98" s="407"/>
    </row>
    <row r="99" spans="1:43" s="410" customFormat="1" x14ac:dyDescent="0.45">
      <c r="C99" s="408" t="s">
        <v>1858</v>
      </c>
      <c r="D99" s="536" t="s">
        <v>4000</v>
      </c>
      <c r="E99" s="536"/>
      <c r="F99" s="536"/>
      <c r="G99" s="536"/>
      <c r="H99" s="536"/>
      <c r="I99" s="536"/>
      <c r="J99" s="536"/>
      <c r="K99" s="536"/>
      <c r="L99" s="536"/>
      <c r="M99" s="536"/>
      <c r="N99" s="536"/>
      <c r="O99" s="536"/>
      <c r="P99" s="536"/>
      <c r="Q99" s="536"/>
      <c r="R99" s="536"/>
      <c r="S99" s="536"/>
      <c r="T99" s="536"/>
      <c r="U99" s="536"/>
      <c r="V99" s="536"/>
      <c r="W99" s="536"/>
      <c r="X99" s="536"/>
      <c r="Y99" s="536"/>
      <c r="Z99" s="536"/>
      <c r="AA99" s="536"/>
      <c r="AB99" s="536"/>
      <c r="AC99" s="536"/>
      <c r="AD99" s="536"/>
      <c r="AE99" s="536"/>
      <c r="AF99" s="536"/>
      <c r="AG99" s="536"/>
      <c r="AH99" s="536"/>
      <c r="AI99" s="536"/>
      <c r="AJ99" s="536"/>
      <c r="AK99" s="412"/>
      <c r="AL99" s="412"/>
      <c r="AM99" s="412"/>
      <c r="AN99" s="412"/>
      <c r="AO99" s="407"/>
      <c r="AP99" s="407"/>
      <c r="AQ99" s="407"/>
    </row>
    <row r="100" spans="1:43" s="410" customFormat="1" x14ac:dyDescent="0.45">
      <c r="C100" s="408"/>
      <c r="D100" s="536"/>
      <c r="E100" s="536"/>
      <c r="F100" s="536"/>
      <c r="G100" s="536"/>
      <c r="H100" s="536"/>
      <c r="I100" s="536"/>
      <c r="J100" s="536"/>
      <c r="K100" s="536"/>
      <c r="L100" s="536"/>
      <c r="M100" s="536"/>
      <c r="N100" s="536"/>
      <c r="O100" s="536"/>
      <c r="P100" s="536"/>
      <c r="Q100" s="536"/>
      <c r="R100" s="536"/>
      <c r="S100" s="536"/>
      <c r="T100" s="536"/>
      <c r="U100" s="536"/>
      <c r="V100" s="536"/>
      <c r="W100" s="536"/>
      <c r="X100" s="536"/>
      <c r="Y100" s="536"/>
      <c r="Z100" s="536"/>
      <c r="AA100" s="536"/>
      <c r="AB100" s="536"/>
      <c r="AC100" s="536"/>
      <c r="AD100" s="536"/>
      <c r="AE100" s="536"/>
      <c r="AF100" s="536"/>
      <c r="AG100" s="536"/>
      <c r="AH100" s="536"/>
      <c r="AI100" s="536"/>
      <c r="AJ100" s="536"/>
      <c r="AK100" s="412"/>
      <c r="AL100" s="412"/>
      <c r="AM100" s="412"/>
      <c r="AN100" s="412"/>
      <c r="AO100" s="407"/>
      <c r="AP100" s="407"/>
      <c r="AQ100" s="407"/>
    </row>
    <row r="101" spans="1:43" s="410" customFormat="1" x14ac:dyDescent="0.45">
      <c r="C101" s="408" t="s">
        <v>1858</v>
      </c>
      <c r="D101" s="412" t="s">
        <v>4001</v>
      </c>
      <c r="E101" s="412"/>
      <c r="F101" s="412"/>
      <c r="G101" s="412"/>
      <c r="H101" s="412"/>
      <c r="I101" s="412"/>
      <c r="J101" s="412"/>
      <c r="K101" s="412"/>
      <c r="L101" s="412"/>
      <c r="M101" s="412"/>
      <c r="N101" s="412"/>
      <c r="O101" s="412"/>
      <c r="P101" s="412"/>
      <c r="Q101" s="412"/>
      <c r="R101" s="412"/>
      <c r="S101" s="412"/>
      <c r="T101" s="412"/>
      <c r="U101" s="412"/>
      <c r="V101" s="412"/>
      <c r="W101" s="412"/>
      <c r="X101" s="412"/>
      <c r="Y101" s="412"/>
      <c r="Z101" s="412"/>
      <c r="AA101" s="412"/>
      <c r="AB101" s="412"/>
      <c r="AC101" s="412"/>
      <c r="AD101" s="412"/>
      <c r="AE101" s="412"/>
      <c r="AF101" s="412"/>
      <c r="AG101" s="412"/>
      <c r="AH101" s="412"/>
      <c r="AI101" s="412"/>
      <c r="AJ101" s="412"/>
      <c r="AK101" s="412"/>
      <c r="AL101" s="412"/>
      <c r="AM101" s="412"/>
      <c r="AN101" s="412"/>
      <c r="AO101" s="407"/>
      <c r="AP101" s="407"/>
      <c r="AQ101" s="407"/>
    </row>
    <row r="102" spans="1:43" s="410" customFormat="1" x14ac:dyDescent="0.45">
      <c r="C102" s="408" t="s">
        <v>1858</v>
      </c>
      <c r="D102" s="412" t="s">
        <v>4002</v>
      </c>
      <c r="E102" s="412"/>
      <c r="F102" s="412"/>
      <c r="G102" s="412"/>
      <c r="H102" s="412"/>
      <c r="I102" s="412"/>
      <c r="J102" s="412"/>
      <c r="K102" s="412"/>
      <c r="L102" s="412"/>
      <c r="M102" s="412"/>
      <c r="N102" s="412"/>
      <c r="O102" s="412"/>
      <c r="P102" s="412"/>
      <c r="Q102" s="412"/>
      <c r="R102" s="412"/>
      <c r="S102" s="412"/>
      <c r="T102" s="412"/>
      <c r="U102" s="412"/>
      <c r="V102" s="412"/>
      <c r="W102" s="412"/>
      <c r="X102" s="412"/>
      <c r="Y102" s="412"/>
      <c r="Z102" s="412"/>
      <c r="AA102" s="412"/>
      <c r="AB102" s="412"/>
      <c r="AC102" s="412"/>
      <c r="AD102" s="412"/>
      <c r="AE102" s="412"/>
      <c r="AF102" s="412"/>
      <c r="AG102" s="412"/>
      <c r="AH102" s="412"/>
      <c r="AI102" s="412"/>
      <c r="AJ102" s="412"/>
      <c r="AK102" s="412"/>
      <c r="AL102" s="412"/>
      <c r="AM102" s="412"/>
      <c r="AN102" s="412"/>
      <c r="AO102" s="407"/>
      <c r="AP102" s="407"/>
      <c r="AQ102" s="407"/>
    </row>
    <row r="103" spans="1:43" s="407" customFormat="1" x14ac:dyDescent="0.45">
      <c r="C103" s="408" t="s">
        <v>1858</v>
      </c>
      <c r="D103" s="412" t="s">
        <v>4003</v>
      </c>
      <c r="E103" s="412"/>
      <c r="F103" s="412"/>
      <c r="G103" s="412"/>
      <c r="H103" s="412"/>
      <c r="I103" s="412"/>
      <c r="J103" s="412"/>
      <c r="K103" s="412"/>
      <c r="L103" s="412"/>
      <c r="M103" s="412"/>
      <c r="N103" s="412"/>
      <c r="O103" s="412"/>
      <c r="P103" s="412"/>
      <c r="Q103" s="412"/>
      <c r="R103" s="412"/>
      <c r="S103" s="412"/>
      <c r="T103" s="412"/>
      <c r="U103" s="412"/>
      <c r="V103" s="412"/>
      <c r="W103" s="412"/>
      <c r="X103" s="412"/>
      <c r="Y103" s="412"/>
      <c r="Z103" s="412"/>
      <c r="AA103" s="412"/>
      <c r="AB103" s="412"/>
      <c r="AC103" s="412"/>
      <c r="AD103" s="412"/>
      <c r="AE103" s="412"/>
      <c r="AF103" s="412"/>
      <c r="AG103" s="412"/>
      <c r="AH103" s="412"/>
      <c r="AI103" s="412"/>
      <c r="AJ103" s="412"/>
      <c r="AK103" s="412"/>
      <c r="AL103" s="412"/>
      <c r="AM103" s="412"/>
      <c r="AN103" s="412"/>
    </row>
    <row r="104" spans="1:43" s="407" customFormat="1" x14ac:dyDescent="0.45">
      <c r="C104" s="408" t="s">
        <v>1858</v>
      </c>
      <c r="D104" s="412" t="s">
        <v>4004</v>
      </c>
      <c r="E104" s="412"/>
      <c r="F104" s="412"/>
      <c r="G104" s="412"/>
      <c r="H104" s="412"/>
      <c r="I104" s="412"/>
      <c r="J104" s="412"/>
      <c r="K104" s="412"/>
      <c r="L104" s="412"/>
      <c r="M104" s="412"/>
      <c r="N104" s="412"/>
      <c r="O104" s="412"/>
      <c r="P104" s="412"/>
      <c r="Q104" s="412"/>
      <c r="R104" s="412"/>
      <c r="S104" s="412"/>
      <c r="T104" s="412"/>
      <c r="U104" s="412"/>
      <c r="V104" s="412"/>
      <c r="W104" s="412"/>
      <c r="X104" s="412"/>
      <c r="Y104" s="412"/>
      <c r="Z104" s="412"/>
      <c r="AA104" s="412"/>
      <c r="AB104" s="412"/>
      <c r="AC104" s="412"/>
      <c r="AD104" s="412"/>
      <c r="AE104" s="412"/>
      <c r="AF104" s="412"/>
      <c r="AG104" s="412"/>
      <c r="AH104" s="412"/>
      <c r="AI104" s="412"/>
      <c r="AJ104" s="412"/>
      <c r="AK104" s="412"/>
      <c r="AL104" s="412"/>
      <c r="AM104" s="412"/>
      <c r="AN104" s="412"/>
    </row>
    <row r="105" spans="1:43" ht="16.5" customHeight="1" x14ac:dyDescent="0.45">
      <c r="B105" s="521" t="s">
        <v>1941</v>
      </c>
      <c r="C105" s="522"/>
      <c r="D105" s="69" t="s">
        <v>1942</v>
      </c>
      <c r="E105" s="69"/>
      <c r="F105" s="69"/>
      <c r="G105" s="69"/>
      <c r="N105" s="407" t="s">
        <v>4006</v>
      </c>
    </row>
    <row r="106" spans="1:43" s="413" customFormat="1" ht="18.75" customHeight="1" x14ac:dyDescent="0.45">
      <c r="C106" s="413" t="s">
        <v>1858</v>
      </c>
      <c r="D106" s="414" t="s">
        <v>4005</v>
      </c>
      <c r="K106" s="415"/>
      <c r="L106" s="415"/>
      <c r="M106" s="415"/>
      <c r="N106" s="415"/>
      <c r="O106" s="415"/>
      <c r="P106" s="415"/>
      <c r="Q106" s="415"/>
      <c r="R106" s="415"/>
      <c r="S106" s="415"/>
      <c r="T106" s="415"/>
    </row>
    <row r="107" spans="1:43" ht="16.5" customHeight="1" x14ac:dyDescent="0.45"/>
    <row r="108" spans="1:43" ht="16.5" customHeight="1" x14ac:dyDescent="0.45">
      <c r="D108" s="67" t="s">
        <v>1943</v>
      </c>
      <c r="E108" s="533" t="str">
        <f>+D20</f>
        <v>組み合わせ左側チーム</v>
      </c>
      <c r="F108" s="533"/>
      <c r="G108" s="533"/>
      <c r="H108" s="533"/>
      <c r="I108" s="533"/>
      <c r="J108" s="533"/>
      <c r="K108" s="533"/>
      <c r="L108" s="533"/>
      <c r="M108" s="533"/>
      <c r="N108" s="67" t="s">
        <v>1944</v>
      </c>
      <c r="O108" s="530" t="s">
        <v>1945</v>
      </c>
      <c r="P108" s="530"/>
      <c r="Q108" s="530"/>
      <c r="R108" s="530"/>
      <c r="S108" s="530"/>
      <c r="T108" s="530"/>
      <c r="U108" s="67" t="s">
        <v>1943</v>
      </c>
      <c r="V108" s="533" t="str">
        <f>+D21</f>
        <v>組み合わせ右側チーム</v>
      </c>
      <c r="W108" s="533"/>
      <c r="X108" s="533"/>
      <c r="Y108" s="533"/>
      <c r="Z108" s="533"/>
      <c r="AA108" s="533"/>
      <c r="AB108" s="533"/>
      <c r="AC108" s="533"/>
      <c r="AD108" s="533"/>
      <c r="AE108" s="67" t="s">
        <v>1944</v>
      </c>
    </row>
    <row r="109" spans="1:43" ht="16.5" customHeight="1" x14ac:dyDescent="0.45">
      <c r="O109" s="530" t="s">
        <v>1946</v>
      </c>
      <c r="P109" s="530"/>
      <c r="Q109" s="530"/>
      <c r="R109" s="530"/>
      <c r="S109" s="530"/>
      <c r="T109" s="530"/>
    </row>
    <row r="110" spans="1:43" ht="16.5" customHeight="1" x14ac:dyDescent="0.45"/>
    <row r="111" spans="1:43" s="81" customFormat="1" ht="16.5" customHeight="1" x14ac:dyDescent="0.45">
      <c r="A111" s="68">
        <v>3</v>
      </c>
      <c r="B111" s="68" t="s">
        <v>1947</v>
      </c>
      <c r="C111" s="68"/>
      <c r="D111" s="68"/>
    </row>
    <row r="112" spans="1:43" s="76" customFormat="1" ht="16.5" customHeight="1" x14ac:dyDescent="0.45">
      <c r="B112" s="531" t="s">
        <v>2042</v>
      </c>
      <c r="C112" s="531"/>
      <c r="D112" s="531"/>
      <c r="E112" s="531"/>
      <c r="F112" s="531"/>
      <c r="G112" s="531"/>
      <c r="H112" s="531"/>
      <c r="I112" s="531"/>
      <c r="J112" s="531"/>
      <c r="K112" s="531"/>
      <c r="L112" s="531"/>
      <c r="M112" s="531"/>
      <c r="N112" s="531"/>
      <c r="O112" s="531"/>
      <c r="P112" s="531"/>
      <c r="Q112" s="531"/>
      <c r="R112" s="531"/>
      <c r="S112" s="531"/>
      <c r="T112" s="531"/>
      <c r="U112" s="531"/>
      <c r="V112" s="531"/>
      <c r="W112" s="531"/>
      <c r="X112" s="531"/>
      <c r="Y112" s="531"/>
      <c r="Z112" s="531"/>
      <c r="AA112" s="531"/>
      <c r="AB112" s="531"/>
      <c r="AC112" s="531"/>
      <c r="AD112" s="531"/>
      <c r="AE112" s="531"/>
      <c r="AF112" s="531"/>
      <c r="AG112" s="531"/>
      <c r="AH112" s="531"/>
    </row>
    <row r="113" spans="2:34" s="76" customFormat="1" ht="16.5" customHeight="1" x14ac:dyDescent="0.45">
      <c r="B113" s="531"/>
      <c r="C113" s="531"/>
      <c r="D113" s="531"/>
      <c r="E113" s="531"/>
      <c r="F113" s="531"/>
      <c r="G113" s="531"/>
      <c r="H113" s="531"/>
      <c r="I113" s="531"/>
      <c r="J113" s="531"/>
      <c r="K113" s="531"/>
      <c r="L113" s="531"/>
      <c r="M113" s="531"/>
      <c r="N113" s="531"/>
      <c r="O113" s="531"/>
      <c r="P113" s="531"/>
      <c r="Q113" s="531"/>
      <c r="R113" s="531"/>
      <c r="S113" s="531"/>
      <c r="T113" s="531"/>
      <c r="U113" s="531"/>
      <c r="V113" s="531"/>
      <c r="W113" s="531"/>
      <c r="X113" s="531"/>
      <c r="Y113" s="531"/>
      <c r="Z113" s="531"/>
      <c r="AA113" s="531"/>
      <c r="AB113" s="531"/>
      <c r="AC113" s="531"/>
      <c r="AD113" s="531"/>
      <c r="AE113" s="531"/>
      <c r="AF113" s="531"/>
      <c r="AG113" s="531"/>
      <c r="AH113" s="531"/>
    </row>
    <row r="114" spans="2:34" ht="16.5" customHeight="1" x14ac:dyDescent="0.45"/>
    <row r="115" spans="2:34" ht="16.5" customHeight="1" x14ac:dyDescent="0.45"/>
    <row r="116" spans="2:34" ht="16.5" customHeight="1" x14ac:dyDescent="0.45"/>
    <row r="117" spans="2:34" ht="16.5" customHeight="1" x14ac:dyDescent="0.45"/>
    <row r="118" spans="2:34" ht="16.5" customHeight="1" x14ac:dyDescent="0.45"/>
    <row r="119" spans="2:34" ht="16.5" customHeight="1" x14ac:dyDescent="0.45"/>
    <row r="120" spans="2:34" ht="16.5" customHeight="1" x14ac:dyDescent="0.45"/>
  </sheetData>
  <mergeCells count="93">
    <mergeCell ref="A12:AJ12"/>
    <mergeCell ref="A10:AJ11"/>
    <mergeCell ref="A1:AH1"/>
    <mergeCell ref="A2:AH4"/>
    <mergeCell ref="J6:Q6"/>
    <mergeCell ref="R6:T6"/>
    <mergeCell ref="B8:J8"/>
    <mergeCell ref="L8:N8"/>
    <mergeCell ref="O8:P8"/>
    <mergeCell ref="Q8:R8"/>
    <mergeCell ref="S8:AA8"/>
    <mergeCell ref="AC8:AE8"/>
    <mergeCell ref="AF8:AG8"/>
    <mergeCell ref="Q18:X18"/>
    <mergeCell ref="Y18:Z18"/>
    <mergeCell ref="E13:AD13"/>
    <mergeCell ref="A14:C14"/>
    <mergeCell ref="E14:AG14"/>
    <mergeCell ref="B18:C18"/>
    <mergeCell ref="A15:C15"/>
    <mergeCell ref="E15:AG15"/>
    <mergeCell ref="B20:C20"/>
    <mergeCell ref="D21:L21"/>
    <mergeCell ref="Q20:X20"/>
    <mergeCell ref="Y20:Z20"/>
    <mergeCell ref="B19:C19"/>
    <mergeCell ref="D20:L20"/>
    <mergeCell ref="Q19:X19"/>
    <mergeCell ref="Y19:Z19"/>
    <mergeCell ref="Q25:X25"/>
    <mergeCell ref="Y25:Z25"/>
    <mergeCell ref="B21:C21"/>
    <mergeCell ref="Q21:X21"/>
    <mergeCell ref="Y21:Z21"/>
    <mergeCell ref="Q22:X22"/>
    <mergeCell ref="Y22:Z22"/>
    <mergeCell ref="Q23:X23"/>
    <mergeCell ref="Y23:Z23"/>
    <mergeCell ref="Q24:X24"/>
    <mergeCell ref="Y24:Z24"/>
    <mergeCell ref="B22:C22"/>
    <mergeCell ref="B26:C26"/>
    <mergeCell ref="Q26:X26"/>
    <mergeCell ref="Y26:Z26"/>
    <mergeCell ref="B32:C32"/>
    <mergeCell ref="B34:C34"/>
    <mergeCell ref="B36:C36"/>
    <mergeCell ref="B27:C27"/>
    <mergeCell ref="S28:Y28"/>
    <mergeCell ref="B29:C29"/>
    <mergeCell ref="L29:AH29"/>
    <mergeCell ref="C30:J30"/>
    <mergeCell ref="C31:J31"/>
    <mergeCell ref="O109:T109"/>
    <mergeCell ref="B112:AH113"/>
    <mergeCell ref="H90:P90"/>
    <mergeCell ref="H91:P91"/>
    <mergeCell ref="C84:AG85"/>
    <mergeCell ref="B86:C86"/>
    <mergeCell ref="B105:C105"/>
    <mergeCell ref="E108:M108"/>
    <mergeCell ref="O108:T108"/>
    <mergeCell ref="V108:AD108"/>
    <mergeCell ref="B90:C90"/>
    <mergeCell ref="B92:C92"/>
    <mergeCell ref="D93:AJ94"/>
    <mergeCell ref="D95:AJ96"/>
    <mergeCell ref="D97:AJ98"/>
    <mergeCell ref="D99:AJ100"/>
    <mergeCell ref="C37:AI39"/>
    <mergeCell ref="C40:AI42"/>
    <mergeCell ref="C43:AI43"/>
    <mergeCell ref="C76:AG76"/>
    <mergeCell ref="C77:AG78"/>
    <mergeCell ref="B58:C58"/>
    <mergeCell ref="F61:AG61"/>
    <mergeCell ref="F62:AG62"/>
    <mergeCell ref="J63:O63"/>
    <mergeCell ref="B45:C45"/>
    <mergeCell ref="B46:AG48"/>
    <mergeCell ref="B49:C49"/>
    <mergeCell ref="B50:AG54"/>
    <mergeCell ref="B55:C55"/>
    <mergeCell ref="C56:AH57"/>
    <mergeCell ref="C79:AG79"/>
    <mergeCell ref="C80:AG81"/>
    <mergeCell ref="C82:AG83"/>
    <mergeCell ref="J66:O66"/>
    <mergeCell ref="F67:AG68"/>
    <mergeCell ref="B69:C69"/>
    <mergeCell ref="B75:C75"/>
    <mergeCell ref="D70:AJ71"/>
    <mergeCell ref="D72:AJ74"/>
  </mergeCells>
  <phoneticPr fontId="5"/>
  <printOptions horizontalCentered="1"/>
  <pageMargins left="0" right="0" top="0.59055118110236227" bottom="0.19685039370078741" header="0.39370078740157483" footer="0.51181102362204722"/>
  <pageSetup paperSize="9" scale="89" fitToHeight="2" orientation="portrait" r:id="rId1"/>
  <headerFooter alignWithMargins="0">
    <oddHeader>&amp;ROITA　FOOTBALL   　ASSOCIATION</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42"/>
  <sheetViews>
    <sheetView zoomScale="40" zoomScaleNormal="40" workbookViewId="0">
      <pane xSplit="3" ySplit="4" topLeftCell="D5" activePane="bottomRight" state="frozen"/>
      <selection sqref="A1:J1"/>
      <selection pane="topRight" sqref="A1:J1"/>
      <selection pane="bottomLeft" sqref="A1:J1"/>
      <selection pane="bottomRight" activeCell="A2" sqref="A2"/>
    </sheetView>
  </sheetViews>
  <sheetFormatPr defaultRowHeight="15.5" x14ac:dyDescent="0.45"/>
  <cols>
    <col min="1" max="1" width="7.2265625" style="162" bestFit="1" customWidth="1"/>
    <col min="2" max="2" width="14.54296875" style="163" bestFit="1" customWidth="1"/>
    <col min="3" max="3" width="27" style="162" bestFit="1" customWidth="1"/>
    <col min="4" max="4" width="6.76953125" style="163" customWidth="1"/>
    <col min="5" max="5" width="17" style="163" bestFit="1" customWidth="1"/>
    <col min="6" max="6" width="10.6328125" style="163" bestFit="1" customWidth="1"/>
    <col min="7" max="7" width="17" style="163" bestFit="1" customWidth="1"/>
    <col min="8" max="8" width="6.76953125" style="163" customWidth="1"/>
    <col min="9" max="9" width="17" style="163" bestFit="1" customWidth="1"/>
    <col min="10" max="10" width="10.6328125" style="163" bestFit="1" customWidth="1"/>
    <col min="11" max="11" width="17" style="163" bestFit="1" customWidth="1"/>
    <col min="12" max="12" width="6.76953125" style="163" customWidth="1"/>
    <col min="13" max="13" width="17" style="163" bestFit="1" customWidth="1"/>
    <col min="14" max="14" width="30.5" style="163" bestFit="1" customWidth="1"/>
    <col min="15" max="15" width="17" style="163" bestFit="1" customWidth="1"/>
    <col min="16" max="16" width="6.76953125" style="163" customWidth="1"/>
    <col min="17" max="17" width="17" style="163" bestFit="1" customWidth="1"/>
    <col min="18" max="18" width="10.6328125" style="163" bestFit="1" customWidth="1"/>
    <col min="19" max="19" width="17" style="163" bestFit="1" customWidth="1"/>
    <col min="20" max="20" width="6.76953125" style="163" customWidth="1"/>
    <col min="21" max="21" width="17" style="163" customWidth="1"/>
    <col min="22" max="22" width="10.6328125" style="163" bestFit="1" customWidth="1"/>
    <col min="23" max="23" width="17" style="163" bestFit="1" customWidth="1"/>
    <col min="24" max="25" width="9" style="162"/>
    <col min="26" max="28" width="9" style="164"/>
    <col min="29" max="256" width="9" style="162"/>
    <col min="257" max="257" width="7.2265625" style="162" bestFit="1" customWidth="1"/>
    <col min="258" max="258" width="9.2265625" style="162" bestFit="1" customWidth="1"/>
    <col min="259" max="259" width="27" style="162" bestFit="1" customWidth="1"/>
    <col min="260" max="260" width="11.1328125" style="162" bestFit="1" customWidth="1"/>
    <col min="261" max="261" width="15.6328125" style="162" customWidth="1"/>
    <col min="262" max="262" width="14" style="162" bestFit="1" customWidth="1"/>
    <col min="263" max="263" width="9.2265625" style="162" bestFit="1" customWidth="1"/>
    <col min="264" max="264" width="11.1328125" style="162" bestFit="1" customWidth="1"/>
    <col min="265" max="265" width="15.6328125" style="162" customWidth="1"/>
    <col min="266" max="266" width="14" style="162" bestFit="1" customWidth="1"/>
    <col min="267" max="267" width="9.2265625" style="162" bestFit="1" customWidth="1"/>
    <col min="268" max="268" width="11.1328125" style="162" bestFit="1" customWidth="1"/>
    <col min="269" max="269" width="15.6328125" style="162" customWidth="1"/>
    <col min="270" max="270" width="14" style="162" bestFit="1" customWidth="1"/>
    <col min="271" max="271" width="9.2265625" style="162" bestFit="1" customWidth="1"/>
    <col min="272" max="272" width="11.1328125" style="162" bestFit="1" customWidth="1"/>
    <col min="273" max="273" width="15.6328125" style="162" customWidth="1"/>
    <col min="274" max="274" width="14" style="162" bestFit="1" customWidth="1"/>
    <col min="275" max="275" width="9.2265625" style="162" bestFit="1" customWidth="1"/>
    <col min="276" max="276" width="11.1328125" style="162" bestFit="1" customWidth="1"/>
    <col min="277" max="277" width="15.6328125" style="162" customWidth="1"/>
    <col min="278" max="278" width="14" style="162" bestFit="1" customWidth="1"/>
    <col min="279" max="279" width="9.2265625" style="162" bestFit="1" customWidth="1"/>
    <col min="280" max="512" width="9" style="162"/>
    <col min="513" max="513" width="7.2265625" style="162" bestFit="1" customWidth="1"/>
    <col min="514" max="514" width="9.2265625" style="162" bestFit="1" customWidth="1"/>
    <col min="515" max="515" width="27" style="162" bestFit="1" customWidth="1"/>
    <col min="516" max="516" width="11.1328125" style="162" bestFit="1" customWidth="1"/>
    <col min="517" max="517" width="15.6328125" style="162" customWidth="1"/>
    <col min="518" max="518" width="14" style="162" bestFit="1" customWidth="1"/>
    <col min="519" max="519" width="9.2265625" style="162" bestFit="1" customWidth="1"/>
    <col min="520" max="520" width="11.1328125" style="162" bestFit="1" customWidth="1"/>
    <col min="521" max="521" width="15.6328125" style="162" customWidth="1"/>
    <col min="522" max="522" width="14" style="162" bestFit="1" customWidth="1"/>
    <col min="523" max="523" width="9.2265625" style="162" bestFit="1" customWidth="1"/>
    <col min="524" max="524" width="11.1328125" style="162" bestFit="1" customWidth="1"/>
    <col min="525" max="525" width="15.6328125" style="162" customWidth="1"/>
    <col min="526" max="526" width="14" style="162" bestFit="1" customWidth="1"/>
    <col min="527" max="527" width="9.2265625" style="162" bestFit="1" customWidth="1"/>
    <col min="528" max="528" width="11.1328125" style="162" bestFit="1" customWidth="1"/>
    <col min="529" max="529" width="15.6328125" style="162" customWidth="1"/>
    <col min="530" max="530" width="14" style="162" bestFit="1" customWidth="1"/>
    <col min="531" max="531" width="9.2265625" style="162" bestFit="1" customWidth="1"/>
    <col min="532" max="532" width="11.1328125" style="162" bestFit="1" customWidth="1"/>
    <col min="533" max="533" width="15.6328125" style="162" customWidth="1"/>
    <col min="534" max="534" width="14" style="162" bestFit="1" customWidth="1"/>
    <col min="535" max="535" width="9.2265625" style="162" bestFit="1" customWidth="1"/>
    <col min="536" max="768" width="9" style="162"/>
    <col min="769" max="769" width="7.2265625" style="162" bestFit="1" customWidth="1"/>
    <col min="770" max="770" width="9.2265625" style="162" bestFit="1" customWidth="1"/>
    <col min="771" max="771" width="27" style="162" bestFit="1" customWidth="1"/>
    <col min="772" max="772" width="11.1328125" style="162" bestFit="1" customWidth="1"/>
    <col min="773" max="773" width="15.6328125" style="162" customWidth="1"/>
    <col min="774" max="774" width="14" style="162" bestFit="1" customWidth="1"/>
    <col min="775" max="775" width="9.2265625" style="162" bestFit="1" customWidth="1"/>
    <col min="776" max="776" width="11.1328125" style="162" bestFit="1" customWidth="1"/>
    <col min="777" max="777" width="15.6328125" style="162" customWidth="1"/>
    <col min="778" max="778" width="14" style="162" bestFit="1" customWidth="1"/>
    <col min="779" max="779" width="9.2265625" style="162" bestFit="1" customWidth="1"/>
    <col min="780" max="780" width="11.1328125" style="162" bestFit="1" customWidth="1"/>
    <col min="781" max="781" width="15.6328125" style="162" customWidth="1"/>
    <col min="782" max="782" width="14" style="162" bestFit="1" customWidth="1"/>
    <col min="783" max="783" width="9.2265625" style="162" bestFit="1" customWidth="1"/>
    <col min="784" max="784" width="11.1328125" style="162" bestFit="1" customWidth="1"/>
    <col min="785" max="785" width="15.6328125" style="162" customWidth="1"/>
    <col min="786" max="786" width="14" style="162" bestFit="1" customWidth="1"/>
    <col min="787" max="787" width="9.2265625" style="162" bestFit="1" customWidth="1"/>
    <col min="788" max="788" width="11.1328125" style="162" bestFit="1" customWidth="1"/>
    <col min="789" max="789" width="15.6328125" style="162" customWidth="1"/>
    <col min="790" max="790" width="14" style="162" bestFit="1" customWidth="1"/>
    <col min="791" max="791" width="9.2265625" style="162" bestFit="1" customWidth="1"/>
    <col min="792" max="1024" width="9" style="162"/>
    <col min="1025" max="1025" width="7.2265625" style="162" bestFit="1" customWidth="1"/>
    <col min="1026" max="1026" width="9.2265625" style="162" bestFit="1" customWidth="1"/>
    <col min="1027" max="1027" width="27" style="162" bestFit="1" customWidth="1"/>
    <col min="1028" max="1028" width="11.1328125" style="162" bestFit="1" customWidth="1"/>
    <col min="1029" max="1029" width="15.6328125" style="162" customWidth="1"/>
    <col min="1030" max="1030" width="14" style="162" bestFit="1" customWidth="1"/>
    <col min="1031" max="1031" width="9.2265625" style="162" bestFit="1" customWidth="1"/>
    <col min="1032" max="1032" width="11.1328125" style="162" bestFit="1" customWidth="1"/>
    <col min="1033" max="1033" width="15.6328125" style="162" customWidth="1"/>
    <col min="1034" max="1034" width="14" style="162" bestFit="1" customWidth="1"/>
    <col min="1035" max="1035" width="9.2265625" style="162" bestFit="1" customWidth="1"/>
    <col min="1036" max="1036" width="11.1328125" style="162" bestFit="1" customWidth="1"/>
    <col min="1037" max="1037" width="15.6328125" style="162" customWidth="1"/>
    <col min="1038" max="1038" width="14" style="162" bestFit="1" customWidth="1"/>
    <col min="1039" max="1039" width="9.2265625" style="162" bestFit="1" customWidth="1"/>
    <col min="1040" max="1040" width="11.1328125" style="162" bestFit="1" customWidth="1"/>
    <col min="1041" max="1041" width="15.6328125" style="162" customWidth="1"/>
    <col min="1042" max="1042" width="14" style="162" bestFit="1" customWidth="1"/>
    <col min="1043" max="1043" width="9.2265625" style="162" bestFit="1" customWidth="1"/>
    <col min="1044" max="1044" width="11.1328125" style="162" bestFit="1" customWidth="1"/>
    <col min="1045" max="1045" width="15.6328125" style="162" customWidth="1"/>
    <col min="1046" max="1046" width="14" style="162" bestFit="1" customWidth="1"/>
    <col min="1047" max="1047" width="9.2265625" style="162" bestFit="1" customWidth="1"/>
    <col min="1048" max="1280" width="9" style="162"/>
    <col min="1281" max="1281" width="7.2265625" style="162" bestFit="1" customWidth="1"/>
    <col min="1282" max="1282" width="9.2265625" style="162" bestFit="1" customWidth="1"/>
    <col min="1283" max="1283" width="27" style="162" bestFit="1" customWidth="1"/>
    <col min="1284" max="1284" width="11.1328125" style="162" bestFit="1" customWidth="1"/>
    <col min="1285" max="1285" width="15.6328125" style="162" customWidth="1"/>
    <col min="1286" max="1286" width="14" style="162" bestFit="1" customWidth="1"/>
    <col min="1287" max="1287" width="9.2265625" style="162" bestFit="1" customWidth="1"/>
    <col min="1288" max="1288" width="11.1328125" style="162" bestFit="1" customWidth="1"/>
    <col min="1289" max="1289" width="15.6328125" style="162" customWidth="1"/>
    <col min="1290" max="1290" width="14" style="162" bestFit="1" customWidth="1"/>
    <col min="1291" max="1291" width="9.2265625" style="162" bestFit="1" customWidth="1"/>
    <col min="1292" max="1292" width="11.1328125" style="162" bestFit="1" customWidth="1"/>
    <col min="1293" max="1293" width="15.6328125" style="162" customWidth="1"/>
    <col min="1294" max="1294" width="14" style="162" bestFit="1" customWidth="1"/>
    <col min="1295" max="1295" width="9.2265625" style="162" bestFit="1" customWidth="1"/>
    <col min="1296" max="1296" width="11.1328125" style="162" bestFit="1" customWidth="1"/>
    <col min="1297" max="1297" width="15.6328125" style="162" customWidth="1"/>
    <col min="1298" max="1298" width="14" style="162" bestFit="1" customWidth="1"/>
    <col min="1299" max="1299" width="9.2265625" style="162" bestFit="1" customWidth="1"/>
    <col min="1300" max="1300" width="11.1328125" style="162" bestFit="1" customWidth="1"/>
    <col min="1301" max="1301" width="15.6328125" style="162" customWidth="1"/>
    <col min="1302" max="1302" width="14" style="162" bestFit="1" customWidth="1"/>
    <col min="1303" max="1303" width="9.2265625" style="162" bestFit="1" customWidth="1"/>
    <col min="1304" max="1536" width="9" style="162"/>
    <col min="1537" max="1537" width="7.2265625" style="162" bestFit="1" customWidth="1"/>
    <col min="1538" max="1538" width="9.2265625" style="162" bestFit="1" customWidth="1"/>
    <col min="1539" max="1539" width="27" style="162" bestFit="1" customWidth="1"/>
    <col min="1540" max="1540" width="11.1328125" style="162" bestFit="1" customWidth="1"/>
    <col min="1541" max="1541" width="15.6328125" style="162" customWidth="1"/>
    <col min="1542" max="1542" width="14" style="162" bestFit="1" customWidth="1"/>
    <col min="1543" max="1543" width="9.2265625" style="162" bestFit="1" customWidth="1"/>
    <col min="1544" max="1544" width="11.1328125" style="162" bestFit="1" customWidth="1"/>
    <col min="1545" max="1545" width="15.6328125" style="162" customWidth="1"/>
    <col min="1546" max="1546" width="14" style="162" bestFit="1" customWidth="1"/>
    <col min="1547" max="1547" width="9.2265625" style="162" bestFit="1" customWidth="1"/>
    <col min="1548" max="1548" width="11.1328125" style="162" bestFit="1" customWidth="1"/>
    <col min="1549" max="1549" width="15.6328125" style="162" customWidth="1"/>
    <col min="1550" max="1550" width="14" style="162" bestFit="1" customWidth="1"/>
    <col min="1551" max="1551" width="9.2265625" style="162" bestFit="1" customWidth="1"/>
    <col min="1552" max="1552" width="11.1328125" style="162" bestFit="1" customWidth="1"/>
    <col min="1553" max="1553" width="15.6328125" style="162" customWidth="1"/>
    <col min="1554" max="1554" width="14" style="162" bestFit="1" customWidth="1"/>
    <col min="1555" max="1555" width="9.2265625" style="162" bestFit="1" customWidth="1"/>
    <col min="1556" max="1556" width="11.1328125" style="162" bestFit="1" customWidth="1"/>
    <col min="1557" max="1557" width="15.6328125" style="162" customWidth="1"/>
    <col min="1558" max="1558" width="14" style="162" bestFit="1" customWidth="1"/>
    <col min="1559" max="1559" width="9.2265625" style="162" bestFit="1" customWidth="1"/>
    <col min="1560" max="1792" width="9" style="162"/>
    <col min="1793" max="1793" width="7.2265625" style="162" bestFit="1" customWidth="1"/>
    <col min="1794" max="1794" width="9.2265625" style="162" bestFit="1" customWidth="1"/>
    <col min="1795" max="1795" width="27" style="162" bestFit="1" customWidth="1"/>
    <col min="1796" max="1796" width="11.1328125" style="162" bestFit="1" customWidth="1"/>
    <col min="1797" max="1797" width="15.6328125" style="162" customWidth="1"/>
    <col min="1798" max="1798" width="14" style="162" bestFit="1" customWidth="1"/>
    <col min="1799" max="1799" width="9.2265625" style="162" bestFit="1" customWidth="1"/>
    <col min="1800" max="1800" width="11.1328125" style="162" bestFit="1" customWidth="1"/>
    <col min="1801" max="1801" width="15.6328125" style="162" customWidth="1"/>
    <col min="1802" max="1802" width="14" style="162" bestFit="1" customWidth="1"/>
    <col min="1803" max="1803" width="9.2265625" style="162" bestFit="1" customWidth="1"/>
    <col min="1804" max="1804" width="11.1328125" style="162" bestFit="1" customWidth="1"/>
    <col min="1805" max="1805" width="15.6328125" style="162" customWidth="1"/>
    <col min="1806" max="1806" width="14" style="162" bestFit="1" customWidth="1"/>
    <col min="1807" max="1807" width="9.2265625" style="162" bestFit="1" customWidth="1"/>
    <col min="1808" max="1808" width="11.1328125" style="162" bestFit="1" customWidth="1"/>
    <col min="1809" max="1809" width="15.6328125" style="162" customWidth="1"/>
    <col min="1810" max="1810" width="14" style="162" bestFit="1" customWidth="1"/>
    <col min="1811" max="1811" width="9.2265625" style="162" bestFit="1" customWidth="1"/>
    <col min="1812" max="1812" width="11.1328125" style="162" bestFit="1" customWidth="1"/>
    <col min="1813" max="1813" width="15.6328125" style="162" customWidth="1"/>
    <col min="1814" max="1814" width="14" style="162" bestFit="1" customWidth="1"/>
    <col min="1815" max="1815" width="9.2265625" style="162" bestFit="1" customWidth="1"/>
    <col min="1816" max="2048" width="9" style="162"/>
    <col min="2049" max="2049" width="7.2265625" style="162" bestFit="1" customWidth="1"/>
    <col min="2050" max="2050" width="9.2265625" style="162" bestFit="1" customWidth="1"/>
    <col min="2051" max="2051" width="27" style="162" bestFit="1" customWidth="1"/>
    <col min="2052" max="2052" width="11.1328125" style="162" bestFit="1" customWidth="1"/>
    <col min="2053" max="2053" width="15.6328125" style="162" customWidth="1"/>
    <col min="2054" max="2054" width="14" style="162" bestFit="1" customWidth="1"/>
    <col min="2055" max="2055" width="9.2265625" style="162" bestFit="1" customWidth="1"/>
    <col min="2056" max="2056" width="11.1328125" style="162" bestFit="1" customWidth="1"/>
    <col min="2057" max="2057" width="15.6328125" style="162" customWidth="1"/>
    <col min="2058" max="2058" width="14" style="162" bestFit="1" customWidth="1"/>
    <col min="2059" max="2059" width="9.2265625" style="162" bestFit="1" customWidth="1"/>
    <col min="2060" max="2060" width="11.1328125" style="162" bestFit="1" customWidth="1"/>
    <col min="2061" max="2061" width="15.6328125" style="162" customWidth="1"/>
    <col min="2062" max="2062" width="14" style="162" bestFit="1" customWidth="1"/>
    <col min="2063" max="2063" width="9.2265625" style="162" bestFit="1" customWidth="1"/>
    <col min="2064" max="2064" width="11.1328125" style="162" bestFit="1" customWidth="1"/>
    <col min="2065" max="2065" width="15.6328125" style="162" customWidth="1"/>
    <col min="2066" max="2066" width="14" style="162" bestFit="1" customWidth="1"/>
    <col min="2067" max="2067" width="9.2265625" style="162" bestFit="1" customWidth="1"/>
    <col min="2068" max="2068" width="11.1328125" style="162" bestFit="1" customWidth="1"/>
    <col min="2069" max="2069" width="15.6328125" style="162" customWidth="1"/>
    <col min="2070" max="2070" width="14" style="162" bestFit="1" customWidth="1"/>
    <col min="2071" max="2071" width="9.2265625" style="162" bestFit="1" customWidth="1"/>
    <col min="2072" max="2304" width="9" style="162"/>
    <col min="2305" max="2305" width="7.2265625" style="162" bestFit="1" customWidth="1"/>
    <col min="2306" max="2306" width="9.2265625" style="162" bestFit="1" customWidth="1"/>
    <col min="2307" max="2307" width="27" style="162" bestFit="1" customWidth="1"/>
    <col min="2308" max="2308" width="11.1328125" style="162" bestFit="1" customWidth="1"/>
    <col min="2309" max="2309" width="15.6328125" style="162" customWidth="1"/>
    <col min="2310" max="2310" width="14" style="162" bestFit="1" customWidth="1"/>
    <col min="2311" max="2311" width="9.2265625" style="162" bestFit="1" customWidth="1"/>
    <col min="2312" max="2312" width="11.1328125" style="162" bestFit="1" customWidth="1"/>
    <col min="2313" max="2313" width="15.6328125" style="162" customWidth="1"/>
    <col min="2314" max="2314" width="14" style="162" bestFit="1" customWidth="1"/>
    <col min="2315" max="2315" width="9.2265625" style="162" bestFit="1" customWidth="1"/>
    <col min="2316" max="2316" width="11.1328125" style="162" bestFit="1" customWidth="1"/>
    <col min="2317" max="2317" width="15.6328125" style="162" customWidth="1"/>
    <col min="2318" max="2318" width="14" style="162" bestFit="1" customWidth="1"/>
    <col min="2319" max="2319" width="9.2265625" style="162" bestFit="1" customWidth="1"/>
    <col min="2320" max="2320" width="11.1328125" style="162" bestFit="1" customWidth="1"/>
    <col min="2321" max="2321" width="15.6328125" style="162" customWidth="1"/>
    <col min="2322" max="2322" width="14" style="162" bestFit="1" customWidth="1"/>
    <col min="2323" max="2323" width="9.2265625" style="162" bestFit="1" customWidth="1"/>
    <col min="2324" max="2324" width="11.1328125" style="162" bestFit="1" customWidth="1"/>
    <col min="2325" max="2325" width="15.6328125" style="162" customWidth="1"/>
    <col min="2326" max="2326" width="14" style="162" bestFit="1" customWidth="1"/>
    <col min="2327" max="2327" width="9.2265625" style="162" bestFit="1" customWidth="1"/>
    <col min="2328" max="2560" width="9" style="162"/>
    <col min="2561" max="2561" width="7.2265625" style="162" bestFit="1" customWidth="1"/>
    <col min="2562" max="2562" width="9.2265625" style="162" bestFit="1" customWidth="1"/>
    <col min="2563" max="2563" width="27" style="162" bestFit="1" customWidth="1"/>
    <col min="2564" max="2564" width="11.1328125" style="162" bestFit="1" customWidth="1"/>
    <col min="2565" max="2565" width="15.6328125" style="162" customWidth="1"/>
    <col min="2566" max="2566" width="14" style="162" bestFit="1" customWidth="1"/>
    <col min="2567" max="2567" width="9.2265625" style="162" bestFit="1" customWidth="1"/>
    <col min="2568" max="2568" width="11.1328125" style="162" bestFit="1" customWidth="1"/>
    <col min="2569" max="2569" width="15.6328125" style="162" customWidth="1"/>
    <col min="2570" max="2570" width="14" style="162" bestFit="1" customWidth="1"/>
    <col min="2571" max="2571" width="9.2265625" style="162" bestFit="1" customWidth="1"/>
    <col min="2572" max="2572" width="11.1328125" style="162" bestFit="1" customWidth="1"/>
    <col min="2573" max="2573" width="15.6328125" style="162" customWidth="1"/>
    <col min="2574" max="2574" width="14" style="162" bestFit="1" customWidth="1"/>
    <col min="2575" max="2575" width="9.2265625" style="162" bestFit="1" customWidth="1"/>
    <col min="2576" max="2576" width="11.1328125" style="162" bestFit="1" customWidth="1"/>
    <col min="2577" max="2577" width="15.6328125" style="162" customWidth="1"/>
    <col min="2578" max="2578" width="14" style="162" bestFit="1" customWidth="1"/>
    <col min="2579" max="2579" width="9.2265625" style="162" bestFit="1" customWidth="1"/>
    <col min="2580" max="2580" width="11.1328125" style="162" bestFit="1" customWidth="1"/>
    <col min="2581" max="2581" width="15.6328125" style="162" customWidth="1"/>
    <col min="2582" max="2582" width="14" style="162" bestFit="1" customWidth="1"/>
    <col min="2583" max="2583" width="9.2265625" style="162" bestFit="1" customWidth="1"/>
    <col min="2584" max="2816" width="9" style="162"/>
    <col min="2817" max="2817" width="7.2265625" style="162" bestFit="1" customWidth="1"/>
    <col min="2818" max="2818" width="9.2265625" style="162" bestFit="1" customWidth="1"/>
    <col min="2819" max="2819" width="27" style="162" bestFit="1" customWidth="1"/>
    <col min="2820" max="2820" width="11.1328125" style="162" bestFit="1" customWidth="1"/>
    <col min="2821" max="2821" width="15.6328125" style="162" customWidth="1"/>
    <col min="2822" max="2822" width="14" style="162" bestFit="1" customWidth="1"/>
    <col min="2823" max="2823" width="9.2265625" style="162" bestFit="1" customWidth="1"/>
    <col min="2824" max="2824" width="11.1328125" style="162" bestFit="1" customWidth="1"/>
    <col min="2825" max="2825" width="15.6328125" style="162" customWidth="1"/>
    <col min="2826" max="2826" width="14" style="162" bestFit="1" customWidth="1"/>
    <col min="2827" max="2827" width="9.2265625" style="162" bestFit="1" customWidth="1"/>
    <col min="2828" max="2828" width="11.1328125" style="162" bestFit="1" customWidth="1"/>
    <col min="2829" max="2829" width="15.6328125" style="162" customWidth="1"/>
    <col min="2830" max="2830" width="14" style="162" bestFit="1" customWidth="1"/>
    <col min="2831" max="2831" width="9.2265625" style="162" bestFit="1" customWidth="1"/>
    <col min="2832" max="2832" width="11.1328125" style="162" bestFit="1" customWidth="1"/>
    <col min="2833" max="2833" width="15.6328125" style="162" customWidth="1"/>
    <col min="2834" max="2834" width="14" style="162" bestFit="1" customWidth="1"/>
    <col min="2835" max="2835" width="9.2265625" style="162" bestFit="1" customWidth="1"/>
    <col min="2836" max="2836" width="11.1328125" style="162" bestFit="1" customWidth="1"/>
    <col min="2837" max="2837" width="15.6328125" style="162" customWidth="1"/>
    <col min="2838" max="2838" width="14" style="162" bestFit="1" customWidth="1"/>
    <col min="2839" max="2839" width="9.2265625" style="162" bestFit="1" customWidth="1"/>
    <col min="2840" max="3072" width="9" style="162"/>
    <col min="3073" max="3073" width="7.2265625" style="162" bestFit="1" customWidth="1"/>
    <col min="3074" max="3074" width="9.2265625" style="162" bestFit="1" customWidth="1"/>
    <col min="3075" max="3075" width="27" style="162" bestFit="1" customWidth="1"/>
    <col min="3076" max="3076" width="11.1328125" style="162" bestFit="1" customWidth="1"/>
    <col min="3077" max="3077" width="15.6328125" style="162" customWidth="1"/>
    <col min="3078" max="3078" width="14" style="162" bestFit="1" customWidth="1"/>
    <col min="3079" max="3079" width="9.2265625" style="162" bestFit="1" customWidth="1"/>
    <col min="3080" max="3080" width="11.1328125" style="162" bestFit="1" customWidth="1"/>
    <col min="3081" max="3081" width="15.6328125" style="162" customWidth="1"/>
    <col min="3082" max="3082" width="14" style="162" bestFit="1" customWidth="1"/>
    <col min="3083" max="3083" width="9.2265625" style="162" bestFit="1" customWidth="1"/>
    <col min="3084" max="3084" width="11.1328125" style="162" bestFit="1" customWidth="1"/>
    <col min="3085" max="3085" width="15.6328125" style="162" customWidth="1"/>
    <col min="3086" max="3086" width="14" style="162" bestFit="1" customWidth="1"/>
    <col min="3087" max="3087" width="9.2265625" style="162" bestFit="1" customWidth="1"/>
    <col min="3088" max="3088" width="11.1328125" style="162" bestFit="1" customWidth="1"/>
    <col min="3089" max="3089" width="15.6328125" style="162" customWidth="1"/>
    <col min="3090" max="3090" width="14" style="162" bestFit="1" customWidth="1"/>
    <col min="3091" max="3091" width="9.2265625" style="162" bestFit="1" customWidth="1"/>
    <col min="3092" max="3092" width="11.1328125" style="162" bestFit="1" customWidth="1"/>
    <col min="3093" max="3093" width="15.6328125" style="162" customWidth="1"/>
    <col min="3094" max="3094" width="14" style="162" bestFit="1" customWidth="1"/>
    <col min="3095" max="3095" width="9.2265625" style="162" bestFit="1" customWidth="1"/>
    <col min="3096" max="3328" width="9" style="162"/>
    <col min="3329" max="3329" width="7.2265625" style="162" bestFit="1" customWidth="1"/>
    <col min="3330" max="3330" width="9.2265625" style="162" bestFit="1" customWidth="1"/>
    <col min="3331" max="3331" width="27" style="162" bestFit="1" customWidth="1"/>
    <col min="3332" max="3332" width="11.1328125" style="162" bestFit="1" customWidth="1"/>
    <col min="3333" max="3333" width="15.6328125" style="162" customWidth="1"/>
    <col min="3334" max="3334" width="14" style="162" bestFit="1" customWidth="1"/>
    <col min="3335" max="3335" width="9.2265625" style="162" bestFit="1" customWidth="1"/>
    <col min="3336" max="3336" width="11.1328125" style="162" bestFit="1" customWidth="1"/>
    <col min="3337" max="3337" width="15.6328125" style="162" customWidth="1"/>
    <col min="3338" max="3338" width="14" style="162" bestFit="1" customWidth="1"/>
    <col min="3339" max="3339" width="9.2265625" style="162" bestFit="1" customWidth="1"/>
    <col min="3340" max="3340" width="11.1328125" style="162" bestFit="1" customWidth="1"/>
    <col min="3341" max="3341" width="15.6328125" style="162" customWidth="1"/>
    <col min="3342" max="3342" width="14" style="162" bestFit="1" customWidth="1"/>
    <col min="3343" max="3343" width="9.2265625" style="162" bestFit="1" customWidth="1"/>
    <col min="3344" max="3344" width="11.1328125" style="162" bestFit="1" customWidth="1"/>
    <col min="3345" max="3345" width="15.6328125" style="162" customWidth="1"/>
    <col min="3346" max="3346" width="14" style="162" bestFit="1" customWidth="1"/>
    <col min="3347" max="3347" width="9.2265625" style="162" bestFit="1" customWidth="1"/>
    <col min="3348" max="3348" width="11.1328125" style="162" bestFit="1" customWidth="1"/>
    <col min="3349" max="3349" width="15.6328125" style="162" customWidth="1"/>
    <col min="3350" max="3350" width="14" style="162" bestFit="1" customWidth="1"/>
    <col min="3351" max="3351" width="9.2265625" style="162" bestFit="1" customWidth="1"/>
    <col min="3352" max="3584" width="9" style="162"/>
    <col min="3585" max="3585" width="7.2265625" style="162" bestFit="1" customWidth="1"/>
    <col min="3586" max="3586" width="9.2265625" style="162" bestFit="1" customWidth="1"/>
    <col min="3587" max="3587" width="27" style="162" bestFit="1" customWidth="1"/>
    <col min="3588" max="3588" width="11.1328125" style="162" bestFit="1" customWidth="1"/>
    <col min="3589" max="3589" width="15.6328125" style="162" customWidth="1"/>
    <col min="3590" max="3590" width="14" style="162" bestFit="1" customWidth="1"/>
    <col min="3591" max="3591" width="9.2265625" style="162" bestFit="1" customWidth="1"/>
    <col min="3592" max="3592" width="11.1328125" style="162" bestFit="1" customWidth="1"/>
    <col min="3593" max="3593" width="15.6328125" style="162" customWidth="1"/>
    <col min="3594" max="3594" width="14" style="162" bestFit="1" customWidth="1"/>
    <col min="3595" max="3595" width="9.2265625" style="162" bestFit="1" customWidth="1"/>
    <col min="3596" max="3596" width="11.1328125" style="162" bestFit="1" customWidth="1"/>
    <col min="3597" max="3597" width="15.6328125" style="162" customWidth="1"/>
    <col min="3598" max="3598" width="14" style="162" bestFit="1" customWidth="1"/>
    <col min="3599" max="3599" width="9.2265625" style="162" bestFit="1" customWidth="1"/>
    <col min="3600" max="3600" width="11.1328125" style="162" bestFit="1" customWidth="1"/>
    <col min="3601" max="3601" width="15.6328125" style="162" customWidth="1"/>
    <col min="3602" max="3602" width="14" style="162" bestFit="1" customWidth="1"/>
    <col min="3603" max="3603" width="9.2265625" style="162" bestFit="1" customWidth="1"/>
    <col min="3604" max="3604" width="11.1328125" style="162" bestFit="1" customWidth="1"/>
    <col min="3605" max="3605" width="15.6328125" style="162" customWidth="1"/>
    <col min="3606" max="3606" width="14" style="162" bestFit="1" customWidth="1"/>
    <col min="3607" max="3607" width="9.2265625" style="162" bestFit="1" customWidth="1"/>
    <col min="3608" max="3840" width="9" style="162"/>
    <col min="3841" max="3841" width="7.2265625" style="162" bestFit="1" customWidth="1"/>
    <col min="3842" max="3842" width="9.2265625" style="162" bestFit="1" customWidth="1"/>
    <col min="3843" max="3843" width="27" style="162" bestFit="1" customWidth="1"/>
    <col min="3844" max="3844" width="11.1328125" style="162" bestFit="1" customWidth="1"/>
    <col min="3845" max="3845" width="15.6328125" style="162" customWidth="1"/>
    <col min="3846" max="3846" width="14" style="162" bestFit="1" customWidth="1"/>
    <col min="3847" max="3847" width="9.2265625" style="162" bestFit="1" customWidth="1"/>
    <col min="3848" max="3848" width="11.1328125" style="162" bestFit="1" customWidth="1"/>
    <col min="3849" max="3849" width="15.6328125" style="162" customWidth="1"/>
    <col min="3850" max="3850" width="14" style="162" bestFit="1" customWidth="1"/>
    <col min="3851" max="3851" width="9.2265625" style="162" bestFit="1" customWidth="1"/>
    <col min="3852" max="3852" width="11.1328125" style="162" bestFit="1" customWidth="1"/>
    <col min="3853" max="3853" width="15.6328125" style="162" customWidth="1"/>
    <col min="3854" max="3854" width="14" style="162" bestFit="1" customWidth="1"/>
    <col min="3855" max="3855" width="9.2265625" style="162" bestFit="1" customWidth="1"/>
    <col min="3856" max="3856" width="11.1328125" style="162" bestFit="1" customWidth="1"/>
    <col min="3857" max="3857" width="15.6328125" style="162" customWidth="1"/>
    <col min="3858" max="3858" width="14" style="162" bestFit="1" customWidth="1"/>
    <col min="3859" max="3859" width="9.2265625" style="162" bestFit="1" customWidth="1"/>
    <col min="3860" max="3860" width="11.1328125" style="162" bestFit="1" customWidth="1"/>
    <col min="3861" max="3861" width="15.6328125" style="162" customWidth="1"/>
    <col min="3862" max="3862" width="14" style="162" bestFit="1" customWidth="1"/>
    <col min="3863" max="3863" width="9.2265625" style="162" bestFit="1" customWidth="1"/>
    <col min="3864" max="4096" width="9" style="162"/>
    <col min="4097" max="4097" width="7.2265625" style="162" bestFit="1" customWidth="1"/>
    <col min="4098" max="4098" width="9.2265625" style="162" bestFit="1" customWidth="1"/>
    <col min="4099" max="4099" width="27" style="162" bestFit="1" customWidth="1"/>
    <col min="4100" max="4100" width="11.1328125" style="162" bestFit="1" customWidth="1"/>
    <col min="4101" max="4101" width="15.6328125" style="162" customWidth="1"/>
    <col min="4102" max="4102" width="14" style="162" bestFit="1" customWidth="1"/>
    <col min="4103" max="4103" width="9.2265625" style="162" bestFit="1" customWidth="1"/>
    <col min="4104" max="4104" width="11.1328125" style="162" bestFit="1" customWidth="1"/>
    <col min="4105" max="4105" width="15.6328125" style="162" customWidth="1"/>
    <col min="4106" max="4106" width="14" style="162" bestFit="1" customWidth="1"/>
    <col min="4107" max="4107" width="9.2265625" style="162" bestFit="1" customWidth="1"/>
    <col min="4108" max="4108" width="11.1328125" style="162" bestFit="1" customWidth="1"/>
    <col min="4109" max="4109" width="15.6328125" style="162" customWidth="1"/>
    <col min="4110" max="4110" width="14" style="162" bestFit="1" customWidth="1"/>
    <col min="4111" max="4111" width="9.2265625" style="162" bestFit="1" customWidth="1"/>
    <col min="4112" max="4112" width="11.1328125" style="162" bestFit="1" customWidth="1"/>
    <col min="4113" max="4113" width="15.6328125" style="162" customWidth="1"/>
    <col min="4114" max="4114" width="14" style="162" bestFit="1" customWidth="1"/>
    <col min="4115" max="4115" width="9.2265625" style="162" bestFit="1" customWidth="1"/>
    <col min="4116" max="4116" width="11.1328125" style="162" bestFit="1" customWidth="1"/>
    <col min="4117" max="4117" width="15.6328125" style="162" customWidth="1"/>
    <col min="4118" max="4118" width="14" style="162" bestFit="1" customWidth="1"/>
    <col min="4119" max="4119" width="9.2265625" style="162" bestFit="1" customWidth="1"/>
    <col min="4120" max="4352" width="9" style="162"/>
    <col min="4353" max="4353" width="7.2265625" style="162" bestFit="1" customWidth="1"/>
    <col min="4354" max="4354" width="9.2265625" style="162" bestFit="1" customWidth="1"/>
    <col min="4355" max="4355" width="27" style="162" bestFit="1" customWidth="1"/>
    <col min="4356" max="4356" width="11.1328125" style="162" bestFit="1" customWidth="1"/>
    <col min="4357" max="4357" width="15.6328125" style="162" customWidth="1"/>
    <col min="4358" max="4358" width="14" style="162" bestFit="1" customWidth="1"/>
    <col min="4359" max="4359" width="9.2265625" style="162" bestFit="1" customWidth="1"/>
    <col min="4360" max="4360" width="11.1328125" style="162" bestFit="1" customWidth="1"/>
    <col min="4361" max="4361" width="15.6328125" style="162" customWidth="1"/>
    <col min="4362" max="4362" width="14" style="162" bestFit="1" customWidth="1"/>
    <col min="4363" max="4363" width="9.2265625" style="162" bestFit="1" customWidth="1"/>
    <col min="4364" max="4364" width="11.1328125" style="162" bestFit="1" customWidth="1"/>
    <col min="4365" max="4365" width="15.6328125" style="162" customWidth="1"/>
    <col min="4366" max="4366" width="14" style="162" bestFit="1" customWidth="1"/>
    <col min="4367" max="4367" width="9.2265625" style="162" bestFit="1" customWidth="1"/>
    <col min="4368" max="4368" width="11.1328125" style="162" bestFit="1" customWidth="1"/>
    <col min="4369" max="4369" width="15.6328125" style="162" customWidth="1"/>
    <col min="4370" max="4370" width="14" style="162" bestFit="1" customWidth="1"/>
    <col min="4371" max="4371" width="9.2265625" style="162" bestFit="1" customWidth="1"/>
    <col min="4372" max="4372" width="11.1328125" style="162" bestFit="1" customWidth="1"/>
    <col min="4373" max="4373" width="15.6328125" style="162" customWidth="1"/>
    <col min="4374" max="4374" width="14" style="162" bestFit="1" customWidth="1"/>
    <col min="4375" max="4375" width="9.2265625" style="162" bestFit="1" customWidth="1"/>
    <col min="4376" max="4608" width="9" style="162"/>
    <col min="4609" max="4609" width="7.2265625" style="162" bestFit="1" customWidth="1"/>
    <col min="4610" max="4610" width="9.2265625" style="162" bestFit="1" customWidth="1"/>
    <col min="4611" max="4611" width="27" style="162" bestFit="1" customWidth="1"/>
    <col min="4612" max="4612" width="11.1328125" style="162" bestFit="1" customWidth="1"/>
    <col min="4613" max="4613" width="15.6328125" style="162" customWidth="1"/>
    <col min="4614" max="4614" width="14" style="162" bestFit="1" customWidth="1"/>
    <col min="4615" max="4615" width="9.2265625" style="162" bestFit="1" customWidth="1"/>
    <col min="4616" max="4616" width="11.1328125" style="162" bestFit="1" customWidth="1"/>
    <col min="4617" max="4617" width="15.6328125" style="162" customWidth="1"/>
    <col min="4618" max="4618" width="14" style="162" bestFit="1" customWidth="1"/>
    <col min="4619" max="4619" width="9.2265625" style="162" bestFit="1" customWidth="1"/>
    <col min="4620" max="4620" width="11.1328125" style="162" bestFit="1" customWidth="1"/>
    <col min="4621" max="4621" width="15.6328125" style="162" customWidth="1"/>
    <col min="4622" max="4622" width="14" style="162" bestFit="1" customWidth="1"/>
    <col min="4623" max="4623" width="9.2265625" style="162" bestFit="1" customWidth="1"/>
    <col min="4624" max="4624" width="11.1328125" style="162" bestFit="1" customWidth="1"/>
    <col min="4625" max="4625" width="15.6328125" style="162" customWidth="1"/>
    <col min="4626" max="4626" width="14" style="162" bestFit="1" customWidth="1"/>
    <col min="4627" max="4627" width="9.2265625" style="162" bestFit="1" customWidth="1"/>
    <col min="4628" max="4628" width="11.1328125" style="162" bestFit="1" customWidth="1"/>
    <col min="4629" max="4629" width="15.6328125" style="162" customWidth="1"/>
    <col min="4630" max="4630" width="14" style="162" bestFit="1" customWidth="1"/>
    <col min="4631" max="4631" width="9.2265625" style="162" bestFit="1" customWidth="1"/>
    <col min="4632" max="4864" width="9" style="162"/>
    <col min="4865" max="4865" width="7.2265625" style="162" bestFit="1" customWidth="1"/>
    <col min="4866" max="4866" width="9.2265625" style="162" bestFit="1" customWidth="1"/>
    <col min="4867" max="4867" width="27" style="162" bestFit="1" customWidth="1"/>
    <col min="4868" max="4868" width="11.1328125" style="162" bestFit="1" customWidth="1"/>
    <col min="4869" max="4869" width="15.6328125" style="162" customWidth="1"/>
    <col min="4870" max="4870" width="14" style="162" bestFit="1" customWidth="1"/>
    <col min="4871" max="4871" width="9.2265625" style="162" bestFit="1" customWidth="1"/>
    <col min="4872" max="4872" width="11.1328125" style="162" bestFit="1" customWidth="1"/>
    <col min="4873" max="4873" width="15.6328125" style="162" customWidth="1"/>
    <col min="4874" max="4874" width="14" style="162" bestFit="1" customWidth="1"/>
    <col min="4875" max="4875" width="9.2265625" style="162" bestFit="1" customWidth="1"/>
    <col min="4876" max="4876" width="11.1328125" style="162" bestFit="1" customWidth="1"/>
    <col min="4877" max="4877" width="15.6328125" style="162" customWidth="1"/>
    <col min="4878" max="4878" width="14" style="162" bestFit="1" customWidth="1"/>
    <col min="4879" max="4879" width="9.2265625" style="162" bestFit="1" customWidth="1"/>
    <col min="4880" max="4880" width="11.1328125" style="162" bestFit="1" customWidth="1"/>
    <col min="4881" max="4881" width="15.6328125" style="162" customWidth="1"/>
    <col min="4882" max="4882" width="14" style="162" bestFit="1" customWidth="1"/>
    <col min="4883" max="4883" width="9.2265625" style="162" bestFit="1" customWidth="1"/>
    <col min="4884" max="4884" width="11.1328125" style="162" bestFit="1" customWidth="1"/>
    <col min="4885" max="4885" width="15.6328125" style="162" customWidth="1"/>
    <col min="4886" max="4886" width="14" style="162" bestFit="1" customWidth="1"/>
    <col min="4887" max="4887" width="9.2265625" style="162" bestFit="1" customWidth="1"/>
    <col min="4888" max="5120" width="9" style="162"/>
    <col min="5121" max="5121" width="7.2265625" style="162" bestFit="1" customWidth="1"/>
    <col min="5122" max="5122" width="9.2265625" style="162" bestFit="1" customWidth="1"/>
    <col min="5123" max="5123" width="27" style="162" bestFit="1" customWidth="1"/>
    <col min="5124" max="5124" width="11.1328125" style="162" bestFit="1" customWidth="1"/>
    <col min="5125" max="5125" width="15.6328125" style="162" customWidth="1"/>
    <col min="5126" max="5126" width="14" style="162" bestFit="1" customWidth="1"/>
    <col min="5127" max="5127" width="9.2265625" style="162" bestFit="1" customWidth="1"/>
    <col min="5128" max="5128" width="11.1328125" style="162" bestFit="1" customWidth="1"/>
    <col min="5129" max="5129" width="15.6328125" style="162" customWidth="1"/>
    <col min="5130" max="5130" width="14" style="162" bestFit="1" customWidth="1"/>
    <col min="5131" max="5131" width="9.2265625" style="162" bestFit="1" customWidth="1"/>
    <col min="5132" max="5132" width="11.1328125" style="162" bestFit="1" customWidth="1"/>
    <col min="5133" max="5133" width="15.6328125" style="162" customWidth="1"/>
    <col min="5134" max="5134" width="14" style="162" bestFit="1" customWidth="1"/>
    <col min="5135" max="5135" width="9.2265625" style="162" bestFit="1" customWidth="1"/>
    <col min="5136" max="5136" width="11.1328125" style="162" bestFit="1" customWidth="1"/>
    <col min="5137" max="5137" width="15.6328125" style="162" customWidth="1"/>
    <col min="5138" max="5138" width="14" style="162" bestFit="1" customWidth="1"/>
    <col min="5139" max="5139" width="9.2265625" style="162" bestFit="1" customWidth="1"/>
    <col min="5140" max="5140" width="11.1328125" style="162" bestFit="1" customWidth="1"/>
    <col min="5141" max="5141" width="15.6328125" style="162" customWidth="1"/>
    <col min="5142" max="5142" width="14" style="162" bestFit="1" customWidth="1"/>
    <col min="5143" max="5143" width="9.2265625" style="162" bestFit="1" customWidth="1"/>
    <col min="5144" max="5376" width="9" style="162"/>
    <col min="5377" max="5377" width="7.2265625" style="162" bestFit="1" customWidth="1"/>
    <col min="5378" max="5378" width="9.2265625" style="162" bestFit="1" customWidth="1"/>
    <col min="5379" max="5379" width="27" style="162" bestFit="1" customWidth="1"/>
    <col min="5380" max="5380" width="11.1328125" style="162" bestFit="1" customWidth="1"/>
    <col min="5381" max="5381" width="15.6328125" style="162" customWidth="1"/>
    <col min="5382" max="5382" width="14" style="162" bestFit="1" customWidth="1"/>
    <col min="5383" max="5383" width="9.2265625" style="162" bestFit="1" customWidth="1"/>
    <col min="5384" max="5384" width="11.1328125" style="162" bestFit="1" customWidth="1"/>
    <col min="5385" max="5385" width="15.6328125" style="162" customWidth="1"/>
    <col min="5386" max="5386" width="14" style="162" bestFit="1" customWidth="1"/>
    <col min="5387" max="5387" width="9.2265625" style="162" bestFit="1" customWidth="1"/>
    <col min="5388" max="5388" width="11.1328125" style="162" bestFit="1" customWidth="1"/>
    <col min="5389" max="5389" width="15.6328125" style="162" customWidth="1"/>
    <col min="5390" max="5390" width="14" style="162" bestFit="1" customWidth="1"/>
    <col min="5391" max="5391" width="9.2265625" style="162" bestFit="1" customWidth="1"/>
    <col min="5392" max="5392" width="11.1328125" style="162" bestFit="1" customWidth="1"/>
    <col min="5393" max="5393" width="15.6328125" style="162" customWidth="1"/>
    <col min="5394" max="5394" width="14" style="162" bestFit="1" customWidth="1"/>
    <col min="5395" max="5395" width="9.2265625" style="162" bestFit="1" customWidth="1"/>
    <col min="5396" max="5396" width="11.1328125" style="162" bestFit="1" customWidth="1"/>
    <col min="5397" max="5397" width="15.6328125" style="162" customWidth="1"/>
    <col min="5398" max="5398" width="14" style="162" bestFit="1" customWidth="1"/>
    <col min="5399" max="5399" width="9.2265625" style="162" bestFit="1" customWidth="1"/>
    <col min="5400" max="5632" width="9" style="162"/>
    <col min="5633" max="5633" width="7.2265625" style="162" bestFit="1" customWidth="1"/>
    <col min="5634" max="5634" width="9.2265625" style="162" bestFit="1" customWidth="1"/>
    <col min="5635" max="5635" width="27" style="162" bestFit="1" customWidth="1"/>
    <col min="5636" max="5636" width="11.1328125" style="162" bestFit="1" customWidth="1"/>
    <col min="5637" max="5637" width="15.6328125" style="162" customWidth="1"/>
    <col min="5638" max="5638" width="14" style="162" bestFit="1" customWidth="1"/>
    <col min="5639" max="5639" width="9.2265625" style="162" bestFit="1" customWidth="1"/>
    <col min="5640" max="5640" width="11.1328125" style="162" bestFit="1" customWidth="1"/>
    <col min="5641" max="5641" width="15.6328125" style="162" customWidth="1"/>
    <col min="5642" max="5642" width="14" style="162" bestFit="1" customWidth="1"/>
    <col min="5643" max="5643" width="9.2265625" style="162" bestFit="1" customWidth="1"/>
    <col min="5644" max="5644" width="11.1328125" style="162" bestFit="1" customWidth="1"/>
    <col min="5645" max="5645" width="15.6328125" style="162" customWidth="1"/>
    <col min="5646" max="5646" width="14" style="162" bestFit="1" customWidth="1"/>
    <col min="5647" max="5647" width="9.2265625" style="162" bestFit="1" customWidth="1"/>
    <col min="5648" max="5648" width="11.1328125" style="162" bestFit="1" customWidth="1"/>
    <col min="5649" max="5649" width="15.6328125" style="162" customWidth="1"/>
    <col min="5650" max="5650" width="14" style="162" bestFit="1" customWidth="1"/>
    <col min="5651" max="5651" width="9.2265625" style="162" bestFit="1" customWidth="1"/>
    <col min="5652" max="5652" width="11.1328125" style="162" bestFit="1" customWidth="1"/>
    <col min="5653" max="5653" width="15.6328125" style="162" customWidth="1"/>
    <col min="5654" max="5654" width="14" style="162" bestFit="1" customWidth="1"/>
    <col min="5655" max="5655" width="9.2265625" style="162" bestFit="1" customWidth="1"/>
    <col min="5656" max="5888" width="9" style="162"/>
    <col min="5889" max="5889" width="7.2265625" style="162" bestFit="1" customWidth="1"/>
    <col min="5890" max="5890" width="9.2265625" style="162" bestFit="1" customWidth="1"/>
    <col min="5891" max="5891" width="27" style="162" bestFit="1" customWidth="1"/>
    <col min="5892" max="5892" width="11.1328125" style="162" bestFit="1" customWidth="1"/>
    <col min="5893" max="5893" width="15.6328125" style="162" customWidth="1"/>
    <col min="5894" max="5894" width="14" style="162" bestFit="1" customWidth="1"/>
    <col min="5895" max="5895" width="9.2265625" style="162" bestFit="1" customWidth="1"/>
    <col min="5896" max="5896" width="11.1328125" style="162" bestFit="1" customWidth="1"/>
    <col min="5897" max="5897" width="15.6328125" style="162" customWidth="1"/>
    <col min="5898" max="5898" width="14" style="162" bestFit="1" customWidth="1"/>
    <col min="5899" max="5899" width="9.2265625" style="162" bestFit="1" customWidth="1"/>
    <col min="5900" max="5900" width="11.1328125" style="162" bestFit="1" customWidth="1"/>
    <col min="5901" max="5901" width="15.6328125" style="162" customWidth="1"/>
    <col min="5902" max="5902" width="14" style="162" bestFit="1" customWidth="1"/>
    <col min="5903" max="5903" width="9.2265625" style="162" bestFit="1" customWidth="1"/>
    <col min="5904" max="5904" width="11.1328125" style="162" bestFit="1" customWidth="1"/>
    <col min="5905" max="5905" width="15.6328125" style="162" customWidth="1"/>
    <col min="5906" max="5906" width="14" style="162" bestFit="1" customWidth="1"/>
    <col min="5907" max="5907" width="9.2265625" style="162" bestFit="1" customWidth="1"/>
    <col min="5908" max="5908" width="11.1328125" style="162" bestFit="1" customWidth="1"/>
    <col min="5909" max="5909" width="15.6328125" style="162" customWidth="1"/>
    <col min="5910" max="5910" width="14" style="162" bestFit="1" customWidth="1"/>
    <col min="5911" max="5911" width="9.2265625" style="162" bestFit="1" customWidth="1"/>
    <col min="5912" max="6144" width="9" style="162"/>
    <col min="6145" max="6145" width="7.2265625" style="162" bestFit="1" customWidth="1"/>
    <col min="6146" max="6146" width="9.2265625" style="162" bestFit="1" customWidth="1"/>
    <col min="6147" max="6147" width="27" style="162" bestFit="1" customWidth="1"/>
    <col min="6148" max="6148" width="11.1328125" style="162" bestFit="1" customWidth="1"/>
    <col min="6149" max="6149" width="15.6328125" style="162" customWidth="1"/>
    <col min="6150" max="6150" width="14" style="162" bestFit="1" customWidth="1"/>
    <col min="6151" max="6151" width="9.2265625" style="162" bestFit="1" customWidth="1"/>
    <col min="6152" max="6152" width="11.1328125" style="162" bestFit="1" customWidth="1"/>
    <col min="6153" max="6153" width="15.6328125" style="162" customWidth="1"/>
    <col min="6154" max="6154" width="14" style="162" bestFit="1" customWidth="1"/>
    <col min="6155" max="6155" width="9.2265625" style="162" bestFit="1" customWidth="1"/>
    <col min="6156" max="6156" width="11.1328125" style="162" bestFit="1" customWidth="1"/>
    <col min="6157" max="6157" width="15.6328125" style="162" customWidth="1"/>
    <col min="6158" max="6158" width="14" style="162" bestFit="1" customWidth="1"/>
    <col min="6159" max="6159" width="9.2265625" style="162" bestFit="1" customWidth="1"/>
    <col min="6160" max="6160" width="11.1328125" style="162" bestFit="1" customWidth="1"/>
    <col min="6161" max="6161" width="15.6328125" style="162" customWidth="1"/>
    <col min="6162" max="6162" width="14" style="162" bestFit="1" customWidth="1"/>
    <col min="6163" max="6163" width="9.2265625" style="162" bestFit="1" customWidth="1"/>
    <col min="6164" max="6164" width="11.1328125" style="162" bestFit="1" customWidth="1"/>
    <col min="6165" max="6165" width="15.6328125" style="162" customWidth="1"/>
    <col min="6166" max="6166" width="14" style="162" bestFit="1" customWidth="1"/>
    <col min="6167" max="6167" width="9.2265625" style="162" bestFit="1" customWidth="1"/>
    <col min="6168" max="6400" width="9" style="162"/>
    <col min="6401" max="6401" width="7.2265625" style="162" bestFit="1" customWidth="1"/>
    <col min="6402" max="6402" width="9.2265625" style="162" bestFit="1" customWidth="1"/>
    <col min="6403" max="6403" width="27" style="162" bestFit="1" customWidth="1"/>
    <col min="6404" max="6404" width="11.1328125" style="162" bestFit="1" customWidth="1"/>
    <col min="6405" max="6405" width="15.6328125" style="162" customWidth="1"/>
    <col min="6406" max="6406" width="14" style="162" bestFit="1" customWidth="1"/>
    <col min="6407" max="6407" width="9.2265625" style="162" bestFit="1" customWidth="1"/>
    <col min="6408" max="6408" width="11.1328125" style="162" bestFit="1" customWidth="1"/>
    <col min="6409" max="6409" width="15.6328125" style="162" customWidth="1"/>
    <col min="6410" max="6410" width="14" style="162" bestFit="1" customWidth="1"/>
    <col min="6411" max="6411" width="9.2265625" style="162" bestFit="1" customWidth="1"/>
    <col min="6412" max="6412" width="11.1328125" style="162" bestFit="1" customWidth="1"/>
    <col min="6413" max="6413" width="15.6328125" style="162" customWidth="1"/>
    <col min="6414" max="6414" width="14" style="162" bestFit="1" customWidth="1"/>
    <col min="6415" max="6415" width="9.2265625" style="162" bestFit="1" customWidth="1"/>
    <col min="6416" max="6416" width="11.1328125" style="162" bestFit="1" customWidth="1"/>
    <col min="6417" max="6417" width="15.6328125" style="162" customWidth="1"/>
    <col min="6418" max="6418" width="14" style="162" bestFit="1" customWidth="1"/>
    <col min="6419" max="6419" width="9.2265625" style="162" bestFit="1" customWidth="1"/>
    <col min="6420" max="6420" width="11.1328125" style="162" bestFit="1" customWidth="1"/>
    <col min="6421" max="6421" width="15.6328125" style="162" customWidth="1"/>
    <col min="6422" max="6422" width="14" style="162" bestFit="1" customWidth="1"/>
    <col min="6423" max="6423" width="9.2265625" style="162" bestFit="1" customWidth="1"/>
    <col min="6424" max="6656" width="9" style="162"/>
    <col min="6657" max="6657" width="7.2265625" style="162" bestFit="1" customWidth="1"/>
    <col min="6658" max="6658" width="9.2265625" style="162" bestFit="1" customWidth="1"/>
    <col min="6659" max="6659" width="27" style="162" bestFit="1" customWidth="1"/>
    <col min="6660" max="6660" width="11.1328125" style="162" bestFit="1" customWidth="1"/>
    <col min="6661" max="6661" width="15.6328125" style="162" customWidth="1"/>
    <col min="6662" max="6662" width="14" style="162" bestFit="1" customWidth="1"/>
    <col min="6663" max="6663" width="9.2265625" style="162" bestFit="1" customWidth="1"/>
    <col min="6664" max="6664" width="11.1328125" style="162" bestFit="1" customWidth="1"/>
    <col min="6665" max="6665" width="15.6328125" style="162" customWidth="1"/>
    <col min="6666" max="6666" width="14" style="162" bestFit="1" customWidth="1"/>
    <col min="6667" max="6667" width="9.2265625" style="162" bestFit="1" customWidth="1"/>
    <col min="6668" max="6668" width="11.1328125" style="162" bestFit="1" customWidth="1"/>
    <col min="6669" max="6669" width="15.6328125" style="162" customWidth="1"/>
    <col min="6670" max="6670" width="14" style="162" bestFit="1" customWidth="1"/>
    <col min="6671" max="6671" width="9.2265625" style="162" bestFit="1" customWidth="1"/>
    <col min="6672" max="6672" width="11.1328125" style="162" bestFit="1" customWidth="1"/>
    <col min="6673" max="6673" width="15.6328125" style="162" customWidth="1"/>
    <col min="6674" max="6674" width="14" style="162" bestFit="1" customWidth="1"/>
    <col min="6675" max="6675" width="9.2265625" style="162" bestFit="1" customWidth="1"/>
    <col min="6676" max="6676" width="11.1328125" style="162" bestFit="1" customWidth="1"/>
    <col min="6677" max="6677" width="15.6328125" style="162" customWidth="1"/>
    <col min="6678" max="6678" width="14" style="162" bestFit="1" customWidth="1"/>
    <col min="6679" max="6679" width="9.2265625" style="162" bestFit="1" customWidth="1"/>
    <col min="6680" max="6912" width="9" style="162"/>
    <col min="6913" max="6913" width="7.2265625" style="162" bestFit="1" customWidth="1"/>
    <col min="6914" max="6914" width="9.2265625" style="162" bestFit="1" customWidth="1"/>
    <col min="6915" max="6915" width="27" style="162" bestFit="1" customWidth="1"/>
    <col min="6916" max="6916" width="11.1328125" style="162" bestFit="1" customWidth="1"/>
    <col min="6917" max="6917" width="15.6328125" style="162" customWidth="1"/>
    <col min="6918" max="6918" width="14" style="162" bestFit="1" customWidth="1"/>
    <col min="6919" max="6919" width="9.2265625" style="162" bestFit="1" customWidth="1"/>
    <col min="6920" max="6920" width="11.1328125" style="162" bestFit="1" customWidth="1"/>
    <col min="6921" max="6921" width="15.6328125" style="162" customWidth="1"/>
    <col min="6922" max="6922" width="14" style="162" bestFit="1" customWidth="1"/>
    <col min="6923" max="6923" width="9.2265625" style="162" bestFit="1" customWidth="1"/>
    <col min="6924" max="6924" width="11.1328125" style="162" bestFit="1" customWidth="1"/>
    <col min="6925" max="6925" width="15.6328125" style="162" customWidth="1"/>
    <col min="6926" max="6926" width="14" style="162" bestFit="1" customWidth="1"/>
    <col min="6927" max="6927" width="9.2265625" style="162" bestFit="1" customWidth="1"/>
    <col min="6928" max="6928" width="11.1328125" style="162" bestFit="1" customWidth="1"/>
    <col min="6929" max="6929" width="15.6328125" style="162" customWidth="1"/>
    <col min="6930" max="6930" width="14" style="162" bestFit="1" customWidth="1"/>
    <col min="6931" max="6931" width="9.2265625" style="162" bestFit="1" customWidth="1"/>
    <col min="6932" max="6932" width="11.1328125" style="162" bestFit="1" customWidth="1"/>
    <col min="6933" max="6933" width="15.6328125" style="162" customWidth="1"/>
    <col min="6934" max="6934" width="14" style="162" bestFit="1" customWidth="1"/>
    <col min="6935" max="6935" width="9.2265625" style="162" bestFit="1" customWidth="1"/>
    <col min="6936" max="7168" width="9" style="162"/>
    <col min="7169" max="7169" width="7.2265625" style="162" bestFit="1" customWidth="1"/>
    <col min="7170" max="7170" width="9.2265625" style="162" bestFit="1" customWidth="1"/>
    <col min="7171" max="7171" width="27" style="162" bestFit="1" customWidth="1"/>
    <col min="7172" max="7172" width="11.1328125" style="162" bestFit="1" customWidth="1"/>
    <col min="7173" max="7173" width="15.6328125" style="162" customWidth="1"/>
    <col min="7174" max="7174" width="14" style="162" bestFit="1" customWidth="1"/>
    <col min="7175" max="7175" width="9.2265625" style="162" bestFit="1" customWidth="1"/>
    <col min="7176" max="7176" width="11.1328125" style="162" bestFit="1" customWidth="1"/>
    <col min="7177" max="7177" width="15.6328125" style="162" customWidth="1"/>
    <col min="7178" max="7178" width="14" style="162" bestFit="1" customWidth="1"/>
    <col min="7179" max="7179" width="9.2265625" style="162" bestFit="1" customWidth="1"/>
    <col min="7180" max="7180" width="11.1328125" style="162" bestFit="1" customWidth="1"/>
    <col min="7181" max="7181" width="15.6328125" style="162" customWidth="1"/>
    <col min="7182" max="7182" width="14" style="162" bestFit="1" customWidth="1"/>
    <col min="7183" max="7183" width="9.2265625" style="162" bestFit="1" customWidth="1"/>
    <col min="7184" max="7184" width="11.1328125" style="162" bestFit="1" customWidth="1"/>
    <col min="7185" max="7185" width="15.6328125" style="162" customWidth="1"/>
    <col min="7186" max="7186" width="14" style="162" bestFit="1" customWidth="1"/>
    <col min="7187" max="7187" width="9.2265625" style="162" bestFit="1" customWidth="1"/>
    <col min="7188" max="7188" width="11.1328125" style="162" bestFit="1" customWidth="1"/>
    <col min="7189" max="7189" width="15.6328125" style="162" customWidth="1"/>
    <col min="7190" max="7190" width="14" style="162" bestFit="1" customWidth="1"/>
    <col min="7191" max="7191" width="9.2265625" style="162" bestFit="1" customWidth="1"/>
    <col min="7192" max="7424" width="9" style="162"/>
    <col min="7425" max="7425" width="7.2265625" style="162" bestFit="1" customWidth="1"/>
    <col min="7426" max="7426" width="9.2265625" style="162" bestFit="1" customWidth="1"/>
    <col min="7427" max="7427" width="27" style="162" bestFit="1" customWidth="1"/>
    <col min="7428" max="7428" width="11.1328125" style="162" bestFit="1" customWidth="1"/>
    <col min="7429" max="7429" width="15.6328125" style="162" customWidth="1"/>
    <col min="7430" max="7430" width="14" style="162" bestFit="1" customWidth="1"/>
    <col min="7431" max="7431" width="9.2265625" style="162" bestFit="1" customWidth="1"/>
    <col min="7432" max="7432" width="11.1328125" style="162" bestFit="1" customWidth="1"/>
    <col min="7433" max="7433" width="15.6328125" style="162" customWidth="1"/>
    <col min="7434" max="7434" width="14" style="162" bestFit="1" customWidth="1"/>
    <col min="7435" max="7435" width="9.2265625" style="162" bestFit="1" customWidth="1"/>
    <col min="7436" max="7436" width="11.1328125" style="162" bestFit="1" customWidth="1"/>
    <col min="7437" max="7437" width="15.6328125" style="162" customWidth="1"/>
    <col min="7438" max="7438" width="14" style="162" bestFit="1" customWidth="1"/>
    <col min="7439" max="7439" width="9.2265625" style="162" bestFit="1" customWidth="1"/>
    <col min="7440" max="7440" width="11.1328125" style="162" bestFit="1" customWidth="1"/>
    <col min="7441" max="7441" width="15.6328125" style="162" customWidth="1"/>
    <col min="7442" max="7442" width="14" style="162" bestFit="1" customWidth="1"/>
    <col min="7443" max="7443" width="9.2265625" style="162" bestFit="1" customWidth="1"/>
    <col min="7444" max="7444" width="11.1328125" style="162" bestFit="1" customWidth="1"/>
    <col min="7445" max="7445" width="15.6328125" style="162" customWidth="1"/>
    <col min="7446" max="7446" width="14" style="162" bestFit="1" customWidth="1"/>
    <col min="7447" max="7447" width="9.2265625" style="162" bestFit="1" customWidth="1"/>
    <col min="7448" max="7680" width="9" style="162"/>
    <col min="7681" max="7681" width="7.2265625" style="162" bestFit="1" customWidth="1"/>
    <col min="7682" max="7682" width="9.2265625" style="162" bestFit="1" customWidth="1"/>
    <col min="7683" max="7683" width="27" style="162" bestFit="1" customWidth="1"/>
    <col min="7684" max="7684" width="11.1328125" style="162" bestFit="1" customWidth="1"/>
    <col min="7685" max="7685" width="15.6328125" style="162" customWidth="1"/>
    <col min="7686" max="7686" width="14" style="162" bestFit="1" customWidth="1"/>
    <col min="7687" max="7687" width="9.2265625" style="162" bestFit="1" customWidth="1"/>
    <col min="7688" max="7688" width="11.1328125" style="162" bestFit="1" customWidth="1"/>
    <col min="7689" max="7689" width="15.6328125" style="162" customWidth="1"/>
    <col min="7690" max="7690" width="14" style="162" bestFit="1" customWidth="1"/>
    <col min="7691" max="7691" width="9.2265625" style="162" bestFit="1" customWidth="1"/>
    <col min="7692" max="7692" width="11.1328125" style="162" bestFit="1" customWidth="1"/>
    <col min="7693" max="7693" width="15.6328125" style="162" customWidth="1"/>
    <col min="7694" max="7694" width="14" style="162" bestFit="1" customWidth="1"/>
    <col min="7695" max="7695" width="9.2265625" style="162" bestFit="1" customWidth="1"/>
    <col min="7696" max="7696" width="11.1328125" style="162" bestFit="1" customWidth="1"/>
    <col min="7697" max="7697" width="15.6328125" style="162" customWidth="1"/>
    <col min="7698" max="7698" width="14" style="162" bestFit="1" customWidth="1"/>
    <col min="7699" max="7699" width="9.2265625" style="162" bestFit="1" customWidth="1"/>
    <col min="7700" max="7700" width="11.1328125" style="162" bestFit="1" customWidth="1"/>
    <col min="7701" max="7701" width="15.6328125" style="162" customWidth="1"/>
    <col min="7702" max="7702" width="14" style="162" bestFit="1" customWidth="1"/>
    <col min="7703" max="7703" width="9.2265625" style="162" bestFit="1" customWidth="1"/>
    <col min="7704" max="7936" width="9" style="162"/>
    <col min="7937" max="7937" width="7.2265625" style="162" bestFit="1" customWidth="1"/>
    <col min="7938" max="7938" width="9.2265625" style="162" bestFit="1" customWidth="1"/>
    <col min="7939" max="7939" width="27" style="162" bestFit="1" customWidth="1"/>
    <col min="7940" max="7940" width="11.1328125" style="162" bestFit="1" customWidth="1"/>
    <col min="7941" max="7941" width="15.6328125" style="162" customWidth="1"/>
    <col min="7942" max="7942" width="14" style="162" bestFit="1" customWidth="1"/>
    <col min="7943" max="7943" width="9.2265625" style="162" bestFit="1" customWidth="1"/>
    <col min="7944" max="7944" width="11.1328125" style="162" bestFit="1" customWidth="1"/>
    <col min="7945" max="7945" width="15.6328125" style="162" customWidth="1"/>
    <col min="7946" max="7946" width="14" style="162" bestFit="1" customWidth="1"/>
    <col min="7947" max="7947" width="9.2265625" style="162" bestFit="1" customWidth="1"/>
    <col min="7948" max="7948" width="11.1328125" style="162" bestFit="1" customWidth="1"/>
    <col min="7949" max="7949" width="15.6328125" style="162" customWidth="1"/>
    <col min="7950" max="7950" width="14" style="162" bestFit="1" customWidth="1"/>
    <col min="7951" max="7951" width="9.2265625" style="162" bestFit="1" customWidth="1"/>
    <col min="7952" max="7952" width="11.1328125" style="162" bestFit="1" customWidth="1"/>
    <col min="7953" max="7953" width="15.6328125" style="162" customWidth="1"/>
    <col min="7954" max="7954" width="14" style="162" bestFit="1" customWidth="1"/>
    <col min="7955" max="7955" width="9.2265625" style="162" bestFit="1" customWidth="1"/>
    <col min="7956" max="7956" width="11.1328125" style="162" bestFit="1" customWidth="1"/>
    <col min="7957" max="7957" width="15.6328125" style="162" customWidth="1"/>
    <col min="7958" max="7958" width="14" style="162" bestFit="1" customWidth="1"/>
    <col min="7959" max="7959" width="9.2265625" style="162" bestFit="1" customWidth="1"/>
    <col min="7960" max="8192" width="9" style="162"/>
    <col min="8193" max="8193" width="7.2265625" style="162" bestFit="1" customWidth="1"/>
    <col min="8194" max="8194" width="9.2265625" style="162" bestFit="1" customWidth="1"/>
    <col min="8195" max="8195" width="27" style="162" bestFit="1" customWidth="1"/>
    <col min="8196" max="8196" width="11.1328125" style="162" bestFit="1" customWidth="1"/>
    <col min="8197" max="8197" width="15.6328125" style="162" customWidth="1"/>
    <col min="8198" max="8198" width="14" style="162" bestFit="1" customWidth="1"/>
    <col min="8199" max="8199" width="9.2265625" style="162" bestFit="1" customWidth="1"/>
    <col min="8200" max="8200" width="11.1328125" style="162" bestFit="1" customWidth="1"/>
    <col min="8201" max="8201" width="15.6328125" style="162" customWidth="1"/>
    <col min="8202" max="8202" width="14" style="162" bestFit="1" customWidth="1"/>
    <col min="8203" max="8203" width="9.2265625" style="162" bestFit="1" customWidth="1"/>
    <col min="8204" max="8204" width="11.1328125" style="162" bestFit="1" customWidth="1"/>
    <col min="8205" max="8205" width="15.6328125" style="162" customWidth="1"/>
    <col min="8206" max="8206" width="14" style="162" bestFit="1" customWidth="1"/>
    <col min="8207" max="8207" width="9.2265625" style="162" bestFit="1" customWidth="1"/>
    <col min="8208" max="8208" width="11.1328125" style="162" bestFit="1" customWidth="1"/>
    <col min="8209" max="8209" width="15.6328125" style="162" customWidth="1"/>
    <col min="8210" max="8210" width="14" style="162" bestFit="1" customWidth="1"/>
    <col min="8211" max="8211" width="9.2265625" style="162" bestFit="1" customWidth="1"/>
    <col min="8212" max="8212" width="11.1328125" style="162" bestFit="1" customWidth="1"/>
    <col min="8213" max="8213" width="15.6328125" style="162" customWidth="1"/>
    <col min="8214" max="8214" width="14" style="162" bestFit="1" customWidth="1"/>
    <col min="8215" max="8215" width="9.2265625" style="162" bestFit="1" customWidth="1"/>
    <col min="8216" max="8448" width="9" style="162"/>
    <col min="8449" max="8449" width="7.2265625" style="162" bestFit="1" customWidth="1"/>
    <col min="8450" max="8450" width="9.2265625" style="162" bestFit="1" customWidth="1"/>
    <col min="8451" max="8451" width="27" style="162" bestFit="1" customWidth="1"/>
    <col min="8452" max="8452" width="11.1328125" style="162" bestFit="1" customWidth="1"/>
    <col min="8453" max="8453" width="15.6328125" style="162" customWidth="1"/>
    <col min="8454" max="8454" width="14" style="162" bestFit="1" customWidth="1"/>
    <col min="8455" max="8455" width="9.2265625" style="162" bestFit="1" customWidth="1"/>
    <col min="8456" max="8456" width="11.1328125" style="162" bestFit="1" customWidth="1"/>
    <col min="8457" max="8457" width="15.6328125" style="162" customWidth="1"/>
    <col min="8458" max="8458" width="14" style="162" bestFit="1" customWidth="1"/>
    <col min="8459" max="8459" width="9.2265625" style="162" bestFit="1" customWidth="1"/>
    <col min="8460" max="8460" width="11.1328125" style="162" bestFit="1" customWidth="1"/>
    <col min="8461" max="8461" width="15.6328125" style="162" customWidth="1"/>
    <col min="8462" max="8462" width="14" style="162" bestFit="1" customWidth="1"/>
    <col min="8463" max="8463" width="9.2265625" style="162" bestFit="1" customWidth="1"/>
    <col min="8464" max="8464" width="11.1328125" style="162" bestFit="1" customWidth="1"/>
    <col min="8465" max="8465" width="15.6328125" style="162" customWidth="1"/>
    <col min="8466" max="8466" width="14" style="162" bestFit="1" customWidth="1"/>
    <col min="8467" max="8467" width="9.2265625" style="162" bestFit="1" customWidth="1"/>
    <col min="8468" max="8468" width="11.1328125" style="162" bestFit="1" customWidth="1"/>
    <col min="8469" max="8469" width="15.6328125" style="162" customWidth="1"/>
    <col min="8470" max="8470" width="14" style="162" bestFit="1" customWidth="1"/>
    <col min="8471" max="8471" width="9.2265625" style="162" bestFit="1" customWidth="1"/>
    <col min="8472" max="8704" width="9" style="162"/>
    <col min="8705" max="8705" width="7.2265625" style="162" bestFit="1" customWidth="1"/>
    <col min="8706" max="8706" width="9.2265625" style="162" bestFit="1" customWidth="1"/>
    <col min="8707" max="8707" width="27" style="162" bestFit="1" customWidth="1"/>
    <col min="8708" max="8708" width="11.1328125" style="162" bestFit="1" customWidth="1"/>
    <col min="8709" max="8709" width="15.6328125" style="162" customWidth="1"/>
    <col min="8710" max="8710" width="14" style="162" bestFit="1" customWidth="1"/>
    <col min="8711" max="8711" width="9.2265625" style="162" bestFit="1" customWidth="1"/>
    <col min="8712" max="8712" width="11.1328125" style="162" bestFit="1" customWidth="1"/>
    <col min="8713" max="8713" width="15.6328125" style="162" customWidth="1"/>
    <col min="8714" max="8714" width="14" style="162" bestFit="1" customWidth="1"/>
    <col min="8715" max="8715" width="9.2265625" style="162" bestFit="1" customWidth="1"/>
    <col min="8716" max="8716" width="11.1328125" style="162" bestFit="1" customWidth="1"/>
    <col min="8717" max="8717" width="15.6328125" style="162" customWidth="1"/>
    <col min="8718" max="8718" width="14" style="162" bestFit="1" customWidth="1"/>
    <col min="8719" max="8719" width="9.2265625" style="162" bestFit="1" customWidth="1"/>
    <col min="8720" max="8720" width="11.1328125" style="162" bestFit="1" customWidth="1"/>
    <col min="8721" max="8721" width="15.6328125" style="162" customWidth="1"/>
    <col min="8722" max="8722" width="14" style="162" bestFit="1" customWidth="1"/>
    <col min="8723" max="8723" width="9.2265625" style="162" bestFit="1" customWidth="1"/>
    <col min="8724" max="8724" width="11.1328125" style="162" bestFit="1" customWidth="1"/>
    <col min="8725" max="8725" width="15.6328125" style="162" customWidth="1"/>
    <col min="8726" max="8726" width="14" style="162" bestFit="1" customWidth="1"/>
    <col min="8727" max="8727" width="9.2265625" style="162" bestFit="1" customWidth="1"/>
    <col min="8728" max="8960" width="9" style="162"/>
    <col min="8961" max="8961" width="7.2265625" style="162" bestFit="1" customWidth="1"/>
    <col min="8962" max="8962" width="9.2265625" style="162" bestFit="1" customWidth="1"/>
    <col min="8963" max="8963" width="27" style="162" bestFit="1" customWidth="1"/>
    <col min="8964" max="8964" width="11.1328125" style="162" bestFit="1" customWidth="1"/>
    <col min="8965" max="8965" width="15.6328125" style="162" customWidth="1"/>
    <col min="8966" max="8966" width="14" style="162" bestFit="1" customWidth="1"/>
    <col min="8967" max="8967" width="9.2265625" style="162" bestFit="1" customWidth="1"/>
    <col min="8968" max="8968" width="11.1328125" style="162" bestFit="1" customWidth="1"/>
    <col min="8969" max="8969" width="15.6328125" style="162" customWidth="1"/>
    <col min="8970" max="8970" width="14" style="162" bestFit="1" customWidth="1"/>
    <col min="8971" max="8971" width="9.2265625" style="162" bestFit="1" customWidth="1"/>
    <col min="8972" max="8972" width="11.1328125" style="162" bestFit="1" customWidth="1"/>
    <col min="8973" max="8973" width="15.6328125" style="162" customWidth="1"/>
    <col min="8974" max="8974" width="14" style="162" bestFit="1" customWidth="1"/>
    <col min="8975" max="8975" width="9.2265625" style="162" bestFit="1" customWidth="1"/>
    <col min="8976" max="8976" width="11.1328125" style="162" bestFit="1" customWidth="1"/>
    <col min="8977" max="8977" width="15.6328125" style="162" customWidth="1"/>
    <col min="8978" max="8978" width="14" style="162" bestFit="1" customWidth="1"/>
    <col min="8979" max="8979" width="9.2265625" style="162" bestFit="1" customWidth="1"/>
    <col min="8980" max="8980" width="11.1328125" style="162" bestFit="1" customWidth="1"/>
    <col min="8981" max="8981" width="15.6328125" style="162" customWidth="1"/>
    <col min="8982" max="8982" width="14" style="162" bestFit="1" customWidth="1"/>
    <col min="8983" max="8983" width="9.2265625" style="162" bestFit="1" customWidth="1"/>
    <col min="8984" max="9216" width="9" style="162"/>
    <col min="9217" max="9217" width="7.2265625" style="162" bestFit="1" customWidth="1"/>
    <col min="9218" max="9218" width="9.2265625" style="162" bestFit="1" customWidth="1"/>
    <col min="9219" max="9219" width="27" style="162" bestFit="1" customWidth="1"/>
    <col min="9220" max="9220" width="11.1328125" style="162" bestFit="1" customWidth="1"/>
    <col min="9221" max="9221" width="15.6328125" style="162" customWidth="1"/>
    <col min="9222" max="9222" width="14" style="162" bestFit="1" customWidth="1"/>
    <col min="9223" max="9223" width="9.2265625" style="162" bestFit="1" customWidth="1"/>
    <col min="9224" max="9224" width="11.1328125" style="162" bestFit="1" customWidth="1"/>
    <col min="9225" max="9225" width="15.6328125" style="162" customWidth="1"/>
    <col min="9226" max="9226" width="14" style="162" bestFit="1" customWidth="1"/>
    <col min="9227" max="9227" width="9.2265625" style="162" bestFit="1" customWidth="1"/>
    <col min="9228" max="9228" width="11.1328125" style="162" bestFit="1" customWidth="1"/>
    <col min="9229" max="9229" width="15.6328125" style="162" customWidth="1"/>
    <col min="9230" max="9230" width="14" style="162" bestFit="1" customWidth="1"/>
    <col min="9231" max="9231" width="9.2265625" style="162" bestFit="1" customWidth="1"/>
    <col min="9232" max="9232" width="11.1328125" style="162" bestFit="1" customWidth="1"/>
    <col min="9233" max="9233" width="15.6328125" style="162" customWidth="1"/>
    <col min="9234" max="9234" width="14" style="162" bestFit="1" customWidth="1"/>
    <col min="9235" max="9235" width="9.2265625" style="162" bestFit="1" customWidth="1"/>
    <col min="9236" max="9236" width="11.1328125" style="162" bestFit="1" customWidth="1"/>
    <col min="9237" max="9237" width="15.6328125" style="162" customWidth="1"/>
    <col min="9238" max="9238" width="14" style="162" bestFit="1" customWidth="1"/>
    <col min="9239" max="9239" width="9.2265625" style="162" bestFit="1" customWidth="1"/>
    <col min="9240" max="9472" width="9" style="162"/>
    <col min="9473" max="9473" width="7.2265625" style="162" bestFit="1" customWidth="1"/>
    <col min="9474" max="9474" width="9.2265625" style="162" bestFit="1" customWidth="1"/>
    <col min="9475" max="9475" width="27" style="162" bestFit="1" customWidth="1"/>
    <col min="9476" max="9476" width="11.1328125" style="162" bestFit="1" customWidth="1"/>
    <col min="9477" max="9477" width="15.6328125" style="162" customWidth="1"/>
    <col min="9478" max="9478" width="14" style="162" bestFit="1" customWidth="1"/>
    <col min="9479" max="9479" width="9.2265625" style="162" bestFit="1" customWidth="1"/>
    <col min="9480" max="9480" width="11.1328125" style="162" bestFit="1" customWidth="1"/>
    <col min="9481" max="9481" width="15.6328125" style="162" customWidth="1"/>
    <col min="9482" max="9482" width="14" style="162" bestFit="1" customWidth="1"/>
    <col min="9483" max="9483" width="9.2265625" style="162" bestFit="1" customWidth="1"/>
    <col min="9484" max="9484" width="11.1328125" style="162" bestFit="1" customWidth="1"/>
    <col min="9485" max="9485" width="15.6328125" style="162" customWidth="1"/>
    <col min="9486" max="9486" width="14" style="162" bestFit="1" customWidth="1"/>
    <col min="9487" max="9487" width="9.2265625" style="162" bestFit="1" customWidth="1"/>
    <col min="9488" max="9488" width="11.1328125" style="162" bestFit="1" customWidth="1"/>
    <col min="9489" max="9489" width="15.6328125" style="162" customWidth="1"/>
    <col min="9490" max="9490" width="14" style="162" bestFit="1" customWidth="1"/>
    <col min="9491" max="9491" width="9.2265625" style="162" bestFit="1" customWidth="1"/>
    <col min="9492" max="9492" width="11.1328125" style="162" bestFit="1" customWidth="1"/>
    <col min="9493" max="9493" width="15.6328125" style="162" customWidth="1"/>
    <col min="9494" max="9494" width="14" style="162" bestFit="1" customWidth="1"/>
    <col min="9495" max="9495" width="9.2265625" style="162" bestFit="1" customWidth="1"/>
    <col min="9496" max="9728" width="9" style="162"/>
    <col min="9729" max="9729" width="7.2265625" style="162" bestFit="1" customWidth="1"/>
    <col min="9730" max="9730" width="9.2265625" style="162" bestFit="1" customWidth="1"/>
    <col min="9731" max="9731" width="27" style="162" bestFit="1" customWidth="1"/>
    <col min="9732" max="9732" width="11.1328125" style="162" bestFit="1" customWidth="1"/>
    <col min="9733" max="9733" width="15.6328125" style="162" customWidth="1"/>
    <col min="9734" max="9734" width="14" style="162" bestFit="1" customWidth="1"/>
    <col min="9735" max="9735" width="9.2265625" style="162" bestFit="1" customWidth="1"/>
    <col min="9736" max="9736" width="11.1328125" style="162" bestFit="1" customWidth="1"/>
    <col min="9737" max="9737" width="15.6328125" style="162" customWidth="1"/>
    <col min="9738" max="9738" width="14" style="162" bestFit="1" customWidth="1"/>
    <col min="9739" max="9739" width="9.2265625" style="162" bestFit="1" customWidth="1"/>
    <col min="9740" max="9740" width="11.1328125" style="162" bestFit="1" customWidth="1"/>
    <col min="9741" max="9741" width="15.6328125" style="162" customWidth="1"/>
    <col min="9742" max="9742" width="14" style="162" bestFit="1" customWidth="1"/>
    <col min="9743" max="9743" width="9.2265625" style="162" bestFit="1" customWidth="1"/>
    <col min="9744" max="9744" width="11.1328125" style="162" bestFit="1" customWidth="1"/>
    <col min="9745" max="9745" width="15.6328125" style="162" customWidth="1"/>
    <col min="9746" max="9746" width="14" style="162" bestFit="1" customWidth="1"/>
    <col min="9747" max="9747" width="9.2265625" style="162" bestFit="1" customWidth="1"/>
    <col min="9748" max="9748" width="11.1328125" style="162" bestFit="1" customWidth="1"/>
    <col min="9749" max="9749" width="15.6328125" style="162" customWidth="1"/>
    <col min="9750" max="9750" width="14" style="162" bestFit="1" customWidth="1"/>
    <col min="9751" max="9751" width="9.2265625" style="162" bestFit="1" customWidth="1"/>
    <col min="9752" max="9984" width="9" style="162"/>
    <col min="9985" max="9985" width="7.2265625" style="162" bestFit="1" customWidth="1"/>
    <col min="9986" max="9986" width="9.2265625" style="162" bestFit="1" customWidth="1"/>
    <col min="9987" max="9987" width="27" style="162" bestFit="1" customWidth="1"/>
    <col min="9988" max="9988" width="11.1328125" style="162" bestFit="1" customWidth="1"/>
    <col min="9989" max="9989" width="15.6328125" style="162" customWidth="1"/>
    <col min="9990" max="9990" width="14" style="162" bestFit="1" customWidth="1"/>
    <col min="9991" max="9991" width="9.2265625" style="162" bestFit="1" customWidth="1"/>
    <col min="9992" max="9992" width="11.1328125" style="162" bestFit="1" customWidth="1"/>
    <col min="9993" max="9993" width="15.6328125" style="162" customWidth="1"/>
    <col min="9994" max="9994" width="14" style="162" bestFit="1" customWidth="1"/>
    <col min="9995" max="9995" width="9.2265625" style="162" bestFit="1" customWidth="1"/>
    <col min="9996" max="9996" width="11.1328125" style="162" bestFit="1" customWidth="1"/>
    <col min="9997" max="9997" width="15.6328125" style="162" customWidth="1"/>
    <col min="9998" max="9998" width="14" style="162" bestFit="1" customWidth="1"/>
    <col min="9999" max="9999" width="9.2265625" style="162" bestFit="1" customWidth="1"/>
    <col min="10000" max="10000" width="11.1328125" style="162" bestFit="1" customWidth="1"/>
    <col min="10001" max="10001" width="15.6328125" style="162" customWidth="1"/>
    <col min="10002" max="10002" width="14" style="162" bestFit="1" customWidth="1"/>
    <col min="10003" max="10003" width="9.2265625" style="162" bestFit="1" customWidth="1"/>
    <col min="10004" max="10004" width="11.1328125" style="162" bestFit="1" customWidth="1"/>
    <col min="10005" max="10005" width="15.6328125" style="162" customWidth="1"/>
    <col min="10006" max="10006" width="14" style="162" bestFit="1" customWidth="1"/>
    <col min="10007" max="10007" width="9.2265625" style="162" bestFit="1" customWidth="1"/>
    <col min="10008" max="10240" width="9" style="162"/>
    <col min="10241" max="10241" width="7.2265625" style="162" bestFit="1" customWidth="1"/>
    <col min="10242" max="10242" width="9.2265625" style="162" bestFit="1" customWidth="1"/>
    <col min="10243" max="10243" width="27" style="162" bestFit="1" customWidth="1"/>
    <col min="10244" max="10244" width="11.1328125" style="162" bestFit="1" customWidth="1"/>
    <col min="10245" max="10245" width="15.6328125" style="162" customWidth="1"/>
    <col min="10246" max="10246" width="14" style="162" bestFit="1" customWidth="1"/>
    <col min="10247" max="10247" width="9.2265625" style="162" bestFit="1" customWidth="1"/>
    <col min="10248" max="10248" width="11.1328125" style="162" bestFit="1" customWidth="1"/>
    <col min="10249" max="10249" width="15.6328125" style="162" customWidth="1"/>
    <col min="10250" max="10250" width="14" style="162" bestFit="1" customWidth="1"/>
    <col min="10251" max="10251" width="9.2265625" style="162" bestFit="1" customWidth="1"/>
    <col min="10252" max="10252" width="11.1328125" style="162" bestFit="1" customWidth="1"/>
    <col min="10253" max="10253" width="15.6328125" style="162" customWidth="1"/>
    <col min="10254" max="10254" width="14" style="162" bestFit="1" customWidth="1"/>
    <col min="10255" max="10255" width="9.2265625" style="162" bestFit="1" customWidth="1"/>
    <col min="10256" max="10256" width="11.1328125" style="162" bestFit="1" customWidth="1"/>
    <col min="10257" max="10257" width="15.6328125" style="162" customWidth="1"/>
    <col min="10258" max="10258" width="14" style="162" bestFit="1" customWidth="1"/>
    <col min="10259" max="10259" width="9.2265625" style="162" bestFit="1" customWidth="1"/>
    <col min="10260" max="10260" width="11.1328125" style="162" bestFit="1" customWidth="1"/>
    <col min="10261" max="10261" width="15.6328125" style="162" customWidth="1"/>
    <col min="10262" max="10262" width="14" style="162" bestFit="1" customWidth="1"/>
    <col min="10263" max="10263" width="9.2265625" style="162" bestFit="1" customWidth="1"/>
    <col min="10264" max="10496" width="9" style="162"/>
    <col min="10497" max="10497" width="7.2265625" style="162" bestFit="1" customWidth="1"/>
    <col min="10498" max="10498" width="9.2265625" style="162" bestFit="1" customWidth="1"/>
    <col min="10499" max="10499" width="27" style="162" bestFit="1" customWidth="1"/>
    <col min="10500" max="10500" width="11.1328125" style="162" bestFit="1" customWidth="1"/>
    <col min="10501" max="10501" width="15.6328125" style="162" customWidth="1"/>
    <col min="10502" max="10502" width="14" style="162" bestFit="1" customWidth="1"/>
    <col min="10503" max="10503" width="9.2265625" style="162" bestFit="1" customWidth="1"/>
    <col min="10504" max="10504" width="11.1328125" style="162" bestFit="1" customWidth="1"/>
    <col min="10505" max="10505" width="15.6328125" style="162" customWidth="1"/>
    <col min="10506" max="10506" width="14" style="162" bestFit="1" customWidth="1"/>
    <col min="10507" max="10507" width="9.2265625" style="162" bestFit="1" customWidth="1"/>
    <col min="10508" max="10508" width="11.1328125" style="162" bestFit="1" customWidth="1"/>
    <col min="10509" max="10509" width="15.6328125" style="162" customWidth="1"/>
    <col min="10510" max="10510" width="14" style="162" bestFit="1" customWidth="1"/>
    <col min="10511" max="10511" width="9.2265625" style="162" bestFit="1" customWidth="1"/>
    <col min="10512" max="10512" width="11.1328125" style="162" bestFit="1" customWidth="1"/>
    <col min="10513" max="10513" width="15.6328125" style="162" customWidth="1"/>
    <col min="10514" max="10514" width="14" style="162" bestFit="1" customWidth="1"/>
    <col min="10515" max="10515" width="9.2265625" style="162" bestFit="1" customWidth="1"/>
    <col min="10516" max="10516" width="11.1328125" style="162" bestFit="1" customWidth="1"/>
    <col min="10517" max="10517" width="15.6328125" style="162" customWidth="1"/>
    <col min="10518" max="10518" width="14" style="162" bestFit="1" customWidth="1"/>
    <col min="10519" max="10519" width="9.2265625" style="162" bestFit="1" customWidth="1"/>
    <col min="10520" max="10752" width="9" style="162"/>
    <col min="10753" max="10753" width="7.2265625" style="162" bestFit="1" customWidth="1"/>
    <col min="10754" max="10754" width="9.2265625" style="162" bestFit="1" customWidth="1"/>
    <col min="10755" max="10755" width="27" style="162" bestFit="1" customWidth="1"/>
    <col min="10756" max="10756" width="11.1328125" style="162" bestFit="1" customWidth="1"/>
    <col min="10757" max="10757" width="15.6328125" style="162" customWidth="1"/>
    <col min="10758" max="10758" width="14" style="162" bestFit="1" customWidth="1"/>
    <col min="10759" max="10759" width="9.2265625" style="162" bestFit="1" customWidth="1"/>
    <col min="10760" max="10760" width="11.1328125" style="162" bestFit="1" customWidth="1"/>
    <col min="10761" max="10761" width="15.6328125" style="162" customWidth="1"/>
    <col min="10762" max="10762" width="14" style="162" bestFit="1" customWidth="1"/>
    <col min="10763" max="10763" width="9.2265625" style="162" bestFit="1" customWidth="1"/>
    <col min="10764" max="10764" width="11.1328125" style="162" bestFit="1" customWidth="1"/>
    <col min="10765" max="10765" width="15.6328125" style="162" customWidth="1"/>
    <col min="10766" max="10766" width="14" style="162" bestFit="1" customWidth="1"/>
    <col min="10767" max="10767" width="9.2265625" style="162" bestFit="1" customWidth="1"/>
    <col min="10768" max="10768" width="11.1328125" style="162" bestFit="1" customWidth="1"/>
    <col min="10769" max="10769" width="15.6328125" style="162" customWidth="1"/>
    <col min="10770" max="10770" width="14" style="162" bestFit="1" customWidth="1"/>
    <col min="10771" max="10771" width="9.2265625" style="162" bestFit="1" customWidth="1"/>
    <col min="10772" max="10772" width="11.1328125" style="162" bestFit="1" customWidth="1"/>
    <col min="10773" max="10773" width="15.6328125" style="162" customWidth="1"/>
    <col min="10774" max="10774" width="14" style="162" bestFit="1" customWidth="1"/>
    <col min="10775" max="10775" width="9.2265625" style="162" bestFit="1" customWidth="1"/>
    <col min="10776" max="11008" width="9" style="162"/>
    <col min="11009" max="11009" width="7.2265625" style="162" bestFit="1" customWidth="1"/>
    <col min="11010" max="11010" width="9.2265625" style="162" bestFit="1" customWidth="1"/>
    <col min="11011" max="11011" width="27" style="162" bestFit="1" customWidth="1"/>
    <col min="11012" max="11012" width="11.1328125" style="162" bestFit="1" customWidth="1"/>
    <col min="11013" max="11013" width="15.6328125" style="162" customWidth="1"/>
    <col min="11014" max="11014" width="14" style="162" bestFit="1" customWidth="1"/>
    <col min="11015" max="11015" width="9.2265625" style="162" bestFit="1" customWidth="1"/>
    <col min="11016" max="11016" width="11.1328125" style="162" bestFit="1" customWidth="1"/>
    <col min="11017" max="11017" width="15.6328125" style="162" customWidth="1"/>
    <col min="11018" max="11018" width="14" style="162" bestFit="1" customWidth="1"/>
    <col min="11019" max="11019" width="9.2265625" style="162" bestFit="1" customWidth="1"/>
    <col min="11020" max="11020" width="11.1328125" style="162" bestFit="1" customWidth="1"/>
    <col min="11021" max="11021" width="15.6328125" style="162" customWidth="1"/>
    <col min="11022" max="11022" width="14" style="162" bestFit="1" customWidth="1"/>
    <col min="11023" max="11023" width="9.2265625" style="162" bestFit="1" customWidth="1"/>
    <col min="11024" max="11024" width="11.1328125" style="162" bestFit="1" customWidth="1"/>
    <col min="11025" max="11025" width="15.6328125" style="162" customWidth="1"/>
    <col min="11026" max="11026" width="14" style="162" bestFit="1" customWidth="1"/>
    <col min="11027" max="11027" width="9.2265625" style="162" bestFit="1" customWidth="1"/>
    <col min="11028" max="11028" width="11.1328125" style="162" bestFit="1" customWidth="1"/>
    <col min="11029" max="11029" width="15.6328125" style="162" customWidth="1"/>
    <col min="11030" max="11030" width="14" style="162" bestFit="1" customWidth="1"/>
    <col min="11031" max="11031" width="9.2265625" style="162" bestFit="1" customWidth="1"/>
    <col min="11032" max="11264" width="9" style="162"/>
    <col min="11265" max="11265" width="7.2265625" style="162" bestFit="1" customWidth="1"/>
    <col min="11266" max="11266" width="9.2265625" style="162" bestFit="1" customWidth="1"/>
    <col min="11267" max="11267" width="27" style="162" bestFit="1" customWidth="1"/>
    <col min="11268" max="11268" width="11.1328125" style="162" bestFit="1" customWidth="1"/>
    <col min="11269" max="11269" width="15.6328125" style="162" customWidth="1"/>
    <col min="11270" max="11270" width="14" style="162" bestFit="1" customWidth="1"/>
    <col min="11271" max="11271" width="9.2265625" style="162" bestFit="1" customWidth="1"/>
    <col min="11272" max="11272" width="11.1328125" style="162" bestFit="1" customWidth="1"/>
    <col min="11273" max="11273" width="15.6328125" style="162" customWidth="1"/>
    <col min="11274" max="11274" width="14" style="162" bestFit="1" customWidth="1"/>
    <col min="11275" max="11275" width="9.2265625" style="162" bestFit="1" customWidth="1"/>
    <col min="11276" max="11276" width="11.1328125" style="162" bestFit="1" customWidth="1"/>
    <col min="11277" max="11277" width="15.6328125" style="162" customWidth="1"/>
    <col min="11278" max="11278" width="14" style="162" bestFit="1" customWidth="1"/>
    <col min="11279" max="11279" width="9.2265625" style="162" bestFit="1" customWidth="1"/>
    <col min="11280" max="11280" width="11.1328125" style="162" bestFit="1" customWidth="1"/>
    <col min="11281" max="11281" width="15.6328125" style="162" customWidth="1"/>
    <col min="11282" max="11282" width="14" style="162" bestFit="1" customWidth="1"/>
    <col min="11283" max="11283" width="9.2265625" style="162" bestFit="1" customWidth="1"/>
    <col min="11284" max="11284" width="11.1328125" style="162" bestFit="1" customWidth="1"/>
    <col min="11285" max="11285" width="15.6328125" style="162" customWidth="1"/>
    <col min="11286" max="11286" width="14" style="162" bestFit="1" customWidth="1"/>
    <col min="11287" max="11287" width="9.2265625" style="162" bestFit="1" customWidth="1"/>
    <col min="11288" max="11520" width="9" style="162"/>
    <col min="11521" max="11521" width="7.2265625" style="162" bestFit="1" customWidth="1"/>
    <col min="11522" max="11522" width="9.2265625" style="162" bestFit="1" customWidth="1"/>
    <col min="11523" max="11523" width="27" style="162" bestFit="1" customWidth="1"/>
    <col min="11524" max="11524" width="11.1328125" style="162" bestFit="1" customWidth="1"/>
    <col min="11525" max="11525" width="15.6328125" style="162" customWidth="1"/>
    <col min="11526" max="11526" width="14" style="162" bestFit="1" customWidth="1"/>
    <col min="11527" max="11527" width="9.2265625" style="162" bestFit="1" customWidth="1"/>
    <col min="11528" max="11528" width="11.1328125" style="162" bestFit="1" customWidth="1"/>
    <col min="11529" max="11529" width="15.6328125" style="162" customWidth="1"/>
    <col min="11530" max="11530" width="14" style="162" bestFit="1" customWidth="1"/>
    <col min="11531" max="11531" width="9.2265625" style="162" bestFit="1" customWidth="1"/>
    <col min="11532" max="11532" width="11.1328125" style="162" bestFit="1" customWidth="1"/>
    <col min="11533" max="11533" width="15.6328125" style="162" customWidth="1"/>
    <col min="11534" max="11534" width="14" style="162" bestFit="1" customWidth="1"/>
    <col min="11535" max="11535" width="9.2265625" style="162" bestFit="1" customWidth="1"/>
    <col min="11536" max="11536" width="11.1328125" style="162" bestFit="1" customWidth="1"/>
    <col min="11537" max="11537" width="15.6328125" style="162" customWidth="1"/>
    <col min="11538" max="11538" width="14" style="162" bestFit="1" customWidth="1"/>
    <col min="11539" max="11539" width="9.2265625" style="162" bestFit="1" customWidth="1"/>
    <col min="11540" max="11540" width="11.1328125" style="162" bestFit="1" customWidth="1"/>
    <col min="11541" max="11541" width="15.6328125" style="162" customWidth="1"/>
    <col min="11542" max="11542" width="14" style="162" bestFit="1" customWidth="1"/>
    <col min="11543" max="11543" width="9.2265625" style="162" bestFit="1" customWidth="1"/>
    <col min="11544" max="11776" width="9" style="162"/>
    <col min="11777" max="11777" width="7.2265625" style="162" bestFit="1" customWidth="1"/>
    <col min="11778" max="11778" width="9.2265625" style="162" bestFit="1" customWidth="1"/>
    <col min="11779" max="11779" width="27" style="162" bestFit="1" customWidth="1"/>
    <col min="11780" max="11780" width="11.1328125" style="162" bestFit="1" customWidth="1"/>
    <col min="11781" max="11781" width="15.6328125" style="162" customWidth="1"/>
    <col min="11782" max="11782" width="14" style="162" bestFit="1" customWidth="1"/>
    <col min="11783" max="11783" width="9.2265625" style="162" bestFit="1" customWidth="1"/>
    <col min="11784" max="11784" width="11.1328125" style="162" bestFit="1" customWidth="1"/>
    <col min="11785" max="11785" width="15.6328125" style="162" customWidth="1"/>
    <col min="11786" max="11786" width="14" style="162" bestFit="1" customWidth="1"/>
    <col min="11787" max="11787" width="9.2265625" style="162" bestFit="1" customWidth="1"/>
    <col min="11788" max="11788" width="11.1328125" style="162" bestFit="1" customWidth="1"/>
    <col min="11789" max="11789" width="15.6328125" style="162" customWidth="1"/>
    <col min="11790" max="11790" width="14" style="162" bestFit="1" customWidth="1"/>
    <col min="11791" max="11791" width="9.2265625" style="162" bestFit="1" customWidth="1"/>
    <col min="11792" max="11792" width="11.1328125" style="162" bestFit="1" customWidth="1"/>
    <col min="11793" max="11793" width="15.6328125" style="162" customWidth="1"/>
    <col min="11794" max="11794" width="14" style="162" bestFit="1" customWidth="1"/>
    <col min="11795" max="11795" width="9.2265625" style="162" bestFit="1" customWidth="1"/>
    <col min="11796" max="11796" width="11.1328125" style="162" bestFit="1" customWidth="1"/>
    <col min="11797" max="11797" width="15.6328125" style="162" customWidth="1"/>
    <col min="11798" max="11798" width="14" style="162" bestFit="1" customWidth="1"/>
    <col min="11799" max="11799" width="9.2265625" style="162" bestFit="1" customWidth="1"/>
    <col min="11800" max="12032" width="9" style="162"/>
    <col min="12033" max="12033" width="7.2265625" style="162" bestFit="1" customWidth="1"/>
    <col min="12034" max="12034" width="9.2265625" style="162" bestFit="1" customWidth="1"/>
    <col min="12035" max="12035" width="27" style="162" bestFit="1" customWidth="1"/>
    <col min="12036" max="12036" width="11.1328125" style="162" bestFit="1" customWidth="1"/>
    <col min="12037" max="12037" width="15.6328125" style="162" customWidth="1"/>
    <col min="12038" max="12038" width="14" style="162" bestFit="1" customWidth="1"/>
    <col min="12039" max="12039" width="9.2265625" style="162" bestFit="1" customWidth="1"/>
    <col min="12040" max="12040" width="11.1328125" style="162" bestFit="1" customWidth="1"/>
    <col min="12041" max="12041" width="15.6328125" style="162" customWidth="1"/>
    <col min="12042" max="12042" width="14" style="162" bestFit="1" customWidth="1"/>
    <col min="12043" max="12043" width="9.2265625" style="162" bestFit="1" customWidth="1"/>
    <col min="12044" max="12044" width="11.1328125" style="162" bestFit="1" customWidth="1"/>
    <col min="12045" max="12045" width="15.6328125" style="162" customWidth="1"/>
    <col min="12046" max="12046" width="14" style="162" bestFit="1" customWidth="1"/>
    <col min="12047" max="12047" width="9.2265625" style="162" bestFit="1" customWidth="1"/>
    <col min="12048" max="12048" width="11.1328125" style="162" bestFit="1" customWidth="1"/>
    <col min="12049" max="12049" width="15.6328125" style="162" customWidth="1"/>
    <col min="12050" max="12050" width="14" style="162" bestFit="1" customWidth="1"/>
    <col min="12051" max="12051" width="9.2265625" style="162" bestFit="1" customWidth="1"/>
    <col min="12052" max="12052" width="11.1328125" style="162" bestFit="1" customWidth="1"/>
    <col min="12053" max="12053" width="15.6328125" style="162" customWidth="1"/>
    <col min="12054" max="12054" width="14" style="162" bestFit="1" customWidth="1"/>
    <col min="12055" max="12055" width="9.2265625" style="162" bestFit="1" customWidth="1"/>
    <col min="12056" max="12288" width="9" style="162"/>
    <col min="12289" max="12289" width="7.2265625" style="162" bestFit="1" customWidth="1"/>
    <col min="12290" max="12290" width="9.2265625" style="162" bestFit="1" customWidth="1"/>
    <col min="12291" max="12291" width="27" style="162" bestFit="1" customWidth="1"/>
    <col min="12292" max="12292" width="11.1328125" style="162" bestFit="1" customWidth="1"/>
    <col min="12293" max="12293" width="15.6328125" style="162" customWidth="1"/>
    <col min="12294" max="12294" width="14" style="162" bestFit="1" customWidth="1"/>
    <col min="12295" max="12295" width="9.2265625" style="162" bestFit="1" customWidth="1"/>
    <col min="12296" max="12296" width="11.1328125" style="162" bestFit="1" customWidth="1"/>
    <col min="12297" max="12297" width="15.6328125" style="162" customWidth="1"/>
    <col min="12298" max="12298" width="14" style="162" bestFit="1" customWidth="1"/>
    <col min="12299" max="12299" width="9.2265625" style="162" bestFit="1" customWidth="1"/>
    <col min="12300" max="12300" width="11.1328125" style="162" bestFit="1" customWidth="1"/>
    <col min="12301" max="12301" width="15.6328125" style="162" customWidth="1"/>
    <col min="12302" max="12302" width="14" style="162" bestFit="1" customWidth="1"/>
    <col min="12303" max="12303" width="9.2265625" style="162" bestFit="1" customWidth="1"/>
    <col min="12304" max="12304" width="11.1328125" style="162" bestFit="1" customWidth="1"/>
    <col min="12305" max="12305" width="15.6328125" style="162" customWidth="1"/>
    <col min="12306" max="12306" width="14" style="162" bestFit="1" customWidth="1"/>
    <col min="12307" max="12307" width="9.2265625" style="162" bestFit="1" customWidth="1"/>
    <col min="12308" max="12308" width="11.1328125" style="162" bestFit="1" customWidth="1"/>
    <col min="12309" max="12309" width="15.6328125" style="162" customWidth="1"/>
    <col min="12310" max="12310" width="14" style="162" bestFit="1" customWidth="1"/>
    <col min="12311" max="12311" width="9.2265625" style="162" bestFit="1" customWidth="1"/>
    <col min="12312" max="12544" width="9" style="162"/>
    <col min="12545" max="12545" width="7.2265625" style="162" bestFit="1" customWidth="1"/>
    <col min="12546" max="12546" width="9.2265625" style="162" bestFit="1" customWidth="1"/>
    <col min="12547" max="12547" width="27" style="162" bestFit="1" customWidth="1"/>
    <col min="12548" max="12548" width="11.1328125" style="162" bestFit="1" customWidth="1"/>
    <col min="12549" max="12549" width="15.6328125" style="162" customWidth="1"/>
    <col min="12550" max="12550" width="14" style="162" bestFit="1" customWidth="1"/>
    <col min="12551" max="12551" width="9.2265625" style="162" bestFit="1" customWidth="1"/>
    <col min="12552" max="12552" width="11.1328125" style="162" bestFit="1" customWidth="1"/>
    <col min="12553" max="12553" width="15.6328125" style="162" customWidth="1"/>
    <col min="12554" max="12554" width="14" style="162" bestFit="1" customWidth="1"/>
    <col min="12555" max="12555" width="9.2265625" style="162" bestFit="1" customWidth="1"/>
    <col min="12556" max="12556" width="11.1328125" style="162" bestFit="1" customWidth="1"/>
    <col min="12557" max="12557" width="15.6328125" style="162" customWidth="1"/>
    <col min="12558" max="12558" width="14" style="162" bestFit="1" customWidth="1"/>
    <col min="12559" max="12559" width="9.2265625" style="162" bestFit="1" customWidth="1"/>
    <col min="12560" max="12560" width="11.1328125" style="162" bestFit="1" customWidth="1"/>
    <col min="12561" max="12561" width="15.6328125" style="162" customWidth="1"/>
    <col min="12562" max="12562" width="14" style="162" bestFit="1" customWidth="1"/>
    <col min="12563" max="12563" width="9.2265625" style="162" bestFit="1" customWidth="1"/>
    <col min="12564" max="12564" width="11.1328125" style="162" bestFit="1" customWidth="1"/>
    <col min="12565" max="12565" width="15.6328125" style="162" customWidth="1"/>
    <col min="12566" max="12566" width="14" style="162" bestFit="1" customWidth="1"/>
    <col min="12567" max="12567" width="9.2265625" style="162" bestFit="1" customWidth="1"/>
    <col min="12568" max="12800" width="9" style="162"/>
    <col min="12801" max="12801" width="7.2265625" style="162" bestFit="1" customWidth="1"/>
    <col min="12802" max="12802" width="9.2265625" style="162" bestFit="1" customWidth="1"/>
    <col min="12803" max="12803" width="27" style="162" bestFit="1" customWidth="1"/>
    <col min="12804" max="12804" width="11.1328125" style="162" bestFit="1" customWidth="1"/>
    <col min="12805" max="12805" width="15.6328125" style="162" customWidth="1"/>
    <col min="12806" max="12806" width="14" style="162" bestFit="1" customWidth="1"/>
    <col min="12807" max="12807" width="9.2265625" style="162" bestFit="1" customWidth="1"/>
    <col min="12808" max="12808" width="11.1328125" style="162" bestFit="1" customWidth="1"/>
    <col min="12809" max="12809" width="15.6328125" style="162" customWidth="1"/>
    <col min="12810" max="12810" width="14" style="162" bestFit="1" customWidth="1"/>
    <col min="12811" max="12811" width="9.2265625" style="162" bestFit="1" customWidth="1"/>
    <col min="12812" max="12812" width="11.1328125" style="162" bestFit="1" customWidth="1"/>
    <col min="12813" max="12813" width="15.6328125" style="162" customWidth="1"/>
    <col min="12814" max="12814" width="14" style="162" bestFit="1" customWidth="1"/>
    <col min="12815" max="12815" width="9.2265625" style="162" bestFit="1" customWidth="1"/>
    <col min="12816" max="12816" width="11.1328125" style="162" bestFit="1" customWidth="1"/>
    <col min="12817" max="12817" width="15.6328125" style="162" customWidth="1"/>
    <col min="12818" max="12818" width="14" style="162" bestFit="1" customWidth="1"/>
    <col min="12819" max="12819" width="9.2265625" style="162" bestFit="1" customWidth="1"/>
    <col min="12820" max="12820" width="11.1328125" style="162" bestFit="1" customWidth="1"/>
    <col min="12821" max="12821" width="15.6328125" style="162" customWidth="1"/>
    <col min="12822" max="12822" width="14" style="162" bestFit="1" customWidth="1"/>
    <col min="12823" max="12823" width="9.2265625" style="162" bestFit="1" customWidth="1"/>
    <col min="12824" max="13056" width="9" style="162"/>
    <col min="13057" max="13057" width="7.2265625" style="162" bestFit="1" customWidth="1"/>
    <col min="13058" max="13058" width="9.2265625" style="162" bestFit="1" customWidth="1"/>
    <col min="13059" max="13059" width="27" style="162" bestFit="1" customWidth="1"/>
    <col min="13060" max="13060" width="11.1328125" style="162" bestFit="1" customWidth="1"/>
    <col min="13061" max="13061" width="15.6328125" style="162" customWidth="1"/>
    <col min="13062" max="13062" width="14" style="162" bestFit="1" customWidth="1"/>
    <col min="13063" max="13063" width="9.2265625" style="162" bestFit="1" customWidth="1"/>
    <col min="13064" max="13064" width="11.1328125" style="162" bestFit="1" customWidth="1"/>
    <col min="13065" max="13065" width="15.6328125" style="162" customWidth="1"/>
    <col min="13066" max="13066" width="14" style="162" bestFit="1" customWidth="1"/>
    <col min="13067" max="13067" width="9.2265625" style="162" bestFit="1" customWidth="1"/>
    <col min="13068" max="13068" width="11.1328125" style="162" bestFit="1" customWidth="1"/>
    <col min="13069" max="13069" width="15.6328125" style="162" customWidth="1"/>
    <col min="13070" max="13070" width="14" style="162" bestFit="1" customWidth="1"/>
    <col min="13071" max="13071" width="9.2265625" style="162" bestFit="1" customWidth="1"/>
    <col min="13072" max="13072" width="11.1328125" style="162" bestFit="1" customWidth="1"/>
    <col min="13073" max="13073" width="15.6328125" style="162" customWidth="1"/>
    <col min="13074" max="13074" width="14" style="162" bestFit="1" customWidth="1"/>
    <col min="13075" max="13075" width="9.2265625" style="162" bestFit="1" customWidth="1"/>
    <col min="13076" max="13076" width="11.1328125" style="162" bestFit="1" customWidth="1"/>
    <col min="13077" max="13077" width="15.6328125" style="162" customWidth="1"/>
    <col min="13078" max="13078" width="14" style="162" bestFit="1" customWidth="1"/>
    <col min="13079" max="13079" width="9.2265625" style="162" bestFit="1" customWidth="1"/>
    <col min="13080" max="13312" width="9" style="162"/>
    <col min="13313" max="13313" width="7.2265625" style="162" bestFit="1" customWidth="1"/>
    <col min="13314" max="13314" width="9.2265625" style="162" bestFit="1" customWidth="1"/>
    <col min="13315" max="13315" width="27" style="162" bestFit="1" customWidth="1"/>
    <col min="13316" max="13316" width="11.1328125" style="162" bestFit="1" customWidth="1"/>
    <col min="13317" max="13317" width="15.6328125" style="162" customWidth="1"/>
    <col min="13318" max="13318" width="14" style="162" bestFit="1" customWidth="1"/>
    <col min="13319" max="13319" width="9.2265625" style="162" bestFit="1" customWidth="1"/>
    <col min="13320" max="13320" width="11.1328125" style="162" bestFit="1" customWidth="1"/>
    <col min="13321" max="13321" width="15.6328125" style="162" customWidth="1"/>
    <col min="13322" max="13322" width="14" style="162" bestFit="1" customWidth="1"/>
    <col min="13323" max="13323" width="9.2265625" style="162" bestFit="1" customWidth="1"/>
    <col min="13324" max="13324" width="11.1328125" style="162" bestFit="1" customWidth="1"/>
    <col min="13325" max="13325" width="15.6328125" style="162" customWidth="1"/>
    <col min="13326" max="13326" width="14" style="162" bestFit="1" customWidth="1"/>
    <col min="13327" max="13327" width="9.2265625" style="162" bestFit="1" customWidth="1"/>
    <col min="13328" max="13328" width="11.1328125" style="162" bestFit="1" customWidth="1"/>
    <col min="13329" max="13329" width="15.6328125" style="162" customWidth="1"/>
    <col min="13330" max="13330" width="14" style="162" bestFit="1" customWidth="1"/>
    <col min="13331" max="13331" width="9.2265625" style="162" bestFit="1" customWidth="1"/>
    <col min="13332" max="13332" width="11.1328125" style="162" bestFit="1" customWidth="1"/>
    <col min="13333" max="13333" width="15.6328125" style="162" customWidth="1"/>
    <col min="13334" max="13334" width="14" style="162" bestFit="1" customWidth="1"/>
    <col min="13335" max="13335" width="9.2265625" style="162" bestFit="1" customWidth="1"/>
    <col min="13336" max="13568" width="9" style="162"/>
    <col min="13569" max="13569" width="7.2265625" style="162" bestFit="1" customWidth="1"/>
    <col min="13570" max="13570" width="9.2265625" style="162" bestFit="1" customWidth="1"/>
    <col min="13571" max="13571" width="27" style="162" bestFit="1" customWidth="1"/>
    <col min="13572" max="13572" width="11.1328125" style="162" bestFit="1" customWidth="1"/>
    <col min="13573" max="13573" width="15.6328125" style="162" customWidth="1"/>
    <col min="13574" max="13574" width="14" style="162" bestFit="1" customWidth="1"/>
    <col min="13575" max="13575" width="9.2265625" style="162" bestFit="1" customWidth="1"/>
    <col min="13576" max="13576" width="11.1328125" style="162" bestFit="1" customWidth="1"/>
    <col min="13577" max="13577" width="15.6328125" style="162" customWidth="1"/>
    <col min="13578" max="13578" width="14" style="162" bestFit="1" customWidth="1"/>
    <col min="13579" max="13579" width="9.2265625" style="162" bestFit="1" customWidth="1"/>
    <col min="13580" max="13580" width="11.1328125" style="162" bestFit="1" customWidth="1"/>
    <col min="13581" max="13581" width="15.6328125" style="162" customWidth="1"/>
    <col min="13582" max="13582" width="14" style="162" bestFit="1" customWidth="1"/>
    <col min="13583" max="13583" width="9.2265625" style="162" bestFit="1" customWidth="1"/>
    <col min="13584" max="13584" width="11.1328125" style="162" bestFit="1" customWidth="1"/>
    <col min="13585" max="13585" width="15.6328125" style="162" customWidth="1"/>
    <col min="13586" max="13586" width="14" style="162" bestFit="1" customWidth="1"/>
    <col min="13587" max="13587" width="9.2265625" style="162" bestFit="1" customWidth="1"/>
    <col min="13588" max="13588" width="11.1328125" style="162" bestFit="1" customWidth="1"/>
    <col min="13589" max="13589" width="15.6328125" style="162" customWidth="1"/>
    <col min="13590" max="13590" width="14" style="162" bestFit="1" customWidth="1"/>
    <col min="13591" max="13591" width="9.2265625" style="162" bestFit="1" customWidth="1"/>
    <col min="13592" max="13824" width="9" style="162"/>
    <col min="13825" max="13825" width="7.2265625" style="162" bestFit="1" customWidth="1"/>
    <col min="13826" max="13826" width="9.2265625" style="162" bestFit="1" customWidth="1"/>
    <col min="13827" max="13827" width="27" style="162" bestFit="1" customWidth="1"/>
    <col min="13828" max="13828" width="11.1328125" style="162" bestFit="1" customWidth="1"/>
    <col min="13829" max="13829" width="15.6328125" style="162" customWidth="1"/>
    <col min="13830" max="13830" width="14" style="162" bestFit="1" customWidth="1"/>
    <col min="13831" max="13831" width="9.2265625" style="162" bestFit="1" customWidth="1"/>
    <col min="13832" max="13832" width="11.1328125" style="162" bestFit="1" customWidth="1"/>
    <col min="13833" max="13833" width="15.6328125" style="162" customWidth="1"/>
    <col min="13834" max="13834" width="14" style="162" bestFit="1" customWidth="1"/>
    <col min="13835" max="13835" width="9.2265625" style="162" bestFit="1" customWidth="1"/>
    <col min="13836" max="13836" width="11.1328125" style="162" bestFit="1" customWidth="1"/>
    <col min="13837" max="13837" width="15.6328125" style="162" customWidth="1"/>
    <col min="13838" max="13838" width="14" style="162" bestFit="1" customWidth="1"/>
    <col min="13839" max="13839" width="9.2265625" style="162" bestFit="1" customWidth="1"/>
    <col min="13840" max="13840" width="11.1328125" style="162" bestFit="1" customWidth="1"/>
    <col min="13841" max="13841" width="15.6328125" style="162" customWidth="1"/>
    <col min="13842" max="13842" width="14" style="162" bestFit="1" customWidth="1"/>
    <col min="13843" max="13843" width="9.2265625" style="162" bestFit="1" customWidth="1"/>
    <col min="13844" max="13844" width="11.1328125" style="162" bestFit="1" customWidth="1"/>
    <col min="13845" max="13845" width="15.6328125" style="162" customWidth="1"/>
    <col min="13846" max="13846" width="14" style="162" bestFit="1" customWidth="1"/>
    <col min="13847" max="13847" width="9.2265625" style="162" bestFit="1" customWidth="1"/>
    <col min="13848" max="14080" width="9" style="162"/>
    <col min="14081" max="14081" width="7.2265625" style="162" bestFit="1" customWidth="1"/>
    <col min="14082" max="14082" width="9.2265625" style="162" bestFit="1" customWidth="1"/>
    <col min="14083" max="14083" width="27" style="162" bestFit="1" customWidth="1"/>
    <col min="14084" max="14084" width="11.1328125" style="162" bestFit="1" customWidth="1"/>
    <col min="14085" max="14085" width="15.6328125" style="162" customWidth="1"/>
    <col min="14086" max="14086" width="14" style="162" bestFit="1" customWidth="1"/>
    <col min="14087" max="14087" width="9.2265625" style="162" bestFit="1" customWidth="1"/>
    <col min="14088" max="14088" width="11.1328125" style="162" bestFit="1" customWidth="1"/>
    <col min="14089" max="14089" width="15.6328125" style="162" customWidth="1"/>
    <col min="14090" max="14090" width="14" style="162" bestFit="1" customWidth="1"/>
    <col min="14091" max="14091" width="9.2265625" style="162" bestFit="1" customWidth="1"/>
    <col min="14092" max="14092" width="11.1328125" style="162" bestFit="1" customWidth="1"/>
    <col min="14093" max="14093" width="15.6328125" style="162" customWidth="1"/>
    <col min="14094" max="14094" width="14" style="162" bestFit="1" customWidth="1"/>
    <col min="14095" max="14095" width="9.2265625" style="162" bestFit="1" customWidth="1"/>
    <col min="14096" max="14096" width="11.1328125" style="162" bestFit="1" customWidth="1"/>
    <col min="14097" max="14097" width="15.6328125" style="162" customWidth="1"/>
    <col min="14098" max="14098" width="14" style="162" bestFit="1" customWidth="1"/>
    <col min="14099" max="14099" width="9.2265625" style="162" bestFit="1" customWidth="1"/>
    <col min="14100" max="14100" width="11.1328125" style="162" bestFit="1" customWidth="1"/>
    <col min="14101" max="14101" width="15.6328125" style="162" customWidth="1"/>
    <col min="14102" max="14102" width="14" style="162" bestFit="1" customWidth="1"/>
    <col min="14103" max="14103" width="9.2265625" style="162" bestFit="1" customWidth="1"/>
    <col min="14104" max="14336" width="9" style="162"/>
    <col min="14337" max="14337" width="7.2265625" style="162" bestFit="1" customWidth="1"/>
    <col min="14338" max="14338" width="9.2265625" style="162" bestFit="1" customWidth="1"/>
    <col min="14339" max="14339" width="27" style="162" bestFit="1" customWidth="1"/>
    <col min="14340" max="14340" width="11.1328125" style="162" bestFit="1" customWidth="1"/>
    <col min="14341" max="14341" width="15.6328125" style="162" customWidth="1"/>
    <col min="14342" max="14342" width="14" style="162" bestFit="1" customWidth="1"/>
    <col min="14343" max="14343" width="9.2265625" style="162" bestFit="1" customWidth="1"/>
    <col min="14344" max="14344" width="11.1328125" style="162" bestFit="1" customWidth="1"/>
    <col min="14345" max="14345" width="15.6328125" style="162" customWidth="1"/>
    <col min="14346" max="14346" width="14" style="162" bestFit="1" customWidth="1"/>
    <col min="14347" max="14347" width="9.2265625" style="162" bestFit="1" customWidth="1"/>
    <col min="14348" max="14348" width="11.1328125" style="162" bestFit="1" customWidth="1"/>
    <col min="14349" max="14349" width="15.6328125" style="162" customWidth="1"/>
    <col min="14350" max="14350" width="14" style="162" bestFit="1" customWidth="1"/>
    <col min="14351" max="14351" width="9.2265625" style="162" bestFit="1" customWidth="1"/>
    <col min="14352" max="14352" width="11.1328125" style="162" bestFit="1" customWidth="1"/>
    <col min="14353" max="14353" width="15.6328125" style="162" customWidth="1"/>
    <col min="14354" max="14354" width="14" style="162" bestFit="1" customWidth="1"/>
    <col min="14355" max="14355" width="9.2265625" style="162" bestFit="1" customWidth="1"/>
    <col min="14356" max="14356" width="11.1328125" style="162" bestFit="1" customWidth="1"/>
    <col min="14357" max="14357" width="15.6328125" style="162" customWidth="1"/>
    <col min="14358" max="14358" width="14" style="162" bestFit="1" customWidth="1"/>
    <col min="14359" max="14359" width="9.2265625" style="162" bestFit="1" customWidth="1"/>
    <col min="14360" max="14592" width="9" style="162"/>
    <col min="14593" max="14593" width="7.2265625" style="162" bestFit="1" customWidth="1"/>
    <col min="14594" max="14594" width="9.2265625" style="162" bestFit="1" customWidth="1"/>
    <col min="14595" max="14595" width="27" style="162" bestFit="1" customWidth="1"/>
    <col min="14596" max="14596" width="11.1328125" style="162" bestFit="1" customWidth="1"/>
    <col min="14597" max="14597" width="15.6328125" style="162" customWidth="1"/>
    <col min="14598" max="14598" width="14" style="162" bestFit="1" customWidth="1"/>
    <col min="14599" max="14599" width="9.2265625" style="162" bestFit="1" customWidth="1"/>
    <col min="14600" max="14600" width="11.1328125" style="162" bestFit="1" customWidth="1"/>
    <col min="14601" max="14601" width="15.6328125" style="162" customWidth="1"/>
    <col min="14602" max="14602" width="14" style="162" bestFit="1" customWidth="1"/>
    <col min="14603" max="14603" width="9.2265625" style="162" bestFit="1" customWidth="1"/>
    <col min="14604" max="14604" width="11.1328125" style="162" bestFit="1" customWidth="1"/>
    <col min="14605" max="14605" width="15.6328125" style="162" customWidth="1"/>
    <col min="14606" max="14606" width="14" style="162" bestFit="1" customWidth="1"/>
    <col min="14607" max="14607" width="9.2265625" style="162" bestFit="1" customWidth="1"/>
    <col min="14608" max="14608" width="11.1328125" style="162" bestFit="1" customWidth="1"/>
    <col min="14609" max="14609" width="15.6328125" style="162" customWidth="1"/>
    <col min="14610" max="14610" width="14" style="162" bestFit="1" customWidth="1"/>
    <col min="14611" max="14611" width="9.2265625" style="162" bestFit="1" customWidth="1"/>
    <col min="14612" max="14612" width="11.1328125" style="162" bestFit="1" customWidth="1"/>
    <col min="14613" max="14613" width="15.6328125" style="162" customWidth="1"/>
    <col min="14614" max="14614" width="14" style="162" bestFit="1" customWidth="1"/>
    <col min="14615" max="14615" width="9.2265625" style="162" bestFit="1" customWidth="1"/>
    <col min="14616" max="14848" width="9" style="162"/>
    <col min="14849" max="14849" width="7.2265625" style="162" bestFit="1" customWidth="1"/>
    <col min="14850" max="14850" width="9.2265625" style="162" bestFit="1" customWidth="1"/>
    <col min="14851" max="14851" width="27" style="162" bestFit="1" customWidth="1"/>
    <col min="14852" max="14852" width="11.1328125" style="162" bestFit="1" customWidth="1"/>
    <col min="14853" max="14853" width="15.6328125" style="162" customWidth="1"/>
    <col min="14854" max="14854" width="14" style="162" bestFit="1" customWidth="1"/>
    <col min="14855" max="14855" width="9.2265625" style="162" bestFit="1" customWidth="1"/>
    <col min="14856" max="14856" width="11.1328125" style="162" bestFit="1" customWidth="1"/>
    <col min="14857" max="14857" width="15.6328125" style="162" customWidth="1"/>
    <col min="14858" max="14858" width="14" style="162" bestFit="1" customWidth="1"/>
    <col min="14859" max="14859" width="9.2265625" style="162" bestFit="1" customWidth="1"/>
    <col min="14860" max="14860" width="11.1328125" style="162" bestFit="1" customWidth="1"/>
    <col min="14861" max="14861" width="15.6328125" style="162" customWidth="1"/>
    <col min="14862" max="14862" width="14" style="162" bestFit="1" customWidth="1"/>
    <col min="14863" max="14863" width="9.2265625" style="162" bestFit="1" customWidth="1"/>
    <col min="14864" max="14864" width="11.1328125" style="162" bestFit="1" customWidth="1"/>
    <col min="14865" max="14865" width="15.6328125" style="162" customWidth="1"/>
    <col min="14866" max="14866" width="14" style="162" bestFit="1" customWidth="1"/>
    <col min="14867" max="14867" width="9.2265625" style="162" bestFit="1" customWidth="1"/>
    <col min="14868" max="14868" width="11.1328125" style="162" bestFit="1" customWidth="1"/>
    <col min="14869" max="14869" width="15.6328125" style="162" customWidth="1"/>
    <col min="14870" max="14870" width="14" style="162" bestFit="1" customWidth="1"/>
    <col min="14871" max="14871" width="9.2265625" style="162" bestFit="1" customWidth="1"/>
    <col min="14872" max="15104" width="9" style="162"/>
    <col min="15105" max="15105" width="7.2265625" style="162" bestFit="1" customWidth="1"/>
    <col min="15106" max="15106" width="9.2265625" style="162" bestFit="1" customWidth="1"/>
    <col min="15107" max="15107" width="27" style="162" bestFit="1" customWidth="1"/>
    <col min="15108" max="15108" width="11.1328125" style="162" bestFit="1" customWidth="1"/>
    <col min="15109" max="15109" width="15.6328125" style="162" customWidth="1"/>
    <col min="15110" max="15110" width="14" style="162" bestFit="1" customWidth="1"/>
    <col min="15111" max="15111" width="9.2265625" style="162" bestFit="1" customWidth="1"/>
    <col min="15112" max="15112" width="11.1328125" style="162" bestFit="1" customWidth="1"/>
    <col min="15113" max="15113" width="15.6328125" style="162" customWidth="1"/>
    <col min="15114" max="15114" width="14" style="162" bestFit="1" customWidth="1"/>
    <col min="15115" max="15115" width="9.2265625" style="162" bestFit="1" customWidth="1"/>
    <col min="15116" max="15116" width="11.1328125" style="162" bestFit="1" customWidth="1"/>
    <col min="15117" max="15117" width="15.6328125" style="162" customWidth="1"/>
    <col min="15118" max="15118" width="14" style="162" bestFit="1" customWidth="1"/>
    <col min="15119" max="15119" width="9.2265625" style="162" bestFit="1" customWidth="1"/>
    <col min="15120" max="15120" width="11.1328125" style="162" bestFit="1" customWidth="1"/>
    <col min="15121" max="15121" width="15.6328125" style="162" customWidth="1"/>
    <col min="15122" max="15122" width="14" style="162" bestFit="1" customWidth="1"/>
    <col min="15123" max="15123" width="9.2265625" style="162" bestFit="1" customWidth="1"/>
    <col min="15124" max="15124" width="11.1328125" style="162" bestFit="1" customWidth="1"/>
    <col min="15125" max="15125" width="15.6328125" style="162" customWidth="1"/>
    <col min="15126" max="15126" width="14" style="162" bestFit="1" customWidth="1"/>
    <col min="15127" max="15127" width="9.2265625" style="162" bestFit="1" customWidth="1"/>
    <col min="15128" max="15360" width="9" style="162"/>
    <col min="15361" max="15361" width="7.2265625" style="162" bestFit="1" customWidth="1"/>
    <col min="15362" max="15362" width="9.2265625" style="162" bestFit="1" customWidth="1"/>
    <col min="15363" max="15363" width="27" style="162" bestFit="1" customWidth="1"/>
    <col min="15364" max="15364" width="11.1328125" style="162" bestFit="1" customWidth="1"/>
    <col min="15365" max="15365" width="15.6328125" style="162" customWidth="1"/>
    <col min="15366" max="15366" width="14" style="162" bestFit="1" customWidth="1"/>
    <col min="15367" max="15367" width="9.2265625" style="162" bestFit="1" customWidth="1"/>
    <col min="15368" max="15368" width="11.1328125" style="162" bestFit="1" customWidth="1"/>
    <col min="15369" max="15369" width="15.6328125" style="162" customWidth="1"/>
    <col min="15370" max="15370" width="14" style="162" bestFit="1" customWidth="1"/>
    <col min="15371" max="15371" width="9.2265625" style="162" bestFit="1" customWidth="1"/>
    <col min="15372" max="15372" width="11.1328125" style="162" bestFit="1" customWidth="1"/>
    <col min="15373" max="15373" width="15.6328125" style="162" customWidth="1"/>
    <col min="15374" max="15374" width="14" style="162" bestFit="1" customWidth="1"/>
    <col min="15375" max="15375" width="9.2265625" style="162" bestFit="1" customWidth="1"/>
    <col min="15376" max="15376" width="11.1328125" style="162" bestFit="1" customWidth="1"/>
    <col min="15377" max="15377" width="15.6328125" style="162" customWidth="1"/>
    <col min="15378" max="15378" width="14" style="162" bestFit="1" customWidth="1"/>
    <col min="15379" max="15379" width="9.2265625" style="162" bestFit="1" customWidth="1"/>
    <col min="15380" max="15380" width="11.1328125" style="162" bestFit="1" customWidth="1"/>
    <col min="15381" max="15381" width="15.6328125" style="162" customWidth="1"/>
    <col min="15382" max="15382" width="14" style="162" bestFit="1" customWidth="1"/>
    <col min="15383" max="15383" width="9.2265625" style="162" bestFit="1" customWidth="1"/>
    <col min="15384" max="15616" width="9" style="162"/>
    <col min="15617" max="15617" width="7.2265625" style="162" bestFit="1" customWidth="1"/>
    <col min="15618" max="15618" width="9.2265625" style="162" bestFit="1" customWidth="1"/>
    <col min="15619" max="15619" width="27" style="162" bestFit="1" customWidth="1"/>
    <col min="15620" max="15620" width="11.1328125" style="162" bestFit="1" customWidth="1"/>
    <col min="15621" max="15621" width="15.6328125" style="162" customWidth="1"/>
    <col min="15622" max="15622" width="14" style="162" bestFit="1" customWidth="1"/>
    <col min="15623" max="15623" width="9.2265625" style="162" bestFit="1" customWidth="1"/>
    <col min="15624" max="15624" width="11.1328125" style="162" bestFit="1" customWidth="1"/>
    <col min="15625" max="15625" width="15.6328125" style="162" customWidth="1"/>
    <col min="15626" max="15626" width="14" style="162" bestFit="1" customWidth="1"/>
    <col min="15627" max="15627" width="9.2265625" style="162" bestFit="1" customWidth="1"/>
    <col min="15628" max="15628" width="11.1328125" style="162" bestFit="1" customWidth="1"/>
    <col min="15629" max="15629" width="15.6328125" style="162" customWidth="1"/>
    <col min="15630" max="15630" width="14" style="162" bestFit="1" customWidth="1"/>
    <col min="15631" max="15631" width="9.2265625" style="162" bestFit="1" customWidth="1"/>
    <col min="15632" max="15632" width="11.1328125" style="162" bestFit="1" customWidth="1"/>
    <col min="15633" max="15633" width="15.6328125" style="162" customWidth="1"/>
    <col min="15634" max="15634" width="14" style="162" bestFit="1" customWidth="1"/>
    <col min="15635" max="15635" width="9.2265625" style="162" bestFit="1" customWidth="1"/>
    <col min="15636" max="15636" width="11.1328125" style="162" bestFit="1" customWidth="1"/>
    <col min="15637" max="15637" width="15.6328125" style="162" customWidth="1"/>
    <col min="15638" max="15638" width="14" style="162" bestFit="1" customWidth="1"/>
    <col min="15639" max="15639" width="9.2265625" style="162" bestFit="1" customWidth="1"/>
    <col min="15640" max="15872" width="9" style="162"/>
    <col min="15873" max="15873" width="7.2265625" style="162" bestFit="1" customWidth="1"/>
    <col min="15874" max="15874" width="9.2265625" style="162" bestFit="1" customWidth="1"/>
    <col min="15875" max="15875" width="27" style="162" bestFit="1" customWidth="1"/>
    <col min="15876" max="15876" width="11.1328125" style="162" bestFit="1" customWidth="1"/>
    <col min="15877" max="15877" width="15.6328125" style="162" customWidth="1"/>
    <col min="15878" max="15878" width="14" style="162" bestFit="1" customWidth="1"/>
    <col min="15879" max="15879" width="9.2265625" style="162" bestFit="1" customWidth="1"/>
    <col min="15880" max="15880" width="11.1328125" style="162" bestFit="1" customWidth="1"/>
    <col min="15881" max="15881" width="15.6328125" style="162" customWidth="1"/>
    <col min="15882" max="15882" width="14" style="162" bestFit="1" customWidth="1"/>
    <col min="15883" max="15883" width="9.2265625" style="162" bestFit="1" customWidth="1"/>
    <col min="15884" max="15884" width="11.1328125" style="162" bestFit="1" customWidth="1"/>
    <col min="15885" max="15885" width="15.6328125" style="162" customWidth="1"/>
    <col min="15886" max="15886" width="14" style="162" bestFit="1" customWidth="1"/>
    <col min="15887" max="15887" width="9.2265625" style="162" bestFit="1" customWidth="1"/>
    <col min="15888" max="15888" width="11.1328125" style="162" bestFit="1" customWidth="1"/>
    <col min="15889" max="15889" width="15.6328125" style="162" customWidth="1"/>
    <col min="15890" max="15890" width="14" style="162" bestFit="1" customWidth="1"/>
    <col min="15891" max="15891" width="9.2265625" style="162" bestFit="1" customWidth="1"/>
    <col min="15892" max="15892" width="11.1328125" style="162" bestFit="1" customWidth="1"/>
    <col min="15893" max="15893" width="15.6328125" style="162" customWidth="1"/>
    <col min="15894" max="15894" width="14" style="162" bestFit="1" customWidth="1"/>
    <col min="15895" max="15895" width="9.2265625" style="162" bestFit="1" customWidth="1"/>
    <col min="15896" max="16128" width="9" style="162"/>
    <col min="16129" max="16129" width="7.2265625" style="162" bestFit="1" customWidth="1"/>
    <col min="16130" max="16130" width="9.2265625" style="162" bestFit="1" customWidth="1"/>
    <col min="16131" max="16131" width="27" style="162" bestFit="1" customWidth="1"/>
    <col min="16132" max="16132" width="11.1328125" style="162" bestFit="1" customWidth="1"/>
    <col min="16133" max="16133" width="15.6328125" style="162" customWidth="1"/>
    <col min="16134" max="16134" width="14" style="162" bestFit="1" customWidth="1"/>
    <col min="16135" max="16135" width="9.2265625" style="162" bestFit="1" customWidth="1"/>
    <col min="16136" max="16136" width="11.1328125" style="162" bestFit="1" customWidth="1"/>
    <col min="16137" max="16137" width="15.6328125" style="162" customWidth="1"/>
    <col min="16138" max="16138" width="14" style="162" bestFit="1" customWidth="1"/>
    <col min="16139" max="16139" width="9.2265625" style="162" bestFit="1" customWidth="1"/>
    <col min="16140" max="16140" width="11.1328125" style="162" bestFit="1" customWidth="1"/>
    <col min="16141" max="16141" width="15.6328125" style="162" customWidth="1"/>
    <col min="16142" max="16142" width="14" style="162" bestFit="1" customWidth="1"/>
    <col min="16143" max="16143" width="9.2265625" style="162" bestFit="1" customWidth="1"/>
    <col min="16144" max="16144" width="11.1328125" style="162" bestFit="1" customWidth="1"/>
    <col min="16145" max="16145" width="15.6328125" style="162" customWidth="1"/>
    <col min="16146" max="16146" width="14" style="162" bestFit="1" customWidth="1"/>
    <col min="16147" max="16147" width="9.2265625" style="162" bestFit="1" customWidth="1"/>
    <col min="16148" max="16148" width="11.1328125" style="162" bestFit="1" customWidth="1"/>
    <col min="16149" max="16149" width="15.6328125" style="162" customWidth="1"/>
    <col min="16150" max="16150" width="14" style="162" bestFit="1" customWidth="1"/>
    <col min="16151" max="16151" width="9.2265625" style="162" bestFit="1" customWidth="1"/>
    <col min="16152" max="16384" width="9" style="162"/>
  </cols>
  <sheetData>
    <row r="1" spans="1:23" x14ac:dyDescent="0.45">
      <c r="A1" s="162" t="s">
        <v>2016</v>
      </c>
      <c r="B1" s="163" t="s">
        <v>2092</v>
      </c>
      <c r="C1" s="162" t="str">
        <f>大会要項!B3</f>
        <v>第12回 全日本不動産協会杯争奪U-12サッカー大会【ラビットカップ】大分県大会</v>
      </c>
    </row>
    <row r="2" spans="1:23" x14ac:dyDescent="0.45">
      <c r="C2" s="162" t="str">
        <f>大会要項!B15</f>
        <v>2023年(令和5年) 7月1日(土)・7月2日(日)</v>
      </c>
    </row>
    <row r="3" spans="1:23" s="165" customFormat="1" ht="16.25" thickBot="1" x14ac:dyDescent="0.6">
      <c r="D3" s="162" t="s">
        <v>2044</v>
      </c>
      <c r="H3" s="162" t="s">
        <v>2045</v>
      </c>
      <c r="L3" s="165" t="s">
        <v>2046</v>
      </c>
      <c r="P3" s="165" t="s">
        <v>165</v>
      </c>
      <c r="T3" s="165" t="s">
        <v>90</v>
      </c>
    </row>
    <row r="4" spans="1:23" ht="35.15" customHeight="1" thickBot="1" x14ac:dyDescent="0.6">
      <c r="A4" s="162" t="s">
        <v>2047</v>
      </c>
      <c r="B4" s="166" t="s">
        <v>2048</v>
      </c>
      <c r="C4" s="167" t="s">
        <v>4</v>
      </c>
      <c r="D4" s="166" t="s">
        <v>2049</v>
      </c>
      <c r="E4" s="168" t="s">
        <v>190</v>
      </c>
      <c r="F4" s="168" t="s">
        <v>196</v>
      </c>
      <c r="G4" s="169" t="s">
        <v>2050</v>
      </c>
      <c r="H4" s="166" t="s">
        <v>2049</v>
      </c>
      <c r="I4" s="168" t="s">
        <v>190</v>
      </c>
      <c r="J4" s="168" t="s">
        <v>196</v>
      </c>
      <c r="K4" s="169" t="s">
        <v>2050</v>
      </c>
      <c r="L4" s="166" t="s">
        <v>2049</v>
      </c>
      <c r="M4" s="168" t="s">
        <v>190</v>
      </c>
      <c r="N4" s="168" t="s">
        <v>196</v>
      </c>
      <c r="O4" s="169" t="s">
        <v>2050</v>
      </c>
      <c r="P4" s="166" t="s">
        <v>2049</v>
      </c>
      <c r="Q4" s="168" t="s">
        <v>190</v>
      </c>
      <c r="R4" s="168" t="s">
        <v>196</v>
      </c>
      <c r="S4" s="169" t="s">
        <v>2050</v>
      </c>
      <c r="T4" s="166" t="s">
        <v>2049</v>
      </c>
      <c r="U4" s="168" t="s">
        <v>190</v>
      </c>
      <c r="V4" s="168" t="s">
        <v>196</v>
      </c>
      <c r="W4" s="169" t="s">
        <v>2050</v>
      </c>
    </row>
    <row r="5" spans="1:23" ht="35.15" customHeight="1" x14ac:dyDescent="0.45">
      <c r="B5" s="552" t="s">
        <v>3</v>
      </c>
      <c r="C5" s="170" t="str">
        <f>抽選会資料!B11</f>
        <v>スマイス　セレソン　スポーツクラブＡ</v>
      </c>
      <c r="D5" s="429"/>
      <c r="E5" s="430" t="str">
        <f>IF(D5="","",VLOOKUP(CONCATENATE(C5,"_",D5),選手名簿!$A:$H,5,FALSE))</f>
        <v/>
      </c>
      <c r="F5" s="431"/>
      <c r="G5" s="432"/>
      <c r="H5" s="429"/>
      <c r="I5" s="430" t="str">
        <f>IF(H5="","",VLOOKUP(CONCATENATE(C5,"_",H5),選手名簿!$A:$H,5,FALSE))</f>
        <v/>
      </c>
      <c r="J5" s="431"/>
      <c r="K5" s="432"/>
      <c r="L5" s="429"/>
      <c r="M5" s="430" t="str">
        <f>IF(L5="","",VLOOKUP(CONCATENATE(C5,"_",L5),選手名簿!$A:$H,5,FALSE))</f>
        <v/>
      </c>
      <c r="N5" s="431"/>
      <c r="O5" s="432"/>
      <c r="P5" s="429"/>
      <c r="Q5" s="430" t="str">
        <f>IF(P5="","",VLOOKUP(CONCATENATE(C5,"_",P5),選手名簿!$A:$H,5,FALSE))</f>
        <v/>
      </c>
      <c r="R5" s="431"/>
      <c r="S5" s="432"/>
      <c r="T5" s="429"/>
      <c r="U5" s="430" t="str">
        <f>IF(T5="","",VLOOKUP(CONCATENATE(C5,"_",T5),選手名簿!$A:$H,5,FALSE))</f>
        <v/>
      </c>
      <c r="V5" s="431"/>
      <c r="W5" s="432"/>
    </row>
    <row r="6" spans="1:23" ht="35.15" customHeight="1" x14ac:dyDescent="0.45">
      <c r="B6" s="553"/>
      <c r="C6" s="171" t="str">
        <f>抽選会資料!B12</f>
        <v>ＫＩＮＧＳ　ＦＯＯＴＢＡＬＬＣＬＵＢ　Ｕ－１２</v>
      </c>
      <c r="D6" s="429"/>
      <c r="E6" s="430" t="str">
        <f>IF(D6="","",VLOOKUP(CONCATENATE(C6,"_",D6),選手名簿!$A:$H,5,FALSE))</f>
        <v/>
      </c>
      <c r="F6" s="431"/>
      <c r="G6" s="432"/>
      <c r="H6" s="429"/>
      <c r="I6" s="430" t="str">
        <f>IF(H6="","",VLOOKUP(CONCATENATE(C6,"_",H6),選手名簿!$A:$H,5,FALSE))</f>
        <v/>
      </c>
      <c r="J6" s="431"/>
      <c r="K6" s="432"/>
      <c r="L6" s="429"/>
      <c r="M6" s="430" t="str">
        <f>IF(L6="","",VLOOKUP(CONCATENATE(C6,"_",L6),選手名簿!$A:$H,5,FALSE))</f>
        <v/>
      </c>
      <c r="N6" s="431"/>
      <c r="O6" s="432"/>
      <c r="P6" s="429"/>
      <c r="Q6" s="430" t="str">
        <f>IF(P6="","",VLOOKUP(CONCATENATE(C6,"_",P6),選手名簿!$A:$H,5,FALSE))</f>
        <v/>
      </c>
      <c r="R6" s="431"/>
      <c r="S6" s="432"/>
      <c r="T6" s="429"/>
      <c r="U6" s="430" t="str">
        <f>IF(T6="","",VLOOKUP(CONCATENATE(C6,"_",T6),選手名簿!$A:$H,5,FALSE))</f>
        <v/>
      </c>
      <c r="V6" s="431"/>
      <c r="W6" s="432"/>
    </row>
    <row r="7" spans="1:23" ht="35.15" customHeight="1" x14ac:dyDescent="0.45">
      <c r="B7" s="553"/>
      <c r="C7" s="171" t="str">
        <f>抽選会資料!B13</f>
        <v>金池長浜サッカースポーツ少年団</v>
      </c>
      <c r="D7" s="429"/>
      <c r="E7" s="430" t="str">
        <f>IF(D7="","",VLOOKUP(CONCATENATE(C7,"_",D7),選手名簿!$A:$H,5,FALSE))</f>
        <v/>
      </c>
      <c r="F7" s="431"/>
      <c r="G7" s="432"/>
      <c r="H7" s="429"/>
      <c r="I7" s="430" t="str">
        <f>IF(H7="","",VLOOKUP(CONCATENATE(C7,"_",H7),選手名簿!$A:$H,5,FALSE))</f>
        <v/>
      </c>
      <c r="J7" s="431"/>
      <c r="K7" s="432"/>
      <c r="L7" s="429"/>
      <c r="M7" s="430" t="str">
        <f>IF(L7="","",VLOOKUP(CONCATENATE(C7,"_",L7),選手名簿!$A:$H,5,FALSE))</f>
        <v/>
      </c>
      <c r="N7" s="431"/>
      <c r="O7" s="432"/>
      <c r="P7" s="429"/>
      <c r="Q7" s="430" t="str">
        <f>IF(P7="","",VLOOKUP(CONCATENATE(C7,"_",P7),選手名簿!$A:$H,5,FALSE))</f>
        <v/>
      </c>
      <c r="R7" s="431"/>
      <c r="S7" s="432"/>
      <c r="T7" s="429"/>
      <c r="U7" s="430" t="str">
        <f>IF(T7="","",VLOOKUP(CONCATENATE(C7,"_",T7),選手名簿!$A:$H,5,FALSE))</f>
        <v/>
      </c>
      <c r="V7" s="431"/>
      <c r="W7" s="432"/>
    </row>
    <row r="8" spans="1:23" ht="35.15" customHeight="1" x14ac:dyDescent="0.45">
      <c r="B8" s="553"/>
      <c r="C8" s="171" t="str">
        <f>抽選会資料!B14</f>
        <v>西の台ＪＦＣ</v>
      </c>
      <c r="D8" s="429"/>
      <c r="E8" s="430" t="str">
        <f>IF(D8="","",VLOOKUP(CONCATENATE(C8,"_",D8),選手名簿!$A:$H,5,FALSE))</f>
        <v/>
      </c>
      <c r="F8" s="431"/>
      <c r="G8" s="432"/>
      <c r="H8" s="429"/>
      <c r="I8" s="430" t="str">
        <f>IF(H8="","",VLOOKUP(CONCATENATE(C8,"_",H8),選手名簿!$A:$H,5,FALSE))</f>
        <v/>
      </c>
      <c r="J8" s="431"/>
      <c r="K8" s="432"/>
      <c r="L8" s="429"/>
      <c r="M8" s="430" t="str">
        <f>IF(L8="","",VLOOKUP(CONCATENATE(C8,"_",L8),選手名簿!$A:$H,5,FALSE))</f>
        <v/>
      </c>
      <c r="N8" s="431"/>
      <c r="O8" s="432"/>
      <c r="P8" s="429"/>
      <c r="Q8" s="430" t="str">
        <f>IF(P8="","",VLOOKUP(CONCATENATE(C8,"_",P8),選手名簿!$A:$H,5,FALSE))</f>
        <v/>
      </c>
      <c r="R8" s="431"/>
      <c r="S8" s="432"/>
      <c r="T8" s="429"/>
      <c r="U8" s="430" t="str">
        <f>IF(T8="","",VLOOKUP(CONCATENATE(C8,"_",T8),選手名簿!$A:$H,5,FALSE))</f>
        <v/>
      </c>
      <c r="V8" s="431"/>
      <c r="W8" s="432"/>
    </row>
    <row r="9" spans="1:23" ht="35.15" customHeight="1" x14ac:dyDescent="0.45">
      <c r="B9" s="553"/>
      <c r="C9" s="171" t="str">
        <f>抽選会資料!B15</f>
        <v>リノスフットボールクラブ　Ｕ－１２</v>
      </c>
      <c r="D9" s="429"/>
      <c r="E9" s="430" t="str">
        <f>IF(D9="","",VLOOKUP(CONCATENATE(C9,"_",D9),選手名簿!$A:$H,5,FALSE))</f>
        <v/>
      </c>
      <c r="F9" s="431"/>
      <c r="G9" s="432"/>
      <c r="H9" s="429"/>
      <c r="I9" s="430" t="str">
        <f>IF(H9="","",VLOOKUP(CONCATENATE(C9,"_",H9),選手名簿!$A:$H,5,FALSE))</f>
        <v/>
      </c>
      <c r="J9" s="431"/>
      <c r="K9" s="432"/>
      <c r="L9" s="429"/>
      <c r="M9" s="430" t="str">
        <f>IF(L9="","",VLOOKUP(CONCATENATE(C9,"_",L9),選手名簿!$A:$H,5,FALSE))</f>
        <v/>
      </c>
      <c r="N9" s="431"/>
      <c r="O9" s="432"/>
      <c r="P9" s="429"/>
      <c r="Q9" s="430" t="str">
        <f>IF(P9="","",VLOOKUP(CONCATENATE(C9,"_",P9),選手名簿!$A:$H,5,FALSE))</f>
        <v/>
      </c>
      <c r="R9" s="431"/>
      <c r="S9" s="432"/>
      <c r="T9" s="429"/>
      <c r="U9" s="430" t="str">
        <f>IF(T9="","",VLOOKUP(CONCATENATE(C9,"_",T9),選手名簿!$A:$H,5,FALSE))</f>
        <v/>
      </c>
      <c r="V9" s="431"/>
      <c r="W9" s="432"/>
    </row>
    <row r="10" spans="1:23" ht="35.15" customHeight="1" x14ac:dyDescent="0.45">
      <c r="B10" s="553"/>
      <c r="C10" s="171" t="str">
        <f>抽選会資料!B16</f>
        <v>明野東サッカースポーツ少年団</v>
      </c>
      <c r="D10" s="429"/>
      <c r="E10" s="430" t="str">
        <f>IF(D10="","",VLOOKUP(CONCATENATE(C10,"_",D10),選手名簿!$A:$H,5,FALSE))</f>
        <v/>
      </c>
      <c r="F10" s="431"/>
      <c r="G10" s="432"/>
      <c r="H10" s="429"/>
      <c r="I10" s="430" t="str">
        <f>IF(H10="","",VLOOKUP(CONCATENATE(C10,"_",H10),選手名簿!$A:$H,5,FALSE))</f>
        <v/>
      </c>
      <c r="J10" s="431"/>
      <c r="K10" s="432"/>
      <c r="L10" s="429"/>
      <c r="M10" s="430" t="str">
        <f>IF(L10="","",VLOOKUP(CONCATENATE(C10,"_",L10),選手名簿!$A:$H,5,FALSE))</f>
        <v/>
      </c>
      <c r="N10" s="431"/>
      <c r="O10" s="432"/>
      <c r="P10" s="429"/>
      <c r="Q10" s="430" t="str">
        <f>IF(P10="","",VLOOKUP(CONCATENATE(C10,"_",P10),選手名簿!$A:$H,5,FALSE))</f>
        <v/>
      </c>
      <c r="R10" s="431"/>
      <c r="S10" s="432"/>
      <c r="T10" s="429"/>
      <c r="U10" s="430" t="str">
        <f>IF(T10="","",VLOOKUP(CONCATENATE(C10,"_",T10),選手名簿!$A:$H,5,FALSE))</f>
        <v/>
      </c>
      <c r="V10" s="431"/>
      <c r="W10" s="432"/>
    </row>
    <row r="11" spans="1:23" ht="35.15" customHeight="1" x14ac:dyDescent="0.45">
      <c r="B11" s="553"/>
      <c r="C11" s="171" t="str">
        <f>抽選会資料!B17</f>
        <v>寒田．敷戸ＦＣ</v>
      </c>
      <c r="D11" s="429"/>
      <c r="E11" s="430" t="str">
        <f>IF(D11="","",VLOOKUP(CONCATENATE(C11,"_",D11),選手名簿!$A:$H,5,FALSE))</f>
        <v/>
      </c>
      <c r="F11" s="431"/>
      <c r="G11" s="432"/>
      <c r="H11" s="429"/>
      <c r="I11" s="430" t="str">
        <f>IF(H11="","",VLOOKUP(CONCATENATE(C11,"_",H11),選手名簿!$A:$H,5,FALSE))</f>
        <v/>
      </c>
      <c r="J11" s="431"/>
      <c r="K11" s="432"/>
      <c r="L11" s="429"/>
      <c r="M11" s="430" t="str">
        <f>IF(L11="","",VLOOKUP(CONCATENATE(C11,"_",L11),選手名簿!$A:$H,5,FALSE))</f>
        <v/>
      </c>
      <c r="N11" s="431"/>
      <c r="O11" s="432"/>
      <c r="P11" s="429"/>
      <c r="Q11" s="430" t="str">
        <f>IF(P11="","",VLOOKUP(CONCATENATE(C11,"_",P11),選手名簿!$A:$H,5,FALSE))</f>
        <v/>
      </c>
      <c r="R11" s="431"/>
      <c r="S11" s="432"/>
      <c r="T11" s="429"/>
      <c r="U11" s="430" t="str">
        <f>IF(T11="","",VLOOKUP(CONCATENATE(C11,"_",T11),選手名簿!$A:$H,5,FALSE))</f>
        <v/>
      </c>
      <c r="V11" s="431"/>
      <c r="W11" s="432"/>
    </row>
    <row r="12" spans="1:23" ht="35.15" customHeight="1" x14ac:dyDescent="0.45">
      <c r="B12" s="553"/>
      <c r="C12" s="171" t="str">
        <f>抽選会資料!B18</f>
        <v>明治サッカースポーツ少年団</v>
      </c>
      <c r="D12" s="429"/>
      <c r="E12" s="430" t="str">
        <f>IF(D12="","",VLOOKUP(CONCATENATE(C12,"_",D12),選手名簿!$A:$H,5,FALSE))</f>
        <v/>
      </c>
      <c r="F12" s="431"/>
      <c r="G12" s="432"/>
      <c r="H12" s="429"/>
      <c r="I12" s="430" t="str">
        <f>IF(H12="","",VLOOKUP(CONCATENATE(C12,"_",H12),選手名簿!$A:$H,5,FALSE))</f>
        <v/>
      </c>
      <c r="J12" s="431"/>
      <c r="K12" s="432"/>
      <c r="L12" s="429"/>
      <c r="M12" s="430" t="str">
        <f>IF(L12="","",VLOOKUP(CONCATENATE(C12,"_",L12),選手名簿!$A:$H,5,FALSE))</f>
        <v/>
      </c>
      <c r="N12" s="431"/>
      <c r="O12" s="432"/>
      <c r="P12" s="429"/>
      <c r="Q12" s="430" t="str">
        <f>IF(P12="","",VLOOKUP(CONCATENATE(C12,"_",P12),選手名簿!$A:$H,5,FALSE))</f>
        <v/>
      </c>
      <c r="R12" s="431"/>
      <c r="S12" s="432"/>
      <c r="T12" s="429"/>
      <c r="U12" s="430" t="str">
        <f>IF(T12="","",VLOOKUP(CONCATENATE(C12,"_",T12),選手名簿!$A:$H,5,FALSE))</f>
        <v/>
      </c>
      <c r="V12" s="431"/>
      <c r="W12" s="432"/>
    </row>
    <row r="13" spans="1:23" ht="35.15" customHeight="1" x14ac:dyDescent="0.45">
      <c r="B13" s="553"/>
      <c r="C13" s="171" t="str">
        <f>抽選会資料!B19</f>
        <v>ドリームキッズフットボールクラブ</v>
      </c>
      <c r="D13" s="429"/>
      <c r="E13" s="430" t="str">
        <f>IF(D13="","",VLOOKUP(CONCATENATE(C13,"_",D13),選手名簿!$A:$H,5,FALSE))</f>
        <v/>
      </c>
      <c r="F13" s="431"/>
      <c r="G13" s="432"/>
      <c r="H13" s="429"/>
      <c r="I13" s="430" t="str">
        <f>IF(H13="","",VLOOKUP(CONCATENATE(C13,"_",H13),選手名簿!$A:$H,5,FALSE))</f>
        <v/>
      </c>
      <c r="J13" s="431"/>
      <c r="K13" s="432"/>
      <c r="L13" s="429"/>
      <c r="M13" s="430" t="str">
        <f>IF(L13="","",VLOOKUP(CONCATENATE(C13,"_",L13),選手名簿!$A:$H,5,FALSE))</f>
        <v/>
      </c>
      <c r="N13" s="431"/>
      <c r="O13" s="432"/>
      <c r="P13" s="429"/>
      <c r="Q13" s="430" t="str">
        <f>IF(P13="","",VLOOKUP(CONCATENATE(C13,"_",P13),選手名簿!$A:$H,5,FALSE))</f>
        <v/>
      </c>
      <c r="R13" s="431"/>
      <c r="S13" s="432"/>
      <c r="T13" s="429"/>
      <c r="U13" s="430" t="str">
        <f>IF(T13="","",VLOOKUP(CONCATENATE(C13,"_",T13),選手名簿!$A:$H,5,FALSE))</f>
        <v/>
      </c>
      <c r="V13" s="431"/>
      <c r="W13" s="432"/>
    </row>
    <row r="14" spans="1:23" ht="35.15" customHeight="1" x14ac:dyDescent="0.45">
      <c r="B14" s="553"/>
      <c r="C14" s="171" t="str">
        <f>抽選会資料!B20</f>
        <v>ブルーウイングフットボールクラブ</v>
      </c>
      <c r="D14" s="429"/>
      <c r="E14" s="430" t="str">
        <f>IF(D14="","",VLOOKUP(CONCATENATE(C14,"_",D14),選手名簿!$A:$H,5,FALSE))</f>
        <v/>
      </c>
      <c r="F14" s="431"/>
      <c r="G14" s="432"/>
      <c r="H14" s="429"/>
      <c r="I14" s="430" t="str">
        <f>IF(H14="","",VLOOKUP(CONCATENATE(C14,"_",H14),選手名簿!$A:$H,5,FALSE))</f>
        <v/>
      </c>
      <c r="J14" s="431"/>
      <c r="K14" s="432"/>
      <c r="L14" s="429"/>
      <c r="M14" s="430" t="str">
        <f>IF(L14="","",VLOOKUP(CONCATENATE(C14,"_",L14),選手名簿!$A:$H,5,FALSE))</f>
        <v/>
      </c>
      <c r="N14" s="431"/>
      <c r="O14" s="432"/>
      <c r="P14" s="429"/>
      <c r="Q14" s="430" t="str">
        <f>IF(P14="","",VLOOKUP(CONCATENATE(C14,"_",P14),選手名簿!$A:$H,5,FALSE))</f>
        <v/>
      </c>
      <c r="R14" s="431"/>
      <c r="S14" s="432"/>
      <c r="T14" s="429"/>
      <c r="U14" s="430" t="str">
        <f>IF(T14="","",VLOOKUP(CONCATENATE(C14,"_",T14),選手名簿!$A:$H,5,FALSE))</f>
        <v/>
      </c>
      <c r="V14" s="431"/>
      <c r="W14" s="432"/>
    </row>
    <row r="15" spans="1:23" ht="35.15" customHeight="1" thickBot="1" x14ac:dyDescent="0.6">
      <c r="B15" s="554"/>
      <c r="C15" s="172" t="str">
        <f>抽選会資料!B21</f>
        <v>カティオーラフットボールクラブＵ－１２</v>
      </c>
      <c r="D15" s="429"/>
      <c r="E15" s="430" t="str">
        <f>IF(D15="","",VLOOKUP(CONCATENATE(C15,"_",D15),選手名簿!$A:$H,5,FALSE))</f>
        <v/>
      </c>
      <c r="F15" s="431"/>
      <c r="G15" s="432"/>
      <c r="H15" s="429"/>
      <c r="I15" s="430" t="str">
        <f>IF(H15="","",VLOOKUP(CONCATENATE(C15,"_",H15),選手名簿!$A:$H,5,FALSE))</f>
        <v/>
      </c>
      <c r="J15" s="431"/>
      <c r="K15" s="432"/>
      <c r="L15" s="429"/>
      <c r="M15" s="430" t="str">
        <f>IF(L15="","",VLOOKUP(CONCATENATE(C15,"_",L15),選手名簿!$A:$H,5,FALSE))</f>
        <v/>
      </c>
      <c r="N15" s="431"/>
      <c r="O15" s="432"/>
      <c r="P15" s="429"/>
      <c r="Q15" s="430" t="str">
        <f>IF(P15="","",VLOOKUP(CONCATENATE(C15,"_",P15),選手名簿!$A:$H,5,FALSE))</f>
        <v/>
      </c>
      <c r="R15" s="431"/>
      <c r="S15" s="432"/>
      <c r="T15" s="429"/>
      <c r="U15" s="430" t="str">
        <f>IF(T15="","",VLOOKUP(CONCATENATE(C15,"_",T15),選手名簿!$A:$H,5,FALSE))</f>
        <v/>
      </c>
      <c r="V15" s="431"/>
      <c r="W15" s="432"/>
    </row>
    <row r="16" spans="1:23" ht="35.15" customHeight="1" x14ac:dyDescent="0.45">
      <c r="B16" s="555" t="s">
        <v>5</v>
      </c>
      <c r="C16" s="391" t="str">
        <f>抽選会資料!I11</f>
        <v>ティエラフットボールクラブＵ－１２</v>
      </c>
      <c r="D16" s="429"/>
      <c r="E16" s="430" t="str">
        <f>IF(D16="","",VLOOKUP(CONCATENATE(C16,"_",D16),選手名簿!$A:$H,5,FALSE))</f>
        <v/>
      </c>
      <c r="F16" s="431"/>
      <c r="G16" s="432"/>
      <c r="H16" s="429"/>
      <c r="I16" s="430" t="str">
        <f>IF(H16="","",VLOOKUP(CONCATENATE(C16,"_",H16),選手名簿!$A:$H,5,FALSE))</f>
        <v/>
      </c>
      <c r="J16" s="431"/>
      <c r="K16" s="432"/>
      <c r="L16" s="429"/>
      <c r="M16" s="430" t="str">
        <f>IF(L16="","",VLOOKUP(CONCATENATE(C16,"_",L16),選手名簿!$A:$H,5,FALSE))</f>
        <v/>
      </c>
      <c r="N16" s="431"/>
      <c r="O16" s="432"/>
      <c r="P16" s="429"/>
      <c r="Q16" s="430" t="str">
        <f>IF(P16="","",VLOOKUP(CONCATENATE(C16,"_",P16),選手名簿!$A:$H,5,FALSE))</f>
        <v/>
      </c>
      <c r="R16" s="431"/>
      <c r="S16" s="432"/>
      <c r="T16" s="429"/>
      <c r="U16" s="430" t="str">
        <f>IF(T16="","",VLOOKUP(CONCATENATE(C16,"_",T16),選手名簿!$A:$H,5,FALSE))</f>
        <v/>
      </c>
      <c r="V16" s="431"/>
      <c r="W16" s="432"/>
    </row>
    <row r="17" spans="2:23" ht="35.15" customHeight="1" x14ac:dyDescent="0.45">
      <c r="B17" s="556"/>
      <c r="C17" s="392" t="str">
        <f>抽選会資料!I12</f>
        <v>鶴居ＳＳＳ</v>
      </c>
      <c r="D17" s="429"/>
      <c r="E17" s="430" t="str">
        <f>IF(D17="","",VLOOKUP(CONCATENATE(C17,"_",D17),選手名簿!$A:$H,5,FALSE))</f>
        <v/>
      </c>
      <c r="F17" s="431"/>
      <c r="G17" s="432"/>
      <c r="H17" s="429"/>
      <c r="I17" s="430" t="str">
        <f>IF(H17="","",VLOOKUP(CONCATENATE(C17,"_",H17),選手名簿!$A:$H,5,FALSE))</f>
        <v/>
      </c>
      <c r="J17" s="431"/>
      <c r="K17" s="432"/>
      <c r="L17" s="429"/>
      <c r="M17" s="430" t="str">
        <f>IF(L17="","",VLOOKUP(CONCATENATE(C17,"_",L17),選手名簿!$A:$H,5,FALSE))</f>
        <v/>
      </c>
      <c r="N17" s="431"/>
      <c r="O17" s="432"/>
      <c r="P17" s="429"/>
      <c r="Q17" s="430" t="str">
        <f>IF(P17="","",VLOOKUP(CONCATENATE(C17,"_",P17),選手名簿!$A:$H,5,FALSE))</f>
        <v/>
      </c>
      <c r="R17" s="431"/>
      <c r="S17" s="432"/>
      <c r="T17" s="429"/>
      <c r="U17" s="430" t="str">
        <f>IF(T17="","",VLOOKUP(CONCATENATE(C17,"_",T17),選手名簿!$A:$H,5,FALSE))</f>
        <v/>
      </c>
      <c r="V17" s="431"/>
      <c r="W17" s="432"/>
    </row>
    <row r="18" spans="2:23" ht="35.15" customHeight="1" thickBot="1" x14ac:dyDescent="0.6">
      <c r="B18" s="557"/>
      <c r="C18" s="393" t="str">
        <f>抽選会資料!I13</f>
        <v>和田少年サッカークラブ</v>
      </c>
      <c r="D18" s="429">
        <v>3</v>
      </c>
      <c r="E18" s="430" t="str">
        <f>IF(D18="","",VLOOKUP(CONCATENATE(C18,"_",D18),選手名簿!$A:$H,5,FALSE))</f>
        <v>宮脇　匠志</v>
      </c>
      <c r="F18" s="431" t="s">
        <v>1546</v>
      </c>
      <c r="G18" s="432" t="s">
        <v>10007</v>
      </c>
      <c r="H18" s="429"/>
      <c r="I18" s="430" t="str">
        <f>IF(H18="","",VLOOKUP(CONCATENATE(C18,"_",H18),選手名簿!$A:$H,5,FALSE))</f>
        <v/>
      </c>
      <c r="J18" s="431"/>
      <c r="K18" s="432"/>
      <c r="L18" s="429"/>
      <c r="M18" s="430" t="str">
        <f>IF(L18="","",VLOOKUP(CONCATENATE(C18,"_",L18),選手名簿!$A:$H,5,FALSE))</f>
        <v/>
      </c>
      <c r="N18" s="431"/>
      <c r="O18" s="432"/>
      <c r="P18" s="429"/>
      <c r="Q18" s="430" t="str">
        <f>IF(P18="","",VLOOKUP(CONCATENATE(C18,"_",P18),選手名簿!$A:$H,5,FALSE))</f>
        <v/>
      </c>
      <c r="R18" s="431"/>
      <c r="S18" s="432"/>
      <c r="T18" s="429"/>
      <c r="U18" s="430" t="str">
        <f>IF(T18="","",VLOOKUP(CONCATENATE(C18,"_",T18),選手名簿!$A:$H,5,FALSE))</f>
        <v/>
      </c>
      <c r="V18" s="431"/>
      <c r="W18" s="432"/>
    </row>
    <row r="19" spans="2:23" ht="35.15" customHeight="1" x14ac:dyDescent="0.45">
      <c r="B19" s="555" t="s">
        <v>54</v>
      </c>
      <c r="C19" s="373" t="str">
        <f>抽選会資料!I14</f>
        <v>きつきＦＣ</v>
      </c>
      <c r="D19" s="429"/>
      <c r="E19" s="430" t="str">
        <f>IF(D19="","",VLOOKUP(CONCATENATE(C19,"_",D19),選手名簿!$A:$H,5,FALSE))</f>
        <v/>
      </c>
      <c r="F19" s="431"/>
      <c r="G19" s="432"/>
      <c r="H19" s="429"/>
      <c r="I19" s="430" t="str">
        <f>IF(H19="","",VLOOKUP(CONCATENATE(C19,"_",H19),選手名簿!$A:$H,5,FALSE))</f>
        <v/>
      </c>
      <c r="J19" s="431"/>
      <c r="K19" s="432"/>
      <c r="L19" s="429"/>
      <c r="M19" s="430" t="str">
        <f>IF(L19="","",VLOOKUP(CONCATENATE(C19,"_",L19),選手名簿!$A:$H,5,FALSE))</f>
        <v/>
      </c>
      <c r="N19" s="431"/>
      <c r="O19" s="432"/>
      <c r="P19" s="429"/>
      <c r="Q19" s="430" t="str">
        <f>IF(P19="","",VLOOKUP(CONCATENATE(C19,"_",P19),選手名簿!$A:$H,5,FALSE))</f>
        <v/>
      </c>
      <c r="R19" s="431"/>
      <c r="S19" s="432"/>
      <c r="T19" s="429"/>
      <c r="U19" s="430" t="str">
        <f>IF(T19="","",VLOOKUP(CONCATENATE(C19,"_",T19),選手名簿!$A:$H,5,FALSE))</f>
        <v/>
      </c>
      <c r="V19" s="431"/>
      <c r="W19" s="432"/>
    </row>
    <row r="20" spans="2:23" ht="35.15" customHeight="1" thickBot="1" x14ac:dyDescent="0.6">
      <c r="B20" s="557"/>
      <c r="C20" s="196" t="str">
        <f>抽選会資料!I15</f>
        <v>国東ジュニアサッカークラブ</v>
      </c>
      <c r="D20" s="429"/>
      <c r="E20" s="430" t="str">
        <f>IF(D20="","",VLOOKUP(CONCATENATE(C20,"_",D20),選手名簿!$A:$H,5,FALSE))</f>
        <v/>
      </c>
      <c r="F20" s="431"/>
      <c r="G20" s="432"/>
      <c r="H20" s="429"/>
      <c r="I20" s="430" t="str">
        <f>IF(H20="","",VLOOKUP(CONCATENATE(C20,"_",H20),選手名簿!$A:$H,5,FALSE))</f>
        <v/>
      </c>
      <c r="J20" s="431"/>
      <c r="K20" s="432"/>
      <c r="L20" s="429"/>
      <c r="M20" s="430" t="str">
        <f>IF(L20="","",VLOOKUP(CONCATENATE(C20,"_",L20),選手名簿!$A:$H,5,FALSE))</f>
        <v/>
      </c>
      <c r="N20" s="431"/>
      <c r="O20" s="432"/>
      <c r="P20" s="429"/>
      <c r="Q20" s="430" t="str">
        <f>IF(P20="","",VLOOKUP(CONCATENATE(C20,"_",P20),選手名簿!$A:$H,5,FALSE))</f>
        <v/>
      </c>
      <c r="R20" s="431"/>
      <c r="S20" s="432"/>
      <c r="T20" s="429"/>
      <c r="U20" s="430" t="str">
        <f>IF(T20="","",VLOOKUP(CONCATENATE(C20,"_",T20),選手名簿!$A:$H,5,FALSE))</f>
        <v/>
      </c>
      <c r="V20" s="431"/>
      <c r="W20" s="432"/>
    </row>
    <row r="21" spans="2:23" ht="35.15" customHeight="1" x14ac:dyDescent="0.45">
      <c r="B21" s="497" t="s">
        <v>2</v>
      </c>
      <c r="C21" s="373" t="str">
        <f>抽選会資料!I16</f>
        <v>別府フットボールクラブ．ミネルバＵ－１２</v>
      </c>
      <c r="D21" s="429"/>
      <c r="E21" s="430" t="str">
        <f>IF(D21="","",VLOOKUP(CONCATENATE(C21,"_",D21),選手名簿!$A:$H,5,FALSE))</f>
        <v/>
      </c>
      <c r="F21" s="431"/>
      <c r="G21" s="432"/>
      <c r="H21" s="429"/>
      <c r="I21" s="430" t="str">
        <f>IF(H21="","",VLOOKUP(CONCATENATE(C21,"_",H21),選手名簿!$A:$H,5,FALSE))</f>
        <v/>
      </c>
      <c r="J21" s="431"/>
      <c r="K21" s="432"/>
      <c r="L21" s="429">
        <v>10</v>
      </c>
      <c r="M21" s="430" t="str">
        <f>IF(L21="","",VLOOKUP(CONCATENATE(C21,"_",L21),選手名簿!$A:$H,5,FALSE))</f>
        <v>林　蔵人</v>
      </c>
      <c r="N21" s="431" t="s">
        <v>1546</v>
      </c>
      <c r="O21" s="432" t="s">
        <v>1545</v>
      </c>
      <c r="P21" s="429"/>
      <c r="Q21" s="430" t="str">
        <f>IF(P21="","",VLOOKUP(CONCATENATE(C21,"_",P21),選手名簿!$A:$H,5,FALSE))</f>
        <v/>
      </c>
      <c r="R21" s="431"/>
      <c r="S21" s="432"/>
      <c r="T21" s="429"/>
      <c r="U21" s="430" t="str">
        <f>IF(T21="","",VLOOKUP(CONCATENATE(C21,"_",T21),選手名簿!$A:$H,5,FALSE))</f>
        <v/>
      </c>
      <c r="V21" s="431"/>
      <c r="W21" s="432"/>
    </row>
    <row r="22" spans="2:23" ht="35.15" customHeight="1" x14ac:dyDescent="0.45">
      <c r="B22" s="501"/>
      <c r="C22" s="549" t="str">
        <f>抽選会資料!I17</f>
        <v>スマイス・セレソン</v>
      </c>
      <c r="D22" s="429"/>
      <c r="E22" s="430" t="str">
        <f>IF(D22="","",VLOOKUP(CONCATENATE(C22,"_",D22),選手名簿!$A:$H,5,FALSE))</f>
        <v/>
      </c>
      <c r="F22" s="431"/>
      <c r="G22" s="432"/>
      <c r="H22" s="429"/>
      <c r="I22" s="430" t="str">
        <f>IF(H22="","",VLOOKUP(CONCATENATE(C22,"_",H22),選手名簿!$A:$H,5,FALSE))</f>
        <v/>
      </c>
      <c r="J22" s="431"/>
      <c r="K22" s="432"/>
      <c r="L22" s="429">
        <v>7</v>
      </c>
      <c r="M22" s="430" t="str">
        <f>IF(L22="","",VLOOKUP(CONCATENATE(C22,"_",L22),選手名簿!$A:$H,5,FALSE))</f>
        <v>松田　煌</v>
      </c>
      <c r="N22" s="431" t="s">
        <v>1546</v>
      </c>
      <c r="O22" s="432" t="s">
        <v>10007</v>
      </c>
      <c r="P22" s="429"/>
      <c r="Q22" s="430" t="str">
        <f>IF(P22="","",VLOOKUP(CONCATENATE(C22,"_",P22),選手名簿!$A:$H,5,FALSE))</f>
        <v/>
      </c>
      <c r="R22" s="431"/>
      <c r="S22" s="432"/>
      <c r="T22" s="429"/>
      <c r="U22" s="430" t="str">
        <f>IF(T22="","",VLOOKUP(CONCATENATE(C22,"_",T22),選手名簿!$A:$H,5,FALSE))</f>
        <v/>
      </c>
      <c r="V22" s="431"/>
      <c r="W22" s="432"/>
    </row>
    <row r="23" spans="2:23" ht="35.15" customHeight="1" x14ac:dyDescent="0.45">
      <c r="B23" s="501"/>
      <c r="C23" s="550"/>
      <c r="D23" s="429"/>
      <c r="E23" s="430"/>
      <c r="F23" s="431"/>
      <c r="G23" s="432"/>
      <c r="H23" s="429"/>
      <c r="I23" s="430"/>
      <c r="J23" s="431"/>
      <c r="K23" s="432"/>
      <c r="L23" s="429">
        <v>7</v>
      </c>
      <c r="M23" s="430" t="str">
        <f>IF(L23="","",VLOOKUP(CONCATENATE(C22,"_",L23),選手名簿!$A:$H,5,FALSE))</f>
        <v>松田　煌</v>
      </c>
      <c r="N23" s="431" t="s">
        <v>1546</v>
      </c>
      <c r="O23" s="432" t="s">
        <v>10007</v>
      </c>
      <c r="P23" s="429"/>
      <c r="Q23" s="430"/>
      <c r="R23" s="431"/>
      <c r="S23" s="432"/>
      <c r="T23" s="429"/>
      <c r="U23" s="430"/>
      <c r="V23" s="431"/>
      <c r="W23" s="432"/>
    </row>
    <row r="24" spans="2:23" ht="35.15" customHeight="1" thickBot="1" x14ac:dyDescent="0.6">
      <c r="B24" s="498"/>
      <c r="C24" s="551"/>
      <c r="D24" s="429"/>
      <c r="E24" s="430"/>
      <c r="F24" s="431"/>
      <c r="G24" s="432"/>
      <c r="H24" s="429"/>
      <c r="I24" s="430"/>
      <c r="J24" s="431"/>
      <c r="K24" s="432"/>
      <c r="L24" s="429">
        <v>7</v>
      </c>
      <c r="M24" s="430" t="str">
        <f>IF(L24="","",VLOOKUP(CONCATENATE(C22,"_",L24),選手名簿!$A:$H,5,FALSE))</f>
        <v>松田　煌</v>
      </c>
      <c r="N24" s="431" t="s">
        <v>2051</v>
      </c>
      <c r="O24" s="432" t="s">
        <v>1515</v>
      </c>
      <c r="P24" s="429"/>
      <c r="Q24" s="430"/>
      <c r="R24" s="431"/>
      <c r="S24" s="432"/>
      <c r="T24" s="429"/>
      <c r="U24" s="430"/>
      <c r="V24" s="431"/>
      <c r="W24" s="432"/>
    </row>
    <row r="25" spans="2:23" ht="35.15" customHeight="1" x14ac:dyDescent="0.45">
      <c r="B25" s="555" t="s">
        <v>3985</v>
      </c>
      <c r="C25" s="373" t="str">
        <f>抽選会資料!I18</f>
        <v>玖珠サッカースポーツ少年団</v>
      </c>
      <c r="D25" s="429"/>
      <c r="E25" s="430" t="str">
        <f>IF(D25="","",VLOOKUP(CONCATENATE(C25,"_",D25),選手名簿!$A:$H,5,FALSE))</f>
        <v/>
      </c>
      <c r="F25" s="431"/>
      <c r="G25" s="432"/>
      <c r="H25" s="429"/>
      <c r="I25" s="430" t="str">
        <f>IF(H25="","",VLOOKUP(CONCATENATE(C25,"_",H25),選手名簿!$A:$H,5,FALSE))</f>
        <v/>
      </c>
      <c r="J25" s="431"/>
      <c r="K25" s="432"/>
      <c r="L25" s="429"/>
      <c r="M25" s="430" t="str">
        <f>IF(L25="","",VLOOKUP(CONCATENATE(C25,"_",L25),選手名簿!$A:$H,5,FALSE))</f>
        <v/>
      </c>
      <c r="N25" s="431"/>
      <c r="O25" s="432"/>
      <c r="P25" s="429"/>
      <c r="Q25" s="430" t="str">
        <f>IF(P25="","",VLOOKUP(CONCATENATE(C25,"_",P25),選手名簿!$A:$H,5,FALSE))</f>
        <v/>
      </c>
      <c r="R25" s="431"/>
      <c r="S25" s="432"/>
      <c r="T25" s="429"/>
      <c r="U25" s="430" t="str">
        <f>IF(T25="","",VLOOKUP(CONCATENATE(C25,"_",T25),選手名簿!$A:$H,5,FALSE))</f>
        <v/>
      </c>
      <c r="V25" s="431"/>
      <c r="W25" s="432"/>
    </row>
    <row r="26" spans="2:23" ht="35.15" customHeight="1" thickBot="1" x14ac:dyDescent="0.6">
      <c r="B26" s="557"/>
      <c r="C26" s="196" t="str">
        <f>抽選会資料!I19</f>
        <v>太陽スポーツクラブ大分西</v>
      </c>
      <c r="D26" s="429"/>
      <c r="E26" s="430" t="str">
        <f>IF(D26="","",VLOOKUP(CONCATENATE(C26,"_",D26),選手名簿!$A:$H,5,FALSE))</f>
        <v/>
      </c>
      <c r="F26" s="431"/>
      <c r="G26" s="432"/>
      <c r="H26" s="429"/>
      <c r="I26" s="430" t="str">
        <f>IF(H26="","",VLOOKUP(CONCATENATE(C26,"_",H26),選手名簿!$A:$H,5,FALSE))</f>
        <v/>
      </c>
      <c r="J26" s="431"/>
      <c r="K26" s="432"/>
      <c r="L26" s="429"/>
      <c r="M26" s="430" t="str">
        <f>IF(L26="","",VLOOKUP(CONCATENATE(C26,"_",L26),選手名簿!$A:$H,5,FALSE))</f>
        <v/>
      </c>
      <c r="N26" s="431"/>
      <c r="O26" s="432"/>
      <c r="P26" s="429"/>
      <c r="Q26" s="430" t="str">
        <f>IF(P26="","",VLOOKUP(CONCATENATE(C26,"_",P26),選手名簿!$A:$H,5,FALSE))</f>
        <v/>
      </c>
      <c r="R26" s="431"/>
      <c r="S26" s="432"/>
      <c r="T26" s="429"/>
      <c r="U26" s="430" t="str">
        <f>IF(T26="","",VLOOKUP(CONCATENATE(C26,"_",T26),選手名簿!$A:$H,5,FALSE))</f>
        <v/>
      </c>
      <c r="V26" s="431"/>
      <c r="W26" s="432"/>
    </row>
    <row r="27" spans="2:23" ht="35.15" customHeight="1" thickBot="1" x14ac:dyDescent="0.6">
      <c r="B27" s="376" t="s">
        <v>189</v>
      </c>
      <c r="C27" s="375" t="str">
        <f>抽選会資料!I20</f>
        <v>ＦＣ　ＷＡＹＳ</v>
      </c>
      <c r="D27" s="429"/>
      <c r="E27" s="430" t="str">
        <f>IF(D27="","",VLOOKUP(CONCATENATE(C27,"_",D27),選手名簿!$A:$H,5,FALSE))</f>
        <v/>
      </c>
      <c r="F27" s="431"/>
      <c r="G27" s="432"/>
      <c r="H27" s="429"/>
      <c r="I27" s="430" t="str">
        <f>IF(H27="","",VLOOKUP(CONCATENATE(C27,"_",H27),選手名簿!$A:$H,5,FALSE))</f>
        <v/>
      </c>
      <c r="J27" s="431"/>
      <c r="K27" s="432"/>
      <c r="L27" s="429"/>
      <c r="M27" s="430" t="str">
        <f>IF(L27="","",VLOOKUP(CONCATENATE(C27,"_",L27),選手名簿!$A:$H,5,FALSE))</f>
        <v/>
      </c>
      <c r="N27" s="431"/>
      <c r="O27" s="432"/>
      <c r="P27" s="429"/>
      <c r="Q27" s="430" t="str">
        <f>IF(P27="","",VLOOKUP(CONCATENATE(C27,"_",P27),選手名簿!$A:$H,5,FALSE))</f>
        <v/>
      </c>
      <c r="R27" s="431"/>
      <c r="S27" s="432"/>
      <c r="T27" s="429"/>
      <c r="U27" s="430" t="str">
        <f>IF(T27="","",VLOOKUP(CONCATENATE(C27,"_",T27),選手名簿!$A:$H,5,FALSE))</f>
        <v/>
      </c>
      <c r="V27" s="431"/>
      <c r="W27" s="432"/>
    </row>
    <row r="28" spans="2:23" ht="35.15" customHeight="1" thickBot="1" x14ac:dyDescent="0.6">
      <c r="B28" s="376" t="s">
        <v>6</v>
      </c>
      <c r="C28" s="375" t="str">
        <f>抽選会資料!I21</f>
        <v>鶴見少年サッカークラブ</v>
      </c>
      <c r="D28" s="429"/>
      <c r="E28" s="430" t="str">
        <f>IF(D28="","",VLOOKUP(CONCATENATE(C28,"_",D28),選手名簿!$A:$H,5,FALSE))</f>
        <v/>
      </c>
      <c r="F28" s="431"/>
      <c r="G28" s="432"/>
      <c r="H28" s="429"/>
      <c r="I28" s="430" t="str">
        <f>IF(H28="","",VLOOKUP(CONCATENATE(C28,"_",H28),選手名簿!$A:$H,5,FALSE))</f>
        <v/>
      </c>
      <c r="J28" s="431"/>
      <c r="K28" s="432"/>
      <c r="L28" s="429"/>
      <c r="M28" s="430" t="str">
        <f>IF(L28="","",VLOOKUP(CONCATENATE(C28,"_",L28),選手名簿!$A:$H,5,FALSE))</f>
        <v/>
      </c>
      <c r="N28" s="431"/>
      <c r="O28" s="432"/>
      <c r="P28" s="429"/>
      <c r="Q28" s="430" t="str">
        <f>IF(P28="","",VLOOKUP(CONCATENATE(C28,"_",P28),選手名簿!$A:$H,5,FALSE))</f>
        <v/>
      </c>
      <c r="R28" s="431"/>
      <c r="S28" s="432"/>
      <c r="T28" s="429"/>
      <c r="U28" s="430" t="str">
        <f>IF(T28="","",VLOOKUP(CONCATENATE(C28,"_",T28),選手名簿!$A:$H,5,FALSE))</f>
        <v/>
      </c>
      <c r="V28" s="431"/>
      <c r="W28" s="432"/>
    </row>
    <row r="29" spans="2:23" ht="35.15" customHeight="1" thickBot="1" x14ac:dyDescent="0.6">
      <c r="B29" s="376" t="s">
        <v>1</v>
      </c>
      <c r="C29" s="375" t="str">
        <f>抽選会資料!I22</f>
        <v>竹田直入ＦＣ</v>
      </c>
      <c r="D29" s="429"/>
      <c r="E29" s="430" t="str">
        <f>IF(D29="","",VLOOKUP(CONCATENATE(C29,"_",D29),選手名簿!$A:$H,5,FALSE))</f>
        <v/>
      </c>
      <c r="F29" s="431"/>
      <c r="G29" s="432"/>
      <c r="H29" s="429"/>
      <c r="I29" s="430" t="str">
        <f>IF(H29="","",VLOOKUP(CONCATENATE(C29,"_",H29),選手名簿!$A:$H,5,FALSE))</f>
        <v/>
      </c>
      <c r="J29" s="431"/>
      <c r="K29" s="432"/>
      <c r="L29" s="429"/>
      <c r="M29" s="430" t="str">
        <f>IF(L29="","",VLOOKUP(CONCATENATE(C29,"_",L29),選手名簿!$A:$H,5,FALSE))</f>
        <v/>
      </c>
      <c r="N29" s="431"/>
      <c r="O29" s="432"/>
      <c r="P29" s="429"/>
      <c r="Q29" s="430" t="str">
        <f>IF(P29="","",VLOOKUP(CONCATENATE(C29,"_",P29),選手名簿!$A:$H,5,FALSE))</f>
        <v/>
      </c>
      <c r="R29" s="431"/>
      <c r="S29" s="432"/>
      <c r="T29" s="429"/>
      <c r="U29" s="430" t="str">
        <f>IF(T29="","",VLOOKUP(CONCATENATE(C29,"_",T29),選手名簿!$A:$H,5,FALSE))</f>
        <v/>
      </c>
      <c r="V29" s="431"/>
      <c r="W29" s="432"/>
    </row>
    <row r="30" spans="2:23" ht="35.15" customHeight="1" thickBot="1" x14ac:dyDescent="0.6">
      <c r="B30" s="376" t="s">
        <v>3986</v>
      </c>
      <c r="C30" s="375" t="str">
        <f>抽選会資料!I23</f>
        <v>臼杵ＳＳＳ</v>
      </c>
      <c r="D30" s="433"/>
      <c r="E30" s="434" t="str">
        <f>IF(D30="","",VLOOKUP(CONCATENATE(C30,"_",D30),選手名簿!$A:$H,5,FALSE))</f>
        <v/>
      </c>
      <c r="F30" s="435"/>
      <c r="G30" s="436"/>
      <c r="H30" s="433"/>
      <c r="I30" s="434" t="str">
        <f>IF(H30="","",VLOOKUP(CONCATENATE(C30,"_",H30),選手名簿!$A:$H,5,FALSE))</f>
        <v/>
      </c>
      <c r="J30" s="435"/>
      <c r="K30" s="436"/>
      <c r="L30" s="433"/>
      <c r="M30" s="434" t="str">
        <f>IF(L30="","",VLOOKUP(CONCATENATE(C30,"_",L30),選手名簿!$A:$H,5,FALSE))</f>
        <v/>
      </c>
      <c r="N30" s="435"/>
      <c r="O30" s="436"/>
      <c r="P30" s="433"/>
      <c r="Q30" s="434" t="str">
        <f>IF(P30="","",VLOOKUP(CONCATENATE(C30,"_",P30),選手名簿!$A:$H,5,FALSE))</f>
        <v/>
      </c>
      <c r="R30" s="435"/>
      <c r="S30" s="436"/>
      <c r="T30" s="433"/>
      <c r="U30" s="434" t="str">
        <f>IF(T30="","",VLOOKUP(CONCATENATE(C30,"_",T30),選手名簿!$A:$H,5,FALSE))</f>
        <v/>
      </c>
      <c r="V30" s="435"/>
      <c r="W30" s="436"/>
    </row>
    <row r="31" spans="2:23" x14ac:dyDescent="0.45">
      <c r="B31" s="173"/>
      <c r="C31" s="174"/>
      <c r="F31" s="159"/>
      <c r="G31" s="159"/>
    </row>
    <row r="32" spans="2:23" x14ac:dyDescent="0.45">
      <c r="F32" s="159"/>
      <c r="G32" s="159"/>
    </row>
    <row r="33" spans="5:7" x14ac:dyDescent="0.45">
      <c r="E33" s="162"/>
      <c r="F33" s="159"/>
      <c r="G33" s="159"/>
    </row>
    <row r="34" spans="5:7" x14ac:dyDescent="0.45">
      <c r="E34" s="162"/>
      <c r="F34" s="159"/>
      <c r="G34" s="159"/>
    </row>
    <row r="35" spans="5:7" x14ac:dyDescent="0.45">
      <c r="E35" s="162"/>
      <c r="F35" s="159"/>
      <c r="G35" s="159"/>
    </row>
    <row r="36" spans="5:7" x14ac:dyDescent="0.45">
      <c r="E36" s="162"/>
      <c r="F36" s="159"/>
      <c r="G36" s="159"/>
    </row>
    <row r="37" spans="5:7" x14ac:dyDescent="0.45">
      <c r="F37" s="159"/>
      <c r="G37" s="159"/>
    </row>
    <row r="38" spans="5:7" x14ac:dyDescent="0.45">
      <c r="F38" s="159"/>
      <c r="G38" s="159"/>
    </row>
    <row r="39" spans="5:7" x14ac:dyDescent="0.45">
      <c r="F39" s="159"/>
      <c r="G39" s="159"/>
    </row>
    <row r="40" spans="5:7" x14ac:dyDescent="0.45">
      <c r="F40" s="159"/>
      <c r="G40" s="159"/>
    </row>
    <row r="41" spans="5:7" x14ac:dyDescent="0.45">
      <c r="F41" s="159"/>
      <c r="G41" s="159"/>
    </row>
    <row r="42" spans="5:7" x14ac:dyDescent="0.45">
      <c r="F42" s="159"/>
      <c r="G42" s="159"/>
    </row>
  </sheetData>
  <autoFilter ref="A4:AB4" xr:uid="{00000000-0001-0000-0300-000000000000}"/>
  <mergeCells count="6">
    <mergeCell ref="C22:C24"/>
    <mergeCell ref="B5:B15"/>
    <mergeCell ref="B16:B18"/>
    <mergeCell ref="B19:B20"/>
    <mergeCell ref="B25:B26"/>
    <mergeCell ref="B21:B24"/>
  </mergeCells>
  <phoneticPr fontId="5"/>
  <conditionalFormatting sqref="B1:E1 H1:K1 M1:Y4 B1:B21 A1:A29 AC1:IV65538 C2:L4 C5:C22 C25:C29 B26:B29 A30:C65538 D37:E37 D38:D65538 C41:E41">
    <cfRule type="cellIs" dxfId="19" priority="49" stopIfTrue="1" operator="equal">
      <formula>"退場"</formula>
    </cfRule>
  </conditionalFormatting>
  <conditionalFormatting sqref="B1:E1 H1:K1 M1:Y4 B1:B21 A1:A29 AC1:IV65538 C2:L4 C5:C22 C25:C29 B26:B29 A30:C65538 E31:E42 D37:E37 D38:D65538 C41:E41 E43:Y65538">
    <cfRule type="cellIs" dxfId="18" priority="50" stopIfTrue="1" operator="equal">
      <formula>"警告"</formula>
    </cfRule>
    <cfRule type="cellIs" dxfId="17" priority="51" stopIfTrue="1" operator="equal">
      <formula>"警告(累積2枚目次節出場停止）"</formula>
    </cfRule>
  </conditionalFormatting>
  <conditionalFormatting sqref="D5:D36">
    <cfRule type="cellIs" dxfId="16" priority="46" stopIfTrue="1" operator="equal">
      <formula>"退場"</formula>
    </cfRule>
    <cfRule type="cellIs" dxfId="15" priority="47" stopIfTrue="1" operator="equal">
      <formula>"警告"</formula>
    </cfRule>
    <cfRule type="cellIs" dxfId="14" priority="48" stopIfTrue="1" operator="equal">
      <formula>"警告(累積2枚目次節出場停止）"</formula>
    </cfRule>
  </conditionalFormatting>
  <conditionalFormatting sqref="E5:E30">
    <cfRule type="cellIs" dxfId="13" priority="41" stopIfTrue="1" operator="equal">
      <formula>"警告"</formula>
    </cfRule>
    <cfRule type="cellIs" dxfId="12" priority="42" stopIfTrue="1" operator="equal">
      <formula>"警告(累積2枚目次節出場停止）"</formula>
    </cfRule>
  </conditionalFormatting>
  <conditionalFormatting sqref="E5:Y65538">
    <cfRule type="cellIs" dxfId="11" priority="1" stopIfTrue="1" operator="equal">
      <formula>"退場"</formula>
    </cfRule>
  </conditionalFormatting>
  <conditionalFormatting sqref="F5:Y42">
    <cfRule type="cellIs" dxfId="10" priority="2" stopIfTrue="1" operator="equal">
      <formula>"警告"</formula>
    </cfRule>
    <cfRule type="cellIs" dxfId="9" priority="3" stopIfTrue="1" operator="equal">
      <formula>"警告(累積2枚目次節出場停止）"</formula>
    </cfRule>
  </conditionalFormatting>
  <dataValidations count="3">
    <dataValidation type="list" allowBlank="1" showInputMessage="1" showErrorMessage="1" sqref="A5:A31 WVI983047:WVI983071 WLM983047:WLM983071 WBQ983047:WBQ983071 VRU983047:VRU983071 VHY983047:VHY983071 UYC983047:UYC983071 UOG983047:UOG983071 UEK983047:UEK983071 TUO983047:TUO983071 TKS983047:TKS983071 TAW983047:TAW983071 SRA983047:SRA983071 SHE983047:SHE983071 RXI983047:RXI983071 RNM983047:RNM983071 RDQ983047:RDQ983071 QTU983047:QTU983071 QJY983047:QJY983071 QAC983047:QAC983071 PQG983047:PQG983071 PGK983047:PGK983071 OWO983047:OWO983071 OMS983047:OMS983071 OCW983047:OCW983071 NTA983047:NTA983071 NJE983047:NJE983071 MZI983047:MZI983071 MPM983047:MPM983071 MFQ983047:MFQ983071 LVU983047:LVU983071 LLY983047:LLY983071 LCC983047:LCC983071 KSG983047:KSG983071 KIK983047:KIK983071 JYO983047:JYO983071 JOS983047:JOS983071 JEW983047:JEW983071 IVA983047:IVA983071 ILE983047:ILE983071 IBI983047:IBI983071 HRM983047:HRM983071 HHQ983047:HHQ983071 GXU983047:GXU983071 GNY983047:GNY983071 GEC983047:GEC983071 FUG983047:FUG983071 FKK983047:FKK983071 FAO983047:FAO983071 EQS983047:EQS983071 EGW983047:EGW983071 DXA983047:DXA983071 DNE983047:DNE983071 DDI983047:DDI983071 CTM983047:CTM983071 CJQ983047:CJQ983071 BZU983047:BZU983071 BPY983047:BPY983071 BGC983047:BGC983071 AWG983047:AWG983071 AMK983047:AMK983071 ACO983047:ACO983071 SS983047:SS983071 IW983047:IW983071 A983047:A983071 WVI917511:WVI917535 WLM917511:WLM917535 WBQ917511:WBQ917535 VRU917511:VRU917535 VHY917511:VHY917535 UYC917511:UYC917535 UOG917511:UOG917535 UEK917511:UEK917535 TUO917511:TUO917535 TKS917511:TKS917535 TAW917511:TAW917535 SRA917511:SRA917535 SHE917511:SHE917535 RXI917511:RXI917535 RNM917511:RNM917535 RDQ917511:RDQ917535 QTU917511:QTU917535 QJY917511:QJY917535 QAC917511:QAC917535 PQG917511:PQG917535 PGK917511:PGK917535 OWO917511:OWO917535 OMS917511:OMS917535 OCW917511:OCW917535 NTA917511:NTA917535 NJE917511:NJE917535 MZI917511:MZI917535 MPM917511:MPM917535 MFQ917511:MFQ917535 LVU917511:LVU917535 LLY917511:LLY917535 LCC917511:LCC917535 KSG917511:KSG917535 KIK917511:KIK917535 JYO917511:JYO917535 JOS917511:JOS917535 JEW917511:JEW917535 IVA917511:IVA917535 ILE917511:ILE917535 IBI917511:IBI917535 HRM917511:HRM917535 HHQ917511:HHQ917535 GXU917511:GXU917535 GNY917511:GNY917535 GEC917511:GEC917535 FUG917511:FUG917535 FKK917511:FKK917535 FAO917511:FAO917535 EQS917511:EQS917535 EGW917511:EGW917535 DXA917511:DXA917535 DNE917511:DNE917535 DDI917511:DDI917535 CTM917511:CTM917535 CJQ917511:CJQ917535 BZU917511:BZU917535 BPY917511:BPY917535 BGC917511:BGC917535 AWG917511:AWG917535 AMK917511:AMK917535 ACO917511:ACO917535 SS917511:SS917535 IW917511:IW917535 A917511:A917535 WVI851975:WVI851999 WLM851975:WLM851999 WBQ851975:WBQ851999 VRU851975:VRU851999 VHY851975:VHY851999 UYC851975:UYC851999 UOG851975:UOG851999 UEK851975:UEK851999 TUO851975:TUO851999 TKS851975:TKS851999 TAW851975:TAW851999 SRA851975:SRA851999 SHE851975:SHE851999 RXI851975:RXI851999 RNM851975:RNM851999 RDQ851975:RDQ851999 QTU851975:QTU851999 QJY851975:QJY851999 QAC851975:QAC851999 PQG851975:PQG851999 PGK851975:PGK851999 OWO851975:OWO851999 OMS851975:OMS851999 OCW851975:OCW851999 NTA851975:NTA851999 NJE851975:NJE851999 MZI851975:MZI851999 MPM851975:MPM851999 MFQ851975:MFQ851999 LVU851975:LVU851999 LLY851975:LLY851999 LCC851975:LCC851999 KSG851975:KSG851999 KIK851975:KIK851999 JYO851975:JYO851999 JOS851975:JOS851999 JEW851975:JEW851999 IVA851975:IVA851999 ILE851975:ILE851999 IBI851975:IBI851999 HRM851975:HRM851999 HHQ851975:HHQ851999 GXU851975:GXU851999 GNY851975:GNY851999 GEC851975:GEC851999 FUG851975:FUG851999 FKK851975:FKK851999 FAO851975:FAO851999 EQS851975:EQS851999 EGW851975:EGW851999 DXA851975:DXA851999 DNE851975:DNE851999 DDI851975:DDI851999 CTM851975:CTM851999 CJQ851975:CJQ851999 BZU851975:BZU851999 BPY851975:BPY851999 BGC851975:BGC851999 AWG851975:AWG851999 AMK851975:AMK851999 ACO851975:ACO851999 SS851975:SS851999 IW851975:IW851999 A851975:A851999 WVI786439:WVI786463 WLM786439:WLM786463 WBQ786439:WBQ786463 VRU786439:VRU786463 VHY786439:VHY786463 UYC786439:UYC786463 UOG786439:UOG786463 UEK786439:UEK786463 TUO786439:TUO786463 TKS786439:TKS786463 TAW786439:TAW786463 SRA786439:SRA786463 SHE786439:SHE786463 RXI786439:RXI786463 RNM786439:RNM786463 RDQ786439:RDQ786463 QTU786439:QTU786463 QJY786439:QJY786463 QAC786439:QAC786463 PQG786439:PQG786463 PGK786439:PGK786463 OWO786439:OWO786463 OMS786439:OMS786463 OCW786439:OCW786463 NTA786439:NTA786463 NJE786439:NJE786463 MZI786439:MZI786463 MPM786439:MPM786463 MFQ786439:MFQ786463 LVU786439:LVU786463 LLY786439:LLY786463 LCC786439:LCC786463 KSG786439:KSG786463 KIK786439:KIK786463 JYO786439:JYO786463 JOS786439:JOS786463 JEW786439:JEW786463 IVA786439:IVA786463 ILE786439:ILE786463 IBI786439:IBI786463 HRM786439:HRM786463 HHQ786439:HHQ786463 GXU786439:GXU786463 GNY786439:GNY786463 GEC786439:GEC786463 FUG786439:FUG786463 FKK786439:FKK786463 FAO786439:FAO786463 EQS786439:EQS786463 EGW786439:EGW786463 DXA786439:DXA786463 DNE786439:DNE786463 DDI786439:DDI786463 CTM786439:CTM786463 CJQ786439:CJQ786463 BZU786439:BZU786463 BPY786439:BPY786463 BGC786439:BGC786463 AWG786439:AWG786463 AMK786439:AMK786463 ACO786439:ACO786463 SS786439:SS786463 IW786439:IW786463 A786439:A786463 WVI720903:WVI720927 WLM720903:WLM720927 WBQ720903:WBQ720927 VRU720903:VRU720927 VHY720903:VHY720927 UYC720903:UYC720927 UOG720903:UOG720927 UEK720903:UEK720927 TUO720903:TUO720927 TKS720903:TKS720927 TAW720903:TAW720927 SRA720903:SRA720927 SHE720903:SHE720927 RXI720903:RXI720927 RNM720903:RNM720927 RDQ720903:RDQ720927 QTU720903:QTU720927 QJY720903:QJY720927 QAC720903:QAC720927 PQG720903:PQG720927 PGK720903:PGK720927 OWO720903:OWO720927 OMS720903:OMS720927 OCW720903:OCW720927 NTA720903:NTA720927 NJE720903:NJE720927 MZI720903:MZI720927 MPM720903:MPM720927 MFQ720903:MFQ720927 LVU720903:LVU720927 LLY720903:LLY720927 LCC720903:LCC720927 KSG720903:KSG720927 KIK720903:KIK720927 JYO720903:JYO720927 JOS720903:JOS720927 JEW720903:JEW720927 IVA720903:IVA720927 ILE720903:ILE720927 IBI720903:IBI720927 HRM720903:HRM720927 HHQ720903:HHQ720927 GXU720903:GXU720927 GNY720903:GNY720927 GEC720903:GEC720927 FUG720903:FUG720927 FKK720903:FKK720927 FAO720903:FAO720927 EQS720903:EQS720927 EGW720903:EGW720927 DXA720903:DXA720927 DNE720903:DNE720927 DDI720903:DDI720927 CTM720903:CTM720927 CJQ720903:CJQ720927 BZU720903:BZU720927 BPY720903:BPY720927 BGC720903:BGC720927 AWG720903:AWG720927 AMK720903:AMK720927 ACO720903:ACO720927 SS720903:SS720927 IW720903:IW720927 A720903:A720927 WVI655367:WVI655391 WLM655367:WLM655391 WBQ655367:WBQ655391 VRU655367:VRU655391 VHY655367:VHY655391 UYC655367:UYC655391 UOG655367:UOG655391 UEK655367:UEK655391 TUO655367:TUO655391 TKS655367:TKS655391 TAW655367:TAW655391 SRA655367:SRA655391 SHE655367:SHE655391 RXI655367:RXI655391 RNM655367:RNM655391 RDQ655367:RDQ655391 QTU655367:QTU655391 QJY655367:QJY655391 QAC655367:QAC655391 PQG655367:PQG655391 PGK655367:PGK655391 OWO655367:OWO655391 OMS655367:OMS655391 OCW655367:OCW655391 NTA655367:NTA655391 NJE655367:NJE655391 MZI655367:MZI655391 MPM655367:MPM655391 MFQ655367:MFQ655391 LVU655367:LVU655391 LLY655367:LLY655391 LCC655367:LCC655391 KSG655367:KSG655391 KIK655367:KIK655391 JYO655367:JYO655391 JOS655367:JOS655391 JEW655367:JEW655391 IVA655367:IVA655391 ILE655367:ILE655391 IBI655367:IBI655391 HRM655367:HRM655391 HHQ655367:HHQ655391 GXU655367:GXU655391 GNY655367:GNY655391 GEC655367:GEC655391 FUG655367:FUG655391 FKK655367:FKK655391 FAO655367:FAO655391 EQS655367:EQS655391 EGW655367:EGW655391 DXA655367:DXA655391 DNE655367:DNE655391 DDI655367:DDI655391 CTM655367:CTM655391 CJQ655367:CJQ655391 BZU655367:BZU655391 BPY655367:BPY655391 BGC655367:BGC655391 AWG655367:AWG655391 AMK655367:AMK655391 ACO655367:ACO655391 SS655367:SS655391 IW655367:IW655391 A655367:A655391 WVI589831:WVI589855 WLM589831:WLM589855 WBQ589831:WBQ589855 VRU589831:VRU589855 VHY589831:VHY589855 UYC589831:UYC589855 UOG589831:UOG589855 UEK589831:UEK589855 TUO589831:TUO589855 TKS589831:TKS589855 TAW589831:TAW589855 SRA589831:SRA589855 SHE589831:SHE589855 RXI589831:RXI589855 RNM589831:RNM589855 RDQ589831:RDQ589855 QTU589831:QTU589855 QJY589831:QJY589855 QAC589831:QAC589855 PQG589831:PQG589855 PGK589831:PGK589855 OWO589831:OWO589855 OMS589831:OMS589855 OCW589831:OCW589855 NTA589831:NTA589855 NJE589831:NJE589855 MZI589831:MZI589855 MPM589831:MPM589855 MFQ589831:MFQ589855 LVU589831:LVU589855 LLY589831:LLY589855 LCC589831:LCC589855 KSG589831:KSG589855 KIK589831:KIK589855 JYO589831:JYO589855 JOS589831:JOS589855 JEW589831:JEW589855 IVA589831:IVA589855 ILE589831:ILE589855 IBI589831:IBI589855 HRM589831:HRM589855 HHQ589831:HHQ589855 GXU589831:GXU589855 GNY589831:GNY589855 GEC589831:GEC589855 FUG589831:FUG589855 FKK589831:FKK589855 FAO589831:FAO589855 EQS589831:EQS589855 EGW589831:EGW589855 DXA589831:DXA589855 DNE589831:DNE589855 DDI589831:DDI589855 CTM589831:CTM589855 CJQ589831:CJQ589855 BZU589831:BZU589855 BPY589831:BPY589855 BGC589831:BGC589855 AWG589831:AWG589855 AMK589831:AMK589855 ACO589831:ACO589855 SS589831:SS589855 IW589831:IW589855 A589831:A589855 WVI524295:WVI524319 WLM524295:WLM524319 WBQ524295:WBQ524319 VRU524295:VRU524319 VHY524295:VHY524319 UYC524295:UYC524319 UOG524295:UOG524319 UEK524295:UEK524319 TUO524295:TUO524319 TKS524295:TKS524319 TAW524295:TAW524319 SRA524295:SRA524319 SHE524295:SHE524319 RXI524295:RXI524319 RNM524295:RNM524319 RDQ524295:RDQ524319 QTU524295:QTU524319 QJY524295:QJY524319 QAC524295:QAC524319 PQG524295:PQG524319 PGK524295:PGK524319 OWO524295:OWO524319 OMS524295:OMS524319 OCW524295:OCW524319 NTA524295:NTA524319 NJE524295:NJE524319 MZI524295:MZI524319 MPM524295:MPM524319 MFQ524295:MFQ524319 LVU524295:LVU524319 LLY524295:LLY524319 LCC524295:LCC524319 KSG524295:KSG524319 KIK524295:KIK524319 JYO524295:JYO524319 JOS524295:JOS524319 JEW524295:JEW524319 IVA524295:IVA524319 ILE524295:ILE524319 IBI524295:IBI524319 HRM524295:HRM524319 HHQ524295:HHQ524319 GXU524295:GXU524319 GNY524295:GNY524319 GEC524295:GEC524319 FUG524295:FUG524319 FKK524295:FKK524319 FAO524295:FAO524319 EQS524295:EQS524319 EGW524295:EGW524319 DXA524295:DXA524319 DNE524295:DNE524319 DDI524295:DDI524319 CTM524295:CTM524319 CJQ524295:CJQ524319 BZU524295:BZU524319 BPY524295:BPY524319 BGC524295:BGC524319 AWG524295:AWG524319 AMK524295:AMK524319 ACO524295:ACO524319 SS524295:SS524319 IW524295:IW524319 A524295:A524319 WVI458759:WVI458783 WLM458759:WLM458783 WBQ458759:WBQ458783 VRU458759:VRU458783 VHY458759:VHY458783 UYC458759:UYC458783 UOG458759:UOG458783 UEK458759:UEK458783 TUO458759:TUO458783 TKS458759:TKS458783 TAW458759:TAW458783 SRA458759:SRA458783 SHE458759:SHE458783 RXI458759:RXI458783 RNM458759:RNM458783 RDQ458759:RDQ458783 QTU458759:QTU458783 QJY458759:QJY458783 QAC458759:QAC458783 PQG458759:PQG458783 PGK458759:PGK458783 OWO458759:OWO458783 OMS458759:OMS458783 OCW458759:OCW458783 NTA458759:NTA458783 NJE458759:NJE458783 MZI458759:MZI458783 MPM458759:MPM458783 MFQ458759:MFQ458783 LVU458759:LVU458783 LLY458759:LLY458783 LCC458759:LCC458783 KSG458759:KSG458783 KIK458759:KIK458783 JYO458759:JYO458783 JOS458759:JOS458783 JEW458759:JEW458783 IVA458759:IVA458783 ILE458759:ILE458783 IBI458759:IBI458783 HRM458759:HRM458783 HHQ458759:HHQ458783 GXU458759:GXU458783 GNY458759:GNY458783 GEC458759:GEC458783 FUG458759:FUG458783 FKK458759:FKK458783 FAO458759:FAO458783 EQS458759:EQS458783 EGW458759:EGW458783 DXA458759:DXA458783 DNE458759:DNE458783 DDI458759:DDI458783 CTM458759:CTM458783 CJQ458759:CJQ458783 BZU458759:BZU458783 BPY458759:BPY458783 BGC458759:BGC458783 AWG458759:AWG458783 AMK458759:AMK458783 ACO458759:ACO458783 SS458759:SS458783 IW458759:IW458783 A458759:A458783 WVI393223:WVI393247 WLM393223:WLM393247 WBQ393223:WBQ393247 VRU393223:VRU393247 VHY393223:VHY393247 UYC393223:UYC393247 UOG393223:UOG393247 UEK393223:UEK393247 TUO393223:TUO393247 TKS393223:TKS393247 TAW393223:TAW393247 SRA393223:SRA393247 SHE393223:SHE393247 RXI393223:RXI393247 RNM393223:RNM393247 RDQ393223:RDQ393247 QTU393223:QTU393247 QJY393223:QJY393247 QAC393223:QAC393247 PQG393223:PQG393247 PGK393223:PGK393247 OWO393223:OWO393247 OMS393223:OMS393247 OCW393223:OCW393247 NTA393223:NTA393247 NJE393223:NJE393247 MZI393223:MZI393247 MPM393223:MPM393247 MFQ393223:MFQ393247 LVU393223:LVU393247 LLY393223:LLY393247 LCC393223:LCC393247 KSG393223:KSG393247 KIK393223:KIK393247 JYO393223:JYO393247 JOS393223:JOS393247 JEW393223:JEW393247 IVA393223:IVA393247 ILE393223:ILE393247 IBI393223:IBI393247 HRM393223:HRM393247 HHQ393223:HHQ393247 GXU393223:GXU393247 GNY393223:GNY393247 GEC393223:GEC393247 FUG393223:FUG393247 FKK393223:FKK393247 FAO393223:FAO393247 EQS393223:EQS393247 EGW393223:EGW393247 DXA393223:DXA393247 DNE393223:DNE393247 DDI393223:DDI393247 CTM393223:CTM393247 CJQ393223:CJQ393247 BZU393223:BZU393247 BPY393223:BPY393247 BGC393223:BGC393247 AWG393223:AWG393247 AMK393223:AMK393247 ACO393223:ACO393247 SS393223:SS393247 IW393223:IW393247 A393223:A393247 WVI327687:WVI327711 WLM327687:WLM327711 WBQ327687:WBQ327711 VRU327687:VRU327711 VHY327687:VHY327711 UYC327687:UYC327711 UOG327687:UOG327711 UEK327687:UEK327711 TUO327687:TUO327711 TKS327687:TKS327711 TAW327687:TAW327711 SRA327687:SRA327711 SHE327687:SHE327711 RXI327687:RXI327711 RNM327687:RNM327711 RDQ327687:RDQ327711 QTU327687:QTU327711 QJY327687:QJY327711 QAC327687:QAC327711 PQG327687:PQG327711 PGK327687:PGK327711 OWO327687:OWO327711 OMS327687:OMS327711 OCW327687:OCW327711 NTA327687:NTA327711 NJE327687:NJE327711 MZI327687:MZI327711 MPM327687:MPM327711 MFQ327687:MFQ327711 LVU327687:LVU327711 LLY327687:LLY327711 LCC327687:LCC327711 KSG327687:KSG327711 KIK327687:KIK327711 JYO327687:JYO327711 JOS327687:JOS327711 JEW327687:JEW327711 IVA327687:IVA327711 ILE327687:ILE327711 IBI327687:IBI327711 HRM327687:HRM327711 HHQ327687:HHQ327711 GXU327687:GXU327711 GNY327687:GNY327711 GEC327687:GEC327711 FUG327687:FUG327711 FKK327687:FKK327711 FAO327687:FAO327711 EQS327687:EQS327711 EGW327687:EGW327711 DXA327687:DXA327711 DNE327687:DNE327711 DDI327687:DDI327711 CTM327687:CTM327711 CJQ327687:CJQ327711 BZU327687:BZU327711 BPY327687:BPY327711 BGC327687:BGC327711 AWG327687:AWG327711 AMK327687:AMK327711 ACO327687:ACO327711 SS327687:SS327711 IW327687:IW327711 A327687:A327711 WVI262151:WVI262175 WLM262151:WLM262175 WBQ262151:WBQ262175 VRU262151:VRU262175 VHY262151:VHY262175 UYC262151:UYC262175 UOG262151:UOG262175 UEK262151:UEK262175 TUO262151:TUO262175 TKS262151:TKS262175 TAW262151:TAW262175 SRA262151:SRA262175 SHE262151:SHE262175 RXI262151:RXI262175 RNM262151:RNM262175 RDQ262151:RDQ262175 QTU262151:QTU262175 QJY262151:QJY262175 QAC262151:QAC262175 PQG262151:PQG262175 PGK262151:PGK262175 OWO262151:OWO262175 OMS262151:OMS262175 OCW262151:OCW262175 NTA262151:NTA262175 NJE262151:NJE262175 MZI262151:MZI262175 MPM262151:MPM262175 MFQ262151:MFQ262175 LVU262151:LVU262175 LLY262151:LLY262175 LCC262151:LCC262175 KSG262151:KSG262175 KIK262151:KIK262175 JYO262151:JYO262175 JOS262151:JOS262175 JEW262151:JEW262175 IVA262151:IVA262175 ILE262151:ILE262175 IBI262151:IBI262175 HRM262151:HRM262175 HHQ262151:HHQ262175 GXU262151:GXU262175 GNY262151:GNY262175 GEC262151:GEC262175 FUG262151:FUG262175 FKK262151:FKK262175 FAO262151:FAO262175 EQS262151:EQS262175 EGW262151:EGW262175 DXA262151:DXA262175 DNE262151:DNE262175 DDI262151:DDI262175 CTM262151:CTM262175 CJQ262151:CJQ262175 BZU262151:BZU262175 BPY262151:BPY262175 BGC262151:BGC262175 AWG262151:AWG262175 AMK262151:AMK262175 ACO262151:ACO262175 SS262151:SS262175 IW262151:IW262175 A262151:A262175 WVI196615:WVI196639 WLM196615:WLM196639 WBQ196615:WBQ196639 VRU196615:VRU196639 VHY196615:VHY196639 UYC196615:UYC196639 UOG196615:UOG196639 UEK196615:UEK196639 TUO196615:TUO196639 TKS196615:TKS196639 TAW196615:TAW196639 SRA196615:SRA196639 SHE196615:SHE196639 RXI196615:RXI196639 RNM196615:RNM196639 RDQ196615:RDQ196639 QTU196615:QTU196639 QJY196615:QJY196639 QAC196615:QAC196639 PQG196615:PQG196639 PGK196615:PGK196639 OWO196615:OWO196639 OMS196615:OMS196639 OCW196615:OCW196639 NTA196615:NTA196639 NJE196615:NJE196639 MZI196615:MZI196639 MPM196615:MPM196639 MFQ196615:MFQ196639 LVU196615:LVU196639 LLY196615:LLY196639 LCC196615:LCC196639 KSG196615:KSG196639 KIK196615:KIK196639 JYO196615:JYO196639 JOS196615:JOS196639 JEW196615:JEW196639 IVA196615:IVA196639 ILE196615:ILE196639 IBI196615:IBI196639 HRM196615:HRM196639 HHQ196615:HHQ196639 GXU196615:GXU196639 GNY196615:GNY196639 GEC196615:GEC196639 FUG196615:FUG196639 FKK196615:FKK196639 FAO196615:FAO196639 EQS196615:EQS196639 EGW196615:EGW196639 DXA196615:DXA196639 DNE196615:DNE196639 DDI196615:DDI196639 CTM196615:CTM196639 CJQ196615:CJQ196639 BZU196615:BZU196639 BPY196615:BPY196639 BGC196615:BGC196639 AWG196615:AWG196639 AMK196615:AMK196639 ACO196615:ACO196639 SS196615:SS196639 IW196615:IW196639 A196615:A196639 WVI131079:WVI131103 WLM131079:WLM131103 WBQ131079:WBQ131103 VRU131079:VRU131103 VHY131079:VHY131103 UYC131079:UYC131103 UOG131079:UOG131103 UEK131079:UEK131103 TUO131079:TUO131103 TKS131079:TKS131103 TAW131079:TAW131103 SRA131079:SRA131103 SHE131079:SHE131103 RXI131079:RXI131103 RNM131079:RNM131103 RDQ131079:RDQ131103 QTU131079:QTU131103 QJY131079:QJY131103 QAC131079:QAC131103 PQG131079:PQG131103 PGK131079:PGK131103 OWO131079:OWO131103 OMS131079:OMS131103 OCW131079:OCW131103 NTA131079:NTA131103 NJE131079:NJE131103 MZI131079:MZI131103 MPM131079:MPM131103 MFQ131079:MFQ131103 LVU131079:LVU131103 LLY131079:LLY131103 LCC131079:LCC131103 KSG131079:KSG131103 KIK131079:KIK131103 JYO131079:JYO131103 JOS131079:JOS131103 JEW131079:JEW131103 IVA131079:IVA131103 ILE131079:ILE131103 IBI131079:IBI131103 HRM131079:HRM131103 HHQ131079:HHQ131103 GXU131079:GXU131103 GNY131079:GNY131103 GEC131079:GEC131103 FUG131079:FUG131103 FKK131079:FKK131103 FAO131079:FAO131103 EQS131079:EQS131103 EGW131079:EGW131103 DXA131079:DXA131103 DNE131079:DNE131103 DDI131079:DDI131103 CTM131079:CTM131103 CJQ131079:CJQ131103 BZU131079:BZU131103 BPY131079:BPY131103 BGC131079:BGC131103 AWG131079:AWG131103 AMK131079:AMK131103 ACO131079:ACO131103 SS131079:SS131103 IW131079:IW131103 A131079:A131103 WVI65543:WVI65567 WLM65543:WLM65567 WBQ65543:WBQ65567 VRU65543:VRU65567 VHY65543:VHY65567 UYC65543:UYC65567 UOG65543:UOG65567 UEK65543:UEK65567 TUO65543:TUO65567 TKS65543:TKS65567 TAW65543:TAW65567 SRA65543:SRA65567 SHE65543:SHE65567 RXI65543:RXI65567 RNM65543:RNM65567 RDQ65543:RDQ65567 QTU65543:QTU65567 QJY65543:QJY65567 QAC65543:QAC65567 PQG65543:PQG65567 PGK65543:PGK65567 OWO65543:OWO65567 OMS65543:OMS65567 OCW65543:OCW65567 NTA65543:NTA65567 NJE65543:NJE65567 MZI65543:MZI65567 MPM65543:MPM65567 MFQ65543:MFQ65567 LVU65543:LVU65567 LLY65543:LLY65567 LCC65543:LCC65567 KSG65543:KSG65567 KIK65543:KIK65567 JYO65543:JYO65567 JOS65543:JOS65567 JEW65543:JEW65567 IVA65543:IVA65567 ILE65543:ILE65567 IBI65543:IBI65567 HRM65543:HRM65567 HHQ65543:HHQ65567 GXU65543:GXU65567 GNY65543:GNY65567 GEC65543:GEC65567 FUG65543:FUG65567 FKK65543:FKK65567 FAO65543:FAO65567 EQS65543:EQS65567 EGW65543:EGW65567 DXA65543:DXA65567 DNE65543:DNE65567 DDI65543:DDI65567 CTM65543:CTM65567 CJQ65543:CJQ65567 BZU65543:BZU65567 BPY65543:BPY65567 BGC65543:BGC65567 AWG65543:AWG65567 AMK65543:AMK65567 ACO65543:ACO65567 SS65543:SS65567 IW65543:IW65567 A65543:A65567 WVI5:WVI31 WLM5:WLM31 WBQ5:WBQ31 VRU5:VRU31 VHY5:VHY31 UYC5:UYC31 UOG5:UOG31 UEK5:UEK31 TUO5:TUO31 TKS5:TKS31 TAW5:TAW31 SRA5:SRA31 SHE5:SHE31 RXI5:RXI31 RNM5:RNM31 RDQ5:RDQ31 QTU5:QTU31 QJY5:QJY31 QAC5:QAC31 PQG5:PQG31 PGK5:PGK31 OWO5:OWO31 OMS5:OMS31 OCW5:OCW31 NTA5:NTA31 NJE5:NJE31 MZI5:MZI31 MPM5:MPM31 MFQ5:MFQ31 LVU5:LVU31 LLY5:LLY31 LCC5:LCC31 KSG5:KSG31 KIK5:KIK31 JYO5:JYO31 JOS5:JOS31 JEW5:JEW31 IVA5:IVA31 ILE5:ILE31 IBI5:IBI31 HRM5:HRM31 HHQ5:HHQ31 GXU5:GXU31 GNY5:GNY31 GEC5:GEC31 FUG5:FUG31 FKK5:FKK31 FAO5:FAO31 EQS5:EQS31 EGW5:EGW31 DXA5:DXA31 DNE5:DNE31 DDI5:DDI31 CTM5:CTM31 CJQ5:CJQ31 BZU5:BZU31 BPY5:BPY31 BGC5:BGC31 AWG5:AWG31 AMK5:AMK31 ACO5:ACO31 SS5:SS31 IW5:IW31" xr:uid="{5921DB42-7421-483C-84CA-2DEA9191766C}">
      <formula1>$A$1</formula1>
    </dataValidation>
    <dataValidation type="list" allowBlank="1" showInputMessage="1" showErrorMessage="1" sqref="G35:G42 G31:G32" xr:uid="{623CD0BE-FDA5-43DF-91AB-9DE340FA3495}">
      <formula1>$AJ$1:$AJ$18</formula1>
    </dataValidation>
    <dataValidation type="list" allowBlank="1" showInputMessage="1" showErrorMessage="1" sqref="F35:F42 F31:F32" xr:uid="{D8D39D48-335D-4AED-B96E-8D152050E7E0}">
      <formula1>$AH$1:$AH$4</formula1>
    </dataValidation>
  </dataValidations>
  <pageMargins left="0" right="0" top="0.98425196850393704" bottom="0.98425196850393704" header="0.51181102362204722" footer="0.51181102362204722"/>
  <pageSetup paperSize="9" scale="46" orientation="landscape" r:id="rId1"/>
  <headerFooter alignWithMargins="0"/>
  <extLst>
    <ext xmlns:x14="http://schemas.microsoft.com/office/spreadsheetml/2009/9/main" uri="{CCE6A557-97BC-4b89-ADB6-D9C93CAAB3DF}">
      <x14:dataValidations xmlns:xm="http://schemas.microsoft.com/office/excel/2006/main" count="11436">
        <x14:dataValidation type="list" allowBlank="1" showInputMessage="1" showErrorMessage="1" xr:uid="{09CC3DF7-40C2-4063-A3C1-3AD739B0684B}">
          <x14:formula1>
            <xm:f>#REF!</xm:f>
          </x14:formula1>
          <xm:sqref>R31:S31 WWD983071:WWE983071 WMH983071:WMI983071 WCL983071:WCM983071 VSP983071:VSQ983071 VIT983071:VIU983071 UYX983071:UYY983071 UPB983071:UPC983071 UFF983071:UFG983071 TVJ983071:TVK983071 TLN983071:TLO983071 TBR983071:TBS983071 SRV983071:SRW983071 SHZ983071:SIA983071 RYD983071:RYE983071 ROH983071:ROI983071 REL983071:REM983071 QUP983071:QUQ983071 QKT983071:QKU983071 QAX983071:QAY983071 PRB983071:PRC983071 PHF983071:PHG983071 OXJ983071:OXK983071 ONN983071:ONO983071 ODR983071:ODS983071 NTV983071:NTW983071 NJZ983071:NKA983071 NAD983071:NAE983071 MQH983071:MQI983071 MGL983071:MGM983071 LWP983071:LWQ983071 LMT983071:LMU983071 LCX983071:LCY983071 KTB983071:KTC983071 KJF983071:KJG983071 JZJ983071:JZK983071 JPN983071:JPO983071 JFR983071:JFS983071 IVV983071:IVW983071 ILZ983071:IMA983071 ICD983071:ICE983071 HSH983071:HSI983071 HIL983071:HIM983071 GYP983071:GYQ983071 GOT983071:GOU983071 GEX983071:GEY983071 FVB983071:FVC983071 FLF983071:FLG983071 FBJ983071:FBK983071 ERN983071:ERO983071 EHR983071:EHS983071 DXV983071:DXW983071 DNZ983071:DOA983071 DED983071:DEE983071 CUH983071:CUI983071 CKL983071:CKM983071 CAP983071:CAQ983071 BQT983071:BQU983071 BGX983071:BGY983071 AXB983071:AXC983071 ANF983071:ANG983071 ADJ983071:ADK983071 TN983071:TO983071 JR983071:JS983071 V983071:W983071 WWD917535:WWE917535 WMH917535:WMI917535 WCL917535:WCM917535 VSP917535:VSQ917535 VIT917535:VIU917535 UYX917535:UYY917535 UPB917535:UPC917535 UFF917535:UFG917535 TVJ917535:TVK917535 TLN917535:TLO917535 TBR917535:TBS917535 SRV917535:SRW917535 SHZ917535:SIA917535 RYD917535:RYE917535 ROH917535:ROI917535 REL917535:REM917535 QUP917535:QUQ917535 QKT917535:QKU917535 QAX917535:QAY917535 PRB917535:PRC917535 PHF917535:PHG917535 OXJ917535:OXK917535 ONN917535:ONO917535 ODR917535:ODS917535 NTV917535:NTW917535 NJZ917535:NKA917535 NAD917535:NAE917535 MQH917535:MQI917535 MGL917535:MGM917535 LWP917535:LWQ917535 LMT917535:LMU917535 LCX917535:LCY917535 KTB917535:KTC917535 KJF917535:KJG917535 JZJ917535:JZK917535 JPN917535:JPO917535 JFR917535:JFS917535 IVV917535:IVW917535 ILZ917535:IMA917535 ICD917535:ICE917535 HSH917535:HSI917535 HIL917535:HIM917535 GYP917535:GYQ917535 GOT917535:GOU917535 GEX917535:GEY917535 FVB917535:FVC917535 FLF917535:FLG917535 FBJ917535:FBK917535 ERN917535:ERO917535 EHR917535:EHS917535 DXV917535:DXW917535 DNZ917535:DOA917535 DED917535:DEE917535 CUH917535:CUI917535 CKL917535:CKM917535 CAP917535:CAQ917535 BQT917535:BQU917535 BGX917535:BGY917535 AXB917535:AXC917535 ANF917535:ANG917535 ADJ917535:ADK917535 TN917535:TO917535 JR917535:JS917535 V917535:W917535 WWD851999:WWE851999 WMH851999:WMI851999 WCL851999:WCM851999 VSP851999:VSQ851999 VIT851999:VIU851999 UYX851999:UYY851999 UPB851999:UPC851999 UFF851999:UFG851999 TVJ851999:TVK851999 TLN851999:TLO851999 TBR851999:TBS851999 SRV851999:SRW851999 SHZ851999:SIA851999 RYD851999:RYE851999 ROH851999:ROI851999 REL851999:REM851999 QUP851999:QUQ851999 QKT851999:QKU851999 QAX851999:QAY851999 PRB851999:PRC851999 PHF851999:PHG851999 OXJ851999:OXK851999 ONN851999:ONO851999 ODR851999:ODS851999 NTV851999:NTW851999 NJZ851999:NKA851999 NAD851999:NAE851999 MQH851999:MQI851999 MGL851999:MGM851999 LWP851999:LWQ851999 LMT851999:LMU851999 LCX851999:LCY851999 KTB851999:KTC851999 KJF851999:KJG851999 JZJ851999:JZK851999 JPN851999:JPO851999 JFR851999:JFS851999 IVV851999:IVW851999 ILZ851999:IMA851999 ICD851999:ICE851999 HSH851999:HSI851999 HIL851999:HIM851999 GYP851999:GYQ851999 GOT851999:GOU851999 GEX851999:GEY851999 FVB851999:FVC851999 FLF851999:FLG851999 FBJ851999:FBK851999 ERN851999:ERO851999 EHR851999:EHS851999 DXV851999:DXW851999 DNZ851999:DOA851999 DED851999:DEE851999 CUH851999:CUI851999 CKL851999:CKM851999 CAP851999:CAQ851999 BQT851999:BQU851999 BGX851999:BGY851999 AXB851999:AXC851999 ANF851999:ANG851999 ADJ851999:ADK851999 TN851999:TO851999 JR851999:JS851999 V851999:W851999 WWD786463:WWE786463 WMH786463:WMI786463 WCL786463:WCM786463 VSP786463:VSQ786463 VIT786463:VIU786463 UYX786463:UYY786463 UPB786463:UPC786463 UFF786463:UFG786463 TVJ786463:TVK786463 TLN786463:TLO786463 TBR786463:TBS786463 SRV786463:SRW786463 SHZ786463:SIA786463 RYD786463:RYE786463 ROH786463:ROI786463 REL786463:REM786463 QUP786463:QUQ786463 QKT786463:QKU786463 QAX786463:QAY786463 PRB786463:PRC786463 PHF786463:PHG786463 OXJ786463:OXK786463 ONN786463:ONO786463 ODR786463:ODS786463 NTV786463:NTW786463 NJZ786463:NKA786463 NAD786463:NAE786463 MQH786463:MQI786463 MGL786463:MGM786463 LWP786463:LWQ786463 LMT786463:LMU786463 LCX786463:LCY786463 KTB786463:KTC786463 KJF786463:KJG786463 JZJ786463:JZK786463 JPN786463:JPO786463 JFR786463:JFS786463 IVV786463:IVW786463 ILZ786463:IMA786463 ICD786463:ICE786463 HSH786463:HSI786463 HIL786463:HIM786463 GYP786463:GYQ786463 GOT786463:GOU786463 GEX786463:GEY786463 FVB786463:FVC786463 FLF786463:FLG786463 FBJ786463:FBK786463 ERN786463:ERO786463 EHR786463:EHS786463 DXV786463:DXW786463 DNZ786463:DOA786463 DED786463:DEE786463 CUH786463:CUI786463 CKL786463:CKM786463 CAP786463:CAQ786463 BQT786463:BQU786463 BGX786463:BGY786463 AXB786463:AXC786463 ANF786463:ANG786463 ADJ786463:ADK786463 TN786463:TO786463 JR786463:JS786463 V786463:W786463 WWD720927:WWE720927 WMH720927:WMI720927 WCL720927:WCM720927 VSP720927:VSQ720927 VIT720927:VIU720927 UYX720927:UYY720927 UPB720927:UPC720927 UFF720927:UFG720927 TVJ720927:TVK720927 TLN720927:TLO720927 TBR720927:TBS720927 SRV720927:SRW720927 SHZ720927:SIA720927 RYD720927:RYE720927 ROH720927:ROI720927 REL720927:REM720927 QUP720927:QUQ720927 QKT720927:QKU720927 QAX720927:QAY720927 PRB720927:PRC720927 PHF720927:PHG720927 OXJ720927:OXK720927 ONN720927:ONO720927 ODR720927:ODS720927 NTV720927:NTW720927 NJZ720927:NKA720927 NAD720927:NAE720927 MQH720927:MQI720927 MGL720927:MGM720927 LWP720927:LWQ720927 LMT720927:LMU720927 LCX720927:LCY720927 KTB720927:KTC720927 KJF720927:KJG720927 JZJ720927:JZK720927 JPN720927:JPO720927 JFR720927:JFS720927 IVV720927:IVW720927 ILZ720927:IMA720927 ICD720927:ICE720927 HSH720927:HSI720927 HIL720927:HIM720927 GYP720927:GYQ720927 GOT720927:GOU720927 GEX720927:GEY720927 FVB720927:FVC720927 FLF720927:FLG720927 FBJ720927:FBK720927 ERN720927:ERO720927 EHR720927:EHS720927 DXV720927:DXW720927 DNZ720927:DOA720927 DED720927:DEE720927 CUH720927:CUI720927 CKL720927:CKM720927 CAP720927:CAQ720927 BQT720927:BQU720927 BGX720927:BGY720927 AXB720927:AXC720927 ANF720927:ANG720927 ADJ720927:ADK720927 TN720927:TO720927 JR720927:JS720927 V720927:W720927 WWD655391:WWE655391 WMH655391:WMI655391 WCL655391:WCM655391 VSP655391:VSQ655391 VIT655391:VIU655391 UYX655391:UYY655391 UPB655391:UPC655391 UFF655391:UFG655391 TVJ655391:TVK655391 TLN655391:TLO655391 TBR655391:TBS655391 SRV655391:SRW655391 SHZ655391:SIA655391 RYD655391:RYE655391 ROH655391:ROI655391 REL655391:REM655391 QUP655391:QUQ655391 QKT655391:QKU655391 QAX655391:QAY655391 PRB655391:PRC655391 PHF655391:PHG655391 OXJ655391:OXK655391 ONN655391:ONO655391 ODR655391:ODS655391 NTV655391:NTW655391 NJZ655391:NKA655391 NAD655391:NAE655391 MQH655391:MQI655391 MGL655391:MGM655391 LWP655391:LWQ655391 LMT655391:LMU655391 LCX655391:LCY655391 KTB655391:KTC655391 KJF655391:KJG655391 JZJ655391:JZK655391 JPN655391:JPO655391 JFR655391:JFS655391 IVV655391:IVW655391 ILZ655391:IMA655391 ICD655391:ICE655391 HSH655391:HSI655391 HIL655391:HIM655391 GYP655391:GYQ655391 GOT655391:GOU655391 GEX655391:GEY655391 FVB655391:FVC655391 FLF655391:FLG655391 FBJ655391:FBK655391 ERN655391:ERO655391 EHR655391:EHS655391 DXV655391:DXW655391 DNZ655391:DOA655391 DED655391:DEE655391 CUH655391:CUI655391 CKL655391:CKM655391 CAP655391:CAQ655391 BQT655391:BQU655391 BGX655391:BGY655391 AXB655391:AXC655391 ANF655391:ANG655391 ADJ655391:ADK655391 TN655391:TO655391 JR655391:JS655391 V655391:W655391 WWD589855:WWE589855 WMH589855:WMI589855 WCL589855:WCM589855 VSP589855:VSQ589855 VIT589855:VIU589855 UYX589855:UYY589855 UPB589855:UPC589855 UFF589855:UFG589855 TVJ589855:TVK589855 TLN589855:TLO589855 TBR589855:TBS589855 SRV589855:SRW589855 SHZ589855:SIA589855 RYD589855:RYE589855 ROH589855:ROI589855 REL589855:REM589855 QUP589855:QUQ589855 QKT589855:QKU589855 QAX589855:QAY589855 PRB589855:PRC589855 PHF589855:PHG589855 OXJ589855:OXK589855 ONN589855:ONO589855 ODR589855:ODS589855 NTV589855:NTW589855 NJZ589855:NKA589855 NAD589855:NAE589855 MQH589855:MQI589855 MGL589855:MGM589855 LWP589855:LWQ589855 LMT589855:LMU589855 LCX589855:LCY589855 KTB589855:KTC589855 KJF589855:KJG589855 JZJ589855:JZK589855 JPN589855:JPO589855 JFR589855:JFS589855 IVV589855:IVW589855 ILZ589855:IMA589855 ICD589855:ICE589855 HSH589855:HSI589855 HIL589855:HIM589855 GYP589855:GYQ589855 GOT589855:GOU589855 GEX589855:GEY589855 FVB589855:FVC589855 FLF589855:FLG589855 FBJ589855:FBK589855 ERN589855:ERO589855 EHR589855:EHS589855 DXV589855:DXW589855 DNZ589855:DOA589855 DED589855:DEE589855 CUH589855:CUI589855 CKL589855:CKM589855 CAP589855:CAQ589855 BQT589855:BQU589855 BGX589855:BGY589855 AXB589855:AXC589855 ANF589855:ANG589855 ADJ589855:ADK589855 TN589855:TO589855 JR589855:JS589855 V589855:W589855 WWD524319:WWE524319 WMH524319:WMI524319 WCL524319:WCM524319 VSP524319:VSQ524319 VIT524319:VIU524319 UYX524319:UYY524319 UPB524319:UPC524319 UFF524319:UFG524319 TVJ524319:TVK524319 TLN524319:TLO524319 TBR524319:TBS524319 SRV524319:SRW524319 SHZ524319:SIA524319 RYD524319:RYE524319 ROH524319:ROI524319 REL524319:REM524319 QUP524319:QUQ524319 QKT524319:QKU524319 QAX524319:QAY524319 PRB524319:PRC524319 PHF524319:PHG524319 OXJ524319:OXK524319 ONN524319:ONO524319 ODR524319:ODS524319 NTV524319:NTW524319 NJZ524319:NKA524319 NAD524319:NAE524319 MQH524319:MQI524319 MGL524319:MGM524319 LWP524319:LWQ524319 LMT524319:LMU524319 LCX524319:LCY524319 KTB524319:KTC524319 KJF524319:KJG524319 JZJ524319:JZK524319 JPN524319:JPO524319 JFR524319:JFS524319 IVV524319:IVW524319 ILZ524319:IMA524319 ICD524319:ICE524319 HSH524319:HSI524319 HIL524319:HIM524319 GYP524319:GYQ524319 GOT524319:GOU524319 GEX524319:GEY524319 FVB524319:FVC524319 FLF524319:FLG524319 FBJ524319:FBK524319 ERN524319:ERO524319 EHR524319:EHS524319 DXV524319:DXW524319 DNZ524319:DOA524319 DED524319:DEE524319 CUH524319:CUI524319 CKL524319:CKM524319 CAP524319:CAQ524319 BQT524319:BQU524319 BGX524319:BGY524319 AXB524319:AXC524319 ANF524319:ANG524319 ADJ524319:ADK524319 TN524319:TO524319 JR524319:JS524319 V524319:W524319 WWD458783:WWE458783 WMH458783:WMI458783 WCL458783:WCM458783 VSP458783:VSQ458783 VIT458783:VIU458783 UYX458783:UYY458783 UPB458783:UPC458783 UFF458783:UFG458783 TVJ458783:TVK458783 TLN458783:TLO458783 TBR458783:TBS458783 SRV458783:SRW458783 SHZ458783:SIA458783 RYD458783:RYE458783 ROH458783:ROI458783 REL458783:REM458783 QUP458783:QUQ458783 QKT458783:QKU458783 QAX458783:QAY458783 PRB458783:PRC458783 PHF458783:PHG458783 OXJ458783:OXK458783 ONN458783:ONO458783 ODR458783:ODS458783 NTV458783:NTW458783 NJZ458783:NKA458783 NAD458783:NAE458783 MQH458783:MQI458783 MGL458783:MGM458783 LWP458783:LWQ458783 LMT458783:LMU458783 LCX458783:LCY458783 KTB458783:KTC458783 KJF458783:KJG458783 JZJ458783:JZK458783 JPN458783:JPO458783 JFR458783:JFS458783 IVV458783:IVW458783 ILZ458783:IMA458783 ICD458783:ICE458783 HSH458783:HSI458783 HIL458783:HIM458783 GYP458783:GYQ458783 GOT458783:GOU458783 GEX458783:GEY458783 FVB458783:FVC458783 FLF458783:FLG458783 FBJ458783:FBK458783 ERN458783:ERO458783 EHR458783:EHS458783 DXV458783:DXW458783 DNZ458783:DOA458783 DED458783:DEE458783 CUH458783:CUI458783 CKL458783:CKM458783 CAP458783:CAQ458783 BQT458783:BQU458783 BGX458783:BGY458783 AXB458783:AXC458783 ANF458783:ANG458783 ADJ458783:ADK458783 TN458783:TO458783 JR458783:JS458783 V458783:W458783 WWD393247:WWE393247 WMH393247:WMI393247 WCL393247:WCM393247 VSP393247:VSQ393247 VIT393247:VIU393247 UYX393247:UYY393247 UPB393247:UPC393247 UFF393247:UFG393247 TVJ393247:TVK393247 TLN393247:TLO393247 TBR393247:TBS393247 SRV393247:SRW393247 SHZ393247:SIA393247 RYD393247:RYE393247 ROH393247:ROI393247 REL393247:REM393247 QUP393247:QUQ393247 QKT393247:QKU393247 QAX393247:QAY393247 PRB393247:PRC393247 PHF393247:PHG393247 OXJ393247:OXK393247 ONN393247:ONO393247 ODR393247:ODS393247 NTV393247:NTW393247 NJZ393247:NKA393247 NAD393247:NAE393247 MQH393247:MQI393247 MGL393247:MGM393247 LWP393247:LWQ393247 LMT393247:LMU393247 LCX393247:LCY393247 KTB393247:KTC393247 KJF393247:KJG393247 JZJ393247:JZK393247 JPN393247:JPO393247 JFR393247:JFS393247 IVV393247:IVW393247 ILZ393247:IMA393247 ICD393247:ICE393247 HSH393247:HSI393247 HIL393247:HIM393247 GYP393247:GYQ393247 GOT393247:GOU393247 GEX393247:GEY393247 FVB393247:FVC393247 FLF393247:FLG393247 FBJ393247:FBK393247 ERN393247:ERO393247 EHR393247:EHS393247 DXV393247:DXW393247 DNZ393247:DOA393247 DED393247:DEE393247 CUH393247:CUI393247 CKL393247:CKM393247 CAP393247:CAQ393247 BQT393247:BQU393247 BGX393247:BGY393247 AXB393247:AXC393247 ANF393247:ANG393247 ADJ393247:ADK393247 TN393247:TO393247 JR393247:JS393247 V393247:W393247 WWD327711:WWE327711 WMH327711:WMI327711 WCL327711:WCM327711 VSP327711:VSQ327711 VIT327711:VIU327711 UYX327711:UYY327711 UPB327711:UPC327711 UFF327711:UFG327711 TVJ327711:TVK327711 TLN327711:TLO327711 TBR327711:TBS327711 SRV327711:SRW327711 SHZ327711:SIA327711 RYD327711:RYE327711 ROH327711:ROI327711 REL327711:REM327711 QUP327711:QUQ327711 QKT327711:QKU327711 QAX327711:QAY327711 PRB327711:PRC327711 PHF327711:PHG327711 OXJ327711:OXK327711 ONN327711:ONO327711 ODR327711:ODS327711 NTV327711:NTW327711 NJZ327711:NKA327711 NAD327711:NAE327711 MQH327711:MQI327711 MGL327711:MGM327711 LWP327711:LWQ327711 LMT327711:LMU327711 LCX327711:LCY327711 KTB327711:KTC327711 KJF327711:KJG327711 JZJ327711:JZK327711 JPN327711:JPO327711 JFR327711:JFS327711 IVV327711:IVW327711 ILZ327711:IMA327711 ICD327711:ICE327711 HSH327711:HSI327711 HIL327711:HIM327711 GYP327711:GYQ327711 GOT327711:GOU327711 GEX327711:GEY327711 FVB327711:FVC327711 FLF327711:FLG327711 FBJ327711:FBK327711 ERN327711:ERO327711 EHR327711:EHS327711 DXV327711:DXW327711 DNZ327711:DOA327711 DED327711:DEE327711 CUH327711:CUI327711 CKL327711:CKM327711 CAP327711:CAQ327711 BQT327711:BQU327711 BGX327711:BGY327711 AXB327711:AXC327711 ANF327711:ANG327711 ADJ327711:ADK327711 TN327711:TO327711 JR327711:JS327711 V327711:W327711 WWD262175:WWE262175 WMH262175:WMI262175 WCL262175:WCM262175 VSP262175:VSQ262175 VIT262175:VIU262175 UYX262175:UYY262175 UPB262175:UPC262175 UFF262175:UFG262175 TVJ262175:TVK262175 TLN262175:TLO262175 TBR262175:TBS262175 SRV262175:SRW262175 SHZ262175:SIA262175 RYD262175:RYE262175 ROH262175:ROI262175 REL262175:REM262175 QUP262175:QUQ262175 QKT262175:QKU262175 QAX262175:QAY262175 PRB262175:PRC262175 PHF262175:PHG262175 OXJ262175:OXK262175 ONN262175:ONO262175 ODR262175:ODS262175 NTV262175:NTW262175 NJZ262175:NKA262175 NAD262175:NAE262175 MQH262175:MQI262175 MGL262175:MGM262175 LWP262175:LWQ262175 LMT262175:LMU262175 LCX262175:LCY262175 KTB262175:KTC262175 KJF262175:KJG262175 JZJ262175:JZK262175 JPN262175:JPO262175 JFR262175:JFS262175 IVV262175:IVW262175 ILZ262175:IMA262175 ICD262175:ICE262175 HSH262175:HSI262175 HIL262175:HIM262175 GYP262175:GYQ262175 GOT262175:GOU262175 GEX262175:GEY262175 FVB262175:FVC262175 FLF262175:FLG262175 FBJ262175:FBK262175 ERN262175:ERO262175 EHR262175:EHS262175 DXV262175:DXW262175 DNZ262175:DOA262175 DED262175:DEE262175 CUH262175:CUI262175 CKL262175:CKM262175 CAP262175:CAQ262175 BQT262175:BQU262175 BGX262175:BGY262175 AXB262175:AXC262175 ANF262175:ANG262175 ADJ262175:ADK262175 TN262175:TO262175 JR262175:JS262175 V262175:W262175 WWD196639:WWE196639 WMH196639:WMI196639 WCL196639:WCM196639 VSP196639:VSQ196639 VIT196639:VIU196639 UYX196639:UYY196639 UPB196639:UPC196639 UFF196639:UFG196639 TVJ196639:TVK196639 TLN196639:TLO196639 TBR196639:TBS196639 SRV196639:SRW196639 SHZ196639:SIA196639 RYD196639:RYE196639 ROH196639:ROI196639 REL196639:REM196639 QUP196639:QUQ196639 QKT196639:QKU196639 QAX196639:QAY196639 PRB196639:PRC196639 PHF196639:PHG196639 OXJ196639:OXK196639 ONN196639:ONO196639 ODR196639:ODS196639 NTV196639:NTW196639 NJZ196639:NKA196639 NAD196639:NAE196639 MQH196639:MQI196639 MGL196639:MGM196639 LWP196639:LWQ196639 LMT196639:LMU196639 LCX196639:LCY196639 KTB196639:KTC196639 KJF196639:KJG196639 JZJ196639:JZK196639 JPN196639:JPO196639 JFR196639:JFS196639 IVV196639:IVW196639 ILZ196639:IMA196639 ICD196639:ICE196639 HSH196639:HSI196639 HIL196639:HIM196639 GYP196639:GYQ196639 GOT196639:GOU196639 GEX196639:GEY196639 FVB196639:FVC196639 FLF196639:FLG196639 FBJ196639:FBK196639 ERN196639:ERO196639 EHR196639:EHS196639 DXV196639:DXW196639 DNZ196639:DOA196639 DED196639:DEE196639 CUH196639:CUI196639 CKL196639:CKM196639 CAP196639:CAQ196639 BQT196639:BQU196639 BGX196639:BGY196639 AXB196639:AXC196639 ANF196639:ANG196639 ADJ196639:ADK196639 TN196639:TO196639 JR196639:JS196639 V196639:W196639 WWD131103:WWE131103 WMH131103:WMI131103 WCL131103:WCM131103 VSP131103:VSQ131103 VIT131103:VIU131103 UYX131103:UYY131103 UPB131103:UPC131103 UFF131103:UFG131103 TVJ131103:TVK131103 TLN131103:TLO131103 TBR131103:TBS131103 SRV131103:SRW131103 SHZ131103:SIA131103 RYD131103:RYE131103 ROH131103:ROI131103 REL131103:REM131103 QUP131103:QUQ131103 QKT131103:QKU131103 QAX131103:QAY131103 PRB131103:PRC131103 PHF131103:PHG131103 OXJ131103:OXK131103 ONN131103:ONO131103 ODR131103:ODS131103 NTV131103:NTW131103 NJZ131103:NKA131103 NAD131103:NAE131103 MQH131103:MQI131103 MGL131103:MGM131103 LWP131103:LWQ131103 LMT131103:LMU131103 LCX131103:LCY131103 KTB131103:KTC131103 KJF131103:KJG131103 JZJ131103:JZK131103 JPN131103:JPO131103 JFR131103:JFS131103 IVV131103:IVW131103 ILZ131103:IMA131103 ICD131103:ICE131103 HSH131103:HSI131103 HIL131103:HIM131103 GYP131103:GYQ131103 GOT131103:GOU131103 GEX131103:GEY131103 FVB131103:FVC131103 FLF131103:FLG131103 FBJ131103:FBK131103 ERN131103:ERO131103 EHR131103:EHS131103 DXV131103:DXW131103 DNZ131103:DOA131103 DED131103:DEE131103 CUH131103:CUI131103 CKL131103:CKM131103 CAP131103:CAQ131103 BQT131103:BQU131103 BGX131103:BGY131103 AXB131103:AXC131103 ANF131103:ANG131103 ADJ131103:ADK131103 TN131103:TO131103 JR131103:JS131103 V131103:W131103 WWD65567:WWE65567 WMH65567:WMI65567 WCL65567:WCM65567 VSP65567:VSQ65567 VIT65567:VIU65567 UYX65567:UYY65567 UPB65567:UPC65567 UFF65567:UFG65567 TVJ65567:TVK65567 TLN65567:TLO65567 TBR65567:TBS65567 SRV65567:SRW65567 SHZ65567:SIA65567 RYD65567:RYE65567 ROH65567:ROI65567 REL65567:REM65567 QUP65567:QUQ65567 QKT65567:QKU65567 QAX65567:QAY65567 PRB65567:PRC65567 PHF65567:PHG65567 OXJ65567:OXK65567 ONN65567:ONO65567 ODR65567:ODS65567 NTV65567:NTW65567 NJZ65567:NKA65567 NAD65567:NAE65567 MQH65567:MQI65567 MGL65567:MGM65567 LWP65567:LWQ65567 LMT65567:LMU65567 LCX65567:LCY65567 KTB65567:KTC65567 KJF65567:KJG65567 JZJ65567:JZK65567 JPN65567:JPO65567 JFR65567:JFS65567 IVV65567:IVW65567 ILZ65567:IMA65567 ICD65567:ICE65567 HSH65567:HSI65567 HIL65567:HIM65567 GYP65567:GYQ65567 GOT65567:GOU65567 GEX65567:GEY65567 FVB65567:FVC65567 FLF65567:FLG65567 FBJ65567:FBK65567 ERN65567:ERO65567 EHR65567:EHS65567 DXV65567:DXW65567 DNZ65567:DOA65567 DED65567:DEE65567 CUH65567:CUI65567 CKL65567:CKM65567 CAP65567:CAQ65567 BQT65567:BQU65567 BGX65567:BGY65567 AXB65567:AXC65567 ANF65567:ANG65567 ADJ65567:ADK65567 TN65567:TO65567 JR65567:JS65567 V65567:W65567 WWD31:WWE31 WMH31:WMI31 WCL31:WCM31 VSP31:VSQ31 VIT31:VIU31 UYX31:UYY31 UPB31:UPC31 UFF31:UFG31 TVJ31:TVK31 TLN31:TLO31 TBR31:TBS31 SRV31:SRW31 SHZ31:SIA31 RYD31:RYE31 ROH31:ROI31 REL31:REM31 QUP31:QUQ31 QKT31:QKU31 QAX31:QAY31 PRB31:PRC31 PHF31:PHG31 OXJ31:OXK31 ONN31:ONO31 ODR31:ODS31 NTV31:NTW31 NJZ31:NKA31 NAD31:NAE31 MQH31:MQI31 MGL31:MGM31 LWP31:LWQ31 LMT31:LMU31 LCX31:LCY31 KTB31:KTC31 KJF31:KJG31 JZJ31:JZK31 JPN31:JPO31 JFR31:JFS31 IVV31:IVW31 ILZ31:IMA31 ICD31:ICE31 HSH31:HSI31 HIL31:HIM31 GYP31:GYQ31 GOT31:GOU31 GEX31:GEY31 FVB31:FVC31 FLF31:FLG31 FBJ31:FBK31 ERN31:ERO31 EHR31:EHS31 DXV31:DXW31 DNZ31:DOA31 DED31:DEE31 CUH31:CUI31 CKL31:CKM31 CAP31:CAQ31 BQT31:BQU31 BGX31:BGY31 AXB31:AXC31 ANF31:ANG31 ADJ31:ADK31 TN31:TO31 JR31:JS31 V31:W31 WWD983046 WMH983046 WCL983046 VSP983046 VIT983046 UYX983046 UPB983046 UFF983046 TVJ983046 TLN983046 TBR983046 SRV983046 SHZ983046 RYD983046 ROH983046 REL983046 QUP983046 QKT983046 QAX983046 PRB983046 PHF983046 OXJ983046 ONN983046 ODR983046 NTV983046 NJZ983046 NAD983046 MQH983046 MGL983046 LWP983046 LMT983046 LCX983046 KTB983046 KJF983046 JZJ983046 JPN983046 JFR983046 IVV983046 ILZ983046 ICD983046 HSH983046 HIL983046 GYP983046 GOT983046 GEX983046 FVB983046 FLF983046 FBJ983046 ERN983046 EHR983046 DXV983046 DNZ983046 DED983046 CUH983046 CKL983046 CAP983046 BQT983046 BGX983046 AXB983046 ANF983046 ADJ983046 TN983046 JR983046 V983046 WWD917510 WMH917510 WCL917510 VSP917510 VIT917510 UYX917510 UPB917510 UFF917510 TVJ917510 TLN917510 TBR917510 SRV917510 SHZ917510 RYD917510 ROH917510 REL917510 QUP917510 QKT917510 QAX917510 PRB917510 PHF917510 OXJ917510 ONN917510 ODR917510 NTV917510 NJZ917510 NAD917510 MQH917510 MGL917510 LWP917510 LMT917510 LCX917510 KTB917510 KJF917510 JZJ917510 JPN917510 JFR917510 IVV917510 ILZ917510 ICD917510 HSH917510 HIL917510 GYP917510 GOT917510 GEX917510 FVB917510 FLF917510 FBJ917510 ERN917510 EHR917510 DXV917510 DNZ917510 DED917510 CUH917510 CKL917510 CAP917510 BQT917510 BGX917510 AXB917510 ANF917510 ADJ917510 TN917510 JR917510 V917510 WWD851974 WMH851974 WCL851974 VSP851974 VIT851974 UYX851974 UPB851974 UFF851974 TVJ851974 TLN851974 TBR851974 SRV851974 SHZ851974 RYD851974 ROH851974 REL851974 QUP851974 QKT851974 QAX851974 PRB851974 PHF851974 OXJ851974 ONN851974 ODR851974 NTV851974 NJZ851974 NAD851974 MQH851974 MGL851974 LWP851974 LMT851974 LCX851974 KTB851974 KJF851974 JZJ851974 JPN851974 JFR851974 IVV851974 ILZ851974 ICD851974 HSH851974 HIL851974 GYP851974 GOT851974 GEX851974 FVB851974 FLF851974 FBJ851974 ERN851974 EHR851974 DXV851974 DNZ851974 DED851974 CUH851974 CKL851974 CAP851974 BQT851974 BGX851974 AXB851974 ANF851974 ADJ851974 TN851974 JR851974 V851974 WWD786438 WMH786438 WCL786438 VSP786438 VIT786438 UYX786438 UPB786438 UFF786438 TVJ786438 TLN786438 TBR786438 SRV786438 SHZ786438 RYD786438 ROH786438 REL786438 QUP786438 QKT786438 QAX786438 PRB786438 PHF786438 OXJ786438 ONN786438 ODR786438 NTV786438 NJZ786438 NAD786438 MQH786438 MGL786438 LWP786438 LMT786438 LCX786438 KTB786438 KJF786438 JZJ786438 JPN786438 JFR786438 IVV786438 ILZ786438 ICD786438 HSH786438 HIL786438 GYP786438 GOT786438 GEX786438 FVB786438 FLF786438 FBJ786438 ERN786438 EHR786438 DXV786438 DNZ786438 DED786438 CUH786438 CKL786438 CAP786438 BQT786438 BGX786438 AXB786438 ANF786438 ADJ786438 TN786438 JR786438 V786438 WWD720902 WMH720902 WCL720902 VSP720902 VIT720902 UYX720902 UPB720902 UFF720902 TVJ720902 TLN720902 TBR720902 SRV720902 SHZ720902 RYD720902 ROH720902 REL720902 QUP720902 QKT720902 QAX720902 PRB720902 PHF720902 OXJ720902 ONN720902 ODR720902 NTV720902 NJZ720902 NAD720902 MQH720902 MGL720902 LWP720902 LMT720902 LCX720902 KTB720902 KJF720902 JZJ720902 JPN720902 JFR720902 IVV720902 ILZ720902 ICD720902 HSH720902 HIL720902 GYP720902 GOT720902 GEX720902 FVB720902 FLF720902 FBJ720902 ERN720902 EHR720902 DXV720902 DNZ720902 DED720902 CUH720902 CKL720902 CAP720902 BQT720902 BGX720902 AXB720902 ANF720902 ADJ720902 TN720902 JR720902 V720902 WWD655366 WMH655366 WCL655366 VSP655366 VIT655366 UYX655366 UPB655366 UFF655366 TVJ655366 TLN655366 TBR655366 SRV655366 SHZ655366 RYD655366 ROH655366 REL655366 QUP655366 QKT655366 QAX655366 PRB655366 PHF655366 OXJ655366 ONN655366 ODR655366 NTV655366 NJZ655366 NAD655366 MQH655366 MGL655366 LWP655366 LMT655366 LCX655366 KTB655366 KJF655366 JZJ655366 JPN655366 JFR655366 IVV655366 ILZ655366 ICD655366 HSH655366 HIL655366 GYP655366 GOT655366 GEX655366 FVB655366 FLF655366 FBJ655366 ERN655366 EHR655366 DXV655366 DNZ655366 DED655366 CUH655366 CKL655366 CAP655366 BQT655366 BGX655366 AXB655366 ANF655366 ADJ655366 TN655366 JR655366 V655366 WWD589830 WMH589830 WCL589830 VSP589830 VIT589830 UYX589830 UPB589830 UFF589830 TVJ589830 TLN589830 TBR589830 SRV589830 SHZ589830 RYD589830 ROH589830 REL589830 QUP589830 QKT589830 QAX589830 PRB589830 PHF589830 OXJ589830 ONN589830 ODR589830 NTV589830 NJZ589830 NAD589830 MQH589830 MGL589830 LWP589830 LMT589830 LCX589830 KTB589830 KJF589830 JZJ589830 JPN589830 JFR589830 IVV589830 ILZ589830 ICD589830 HSH589830 HIL589830 GYP589830 GOT589830 GEX589830 FVB589830 FLF589830 FBJ589830 ERN589830 EHR589830 DXV589830 DNZ589830 DED589830 CUH589830 CKL589830 CAP589830 BQT589830 BGX589830 AXB589830 ANF589830 ADJ589830 TN589830 JR589830 V589830 WWD524294 WMH524294 WCL524294 VSP524294 VIT524294 UYX524294 UPB524294 UFF524294 TVJ524294 TLN524294 TBR524294 SRV524294 SHZ524294 RYD524294 ROH524294 REL524294 QUP524294 QKT524294 QAX524294 PRB524294 PHF524294 OXJ524294 ONN524294 ODR524294 NTV524294 NJZ524294 NAD524294 MQH524294 MGL524294 LWP524294 LMT524294 LCX524294 KTB524294 KJF524294 JZJ524294 JPN524294 JFR524294 IVV524294 ILZ524294 ICD524294 HSH524294 HIL524294 GYP524294 GOT524294 GEX524294 FVB524294 FLF524294 FBJ524294 ERN524294 EHR524294 DXV524294 DNZ524294 DED524294 CUH524294 CKL524294 CAP524294 BQT524294 BGX524294 AXB524294 ANF524294 ADJ524294 TN524294 JR524294 V524294 WWD458758 WMH458758 WCL458758 VSP458758 VIT458758 UYX458758 UPB458758 UFF458758 TVJ458758 TLN458758 TBR458758 SRV458758 SHZ458758 RYD458758 ROH458758 REL458758 QUP458758 QKT458758 QAX458758 PRB458758 PHF458758 OXJ458758 ONN458758 ODR458758 NTV458758 NJZ458758 NAD458758 MQH458758 MGL458758 LWP458758 LMT458758 LCX458758 KTB458758 KJF458758 JZJ458758 JPN458758 JFR458758 IVV458758 ILZ458758 ICD458758 HSH458758 HIL458758 GYP458758 GOT458758 GEX458758 FVB458758 FLF458758 FBJ458758 ERN458758 EHR458758 DXV458758 DNZ458758 DED458758 CUH458758 CKL458758 CAP458758 BQT458758 BGX458758 AXB458758 ANF458758 ADJ458758 TN458758 JR458758 V458758 WWD393222 WMH393222 WCL393222 VSP393222 VIT393222 UYX393222 UPB393222 UFF393222 TVJ393222 TLN393222 TBR393222 SRV393222 SHZ393222 RYD393222 ROH393222 REL393222 QUP393222 QKT393222 QAX393222 PRB393222 PHF393222 OXJ393222 ONN393222 ODR393222 NTV393222 NJZ393222 NAD393222 MQH393222 MGL393222 LWP393222 LMT393222 LCX393222 KTB393222 KJF393222 JZJ393222 JPN393222 JFR393222 IVV393222 ILZ393222 ICD393222 HSH393222 HIL393222 GYP393222 GOT393222 GEX393222 FVB393222 FLF393222 FBJ393222 ERN393222 EHR393222 DXV393222 DNZ393222 DED393222 CUH393222 CKL393222 CAP393222 BQT393222 BGX393222 AXB393222 ANF393222 ADJ393222 TN393222 JR393222 V393222 WWD327686 WMH327686 WCL327686 VSP327686 VIT327686 UYX327686 UPB327686 UFF327686 TVJ327686 TLN327686 TBR327686 SRV327686 SHZ327686 RYD327686 ROH327686 REL327686 QUP327686 QKT327686 QAX327686 PRB327686 PHF327686 OXJ327686 ONN327686 ODR327686 NTV327686 NJZ327686 NAD327686 MQH327686 MGL327686 LWP327686 LMT327686 LCX327686 KTB327686 KJF327686 JZJ327686 JPN327686 JFR327686 IVV327686 ILZ327686 ICD327686 HSH327686 HIL327686 GYP327686 GOT327686 GEX327686 FVB327686 FLF327686 FBJ327686 ERN327686 EHR327686 DXV327686 DNZ327686 DED327686 CUH327686 CKL327686 CAP327686 BQT327686 BGX327686 AXB327686 ANF327686 ADJ327686 TN327686 JR327686 V327686 WWD262150 WMH262150 WCL262150 VSP262150 VIT262150 UYX262150 UPB262150 UFF262150 TVJ262150 TLN262150 TBR262150 SRV262150 SHZ262150 RYD262150 ROH262150 REL262150 QUP262150 QKT262150 QAX262150 PRB262150 PHF262150 OXJ262150 ONN262150 ODR262150 NTV262150 NJZ262150 NAD262150 MQH262150 MGL262150 LWP262150 LMT262150 LCX262150 KTB262150 KJF262150 JZJ262150 JPN262150 JFR262150 IVV262150 ILZ262150 ICD262150 HSH262150 HIL262150 GYP262150 GOT262150 GEX262150 FVB262150 FLF262150 FBJ262150 ERN262150 EHR262150 DXV262150 DNZ262150 DED262150 CUH262150 CKL262150 CAP262150 BQT262150 BGX262150 AXB262150 ANF262150 ADJ262150 TN262150 JR262150 V262150 WWD196614 WMH196614 WCL196614 VSP196614 VIT196614 UYX196614 UPB196614 UFF196614 TVJ196614 TLN196614 TBR196614 SRV196614 SHZ196614 RYD196614 ROH196614 REL196614 QUP196614 QKT196614 QAX196614 PRB196614 PHF196614 OXJ196614 ONN196614 ODR196614 NTV196614 NJZ196614 NAD196614 MQH196614 MGL196614 LWP196614 LMT196614 LCX196614 KTB196614 KJF196614 JZJ196614 JPN196614 JFR196614 IVV196614 ILZ196614 ICD196614 HSH196614 HIL196614 GYP196614 GOT196614 GEX196614 FVB196614 FLF196614 FBJ196614 ERN196614 EHR196614 DXV196614 DNZ196614 DED196614 CUH196614 CKL196614 CAP196614 BQT196614 BGX196614 AXB196614 ANF196614 ADJ196614 TN196614 JR196614 V196614 WWD131078 WMH131078 WCL131078 VSP131078 VIT131078 UYX131078 UPB131078 UFF131078 TVJ131078 TLN131078 TBR131078 SRV131078 SHZ131078 RYD131078 ROH131078 REL131078 QUP131078 QKT131078 QAX131078 PRB131078 PHF131078 OXJ131078 ONN131078 ODR131078 NTV131078 NJZ131078 NAD131078 MQH131078 MGL131078 LWP131078 LMT131078 LCX131078 KTB131078 KJF131078 JZJ131078 JPN131078 JFR131078 IVV131078 ILZ131078 ICD131078 HSH131078 HIL131078 GYP131078 GOT131078 GEX131078 FVB131078 FLF131078 FBJ131078 ERN131078 EHR131078 DXV131078 DNZ131078 DED131078 CUH131078 CKL131078 CAP131078 BQT131078 BGX131078 AXB131078 ANF131078 ADJ131078 TN131078 JR131078 V131078 WWD65542 WMH65542 WCL65542 VSP65542 VIT65542 UYX65542 UPB65542 UFF65542 TVJ65542 TLN65542 TBR65542 SRV65542 SHZ65542 RYD65542 ROH65542 REL65542 QUP65542 QKT65542 QAX65542 PRB65542 PHF65542 OXJ65542 ONN65542 ODR65542 NTV65542 NJZ65542 NAD65542 MQH65542 MGL65542 LWP65542 LMT65542 LCX65542 KTB65542 KJF65542 JZJ65542 JPN65542 JFR65542 IVV65542 ILZ65542 ICD65542 HSH65542 HIL65542 GYP65542 GOT65542 GEX65542 FVB65542 FLF65542 FBJ65542 ERN65542 EHR65542 DXV65542 DNZ65542 DED65542 CUH65542 CKL65542 CAP65542 BQT65542 BGX65542 AXB65542 ANF65542 ADJ65542 TN65542 JR65542 V65542 WWD4 WMH4 WCL4 VSP4 VIT4 UYX4 UPB4 UFF4 TVJ4 TLN4 TBR4 SRV4 SHZ4 RYD4 ROH4 REL4 QUP4 QKT4 QAX4 PRB4 PHF4 OXJ4 ONN4 ODR4 NTV4 NJZ4 NAD4 MQH4 MGL4 LWP4 LMT4 LCX4 KTB4 KJF4 JZJ4 JPN4 JFR4 IVV4 ILZ4 ICD4 HSH4 HIL4 GYP4 GOT4 GEX4 FVB4 FLF4 FBJ4 ERN4 EHR4 DXV4 DNZ4 DED4 CUH4 CKL4 CAP4 BQT4 BGX4 AXB4 ANF4 ADJ4 TN4 JR4 V4 WVZ983046 WMD983046 WCH983046 VSL983046 VIP983046 UYT983046 UOX983046 UFB983046 TVF983046 TLJ983046 TBN983046 SRR983046 SHV983046 RXZ983046 ROD983046 REH983046 QUL983046 QKP983046 QAT983046 PQX983046 PHB983046 OXF983046 ONJ983046 ODN983046 NTR983046 NJV983046 MZZ983046 MQD983046 MGH983046 LWL983046 LMP983046 LCT983046 KSX983046 KJB983046 JZF983046 JPJ983046 JFN983046 IVR983046 ILV983046 IBZ983046 HSD983046 HIH983046 GYL983046 GOP983046 GET983046 FUX983046 FLB983046 FBF983046 ERJ983046 EHN983046 DXR983046 DNV983046 DDZ983046 CUD983046 CKH983046 CAL983046 BQP983046 BGT983046 AWX983046 ANB983046 ADF983046 TJ983046 JN983046 R983046 WVZ917510 WMD917510 WCH917510 VSL917510 VIP917510 UYT917510 UOX917510 UFB917510 TVF917510 TLJ917510 TBN917510 SRR917510 SHV917510 RXZ917510 ROD917510 REH917510 QUL917510 QKP917510 QAT917510 PQX917510 PHB917510 OXF917510 ONJ917510 ODN917510 NTR917510 NJV917510 MZZ917510 MQD917510 MGH917510 LWL917510 LMP917510 LCT917510 KSX917510 KJB917510 JZF917510 JPJ917510 JFN917510 IVR917510 ILV917510 IBZ917510 HSD917510 HIH917510 GYL917510 GOP917510 GET917510 FUX917510 FLB917510 FBF917510 ERJ917510 EHN917510 DXR917510 DNV917510 DDZ917510 CUD917510 CKH917510 CAL917510 BQP917510 BGT917510 AWX917510 ANB917510 ADF917510 TJ917510 JN917510 R917510 WVZ851974 WMD851974 WCH851974 VSL851974 VIP851974 UYT851974 UOX851974 UFB851974 TVF851974 TLJ851974 TBN851974 SRR851974 SHV851974 RXZ851974 ROD851974 REH851974 QUL851974 QKP851974 QAT851974 PQX851974 PHB851974 OXF851974 ONJ851974 ODN851974 NTR851974 NJV851974 MZZ851974 MQD851974 MGH851974 LWL851974 LMP851974 LCT851974 KSX851974 KJB851974 JZF851974 JPJ851974 JFN851974 IVR851974 ILV851974 IBZ851974 HSD851974 HIH851974 GYL851974 GOP851974 GET851974 FUX851974 FLB851974 FBF851974 ERJ851974 EHN851974 DXR851974 DNV851974 DDZ851974 CUD851974 CKH851974 CAL851974 BQP851974 BGT851974 AWX851974 ANB851974 ADF851974 TJ851974 JN851974 R851974 WVZ786438 WMD786438 WCH786438 VSL786438 VIP786438 UYT786438 UOX786438 UFB786438 TVF786438 TLJ786438 TBN786438 SRR786438 SHV786438 RXZ786438 ROD786438 REH786438 QUL786438 QKP786438 QAT786438 PQX786438 PHB786438 OXF786438 ONJ786438 ODN786438 NTR786438 NJV786438 MZZ786438 MQD786438 MGH786438 LWL786438 LMP786438 LCT786438 KSX786438 KJB786438 JZF786438 JPJ786438 JFN786438 IVR786438 ILV786438 IBZ786438 HSD786438 HIH786438 GYL786438 GOP786438 GET786438 FUX786438 FLB786438 FBF786438 ERJ786438 EHN786438 DXR786438 DNV786438 DDZ786438 CUD786438 CKH786438 CAL786438 BQP786438 BGT786438 AWX786438 ANB786438 ADF786438 TJ786438 JN786438 R786438 WVZ720902 WMD720902 WCH720902 VSL720902 VIP720902 UYT720902 UOX720902 UFB720902 TVF720902 TLJ720902 TBN720902 SRR720902 SHV720902 RXZ720902 ROD720902 REH720902 QUL720902 QKP720902 QAT720902 PQX720902 PHB720902 OXF720902 ONJ720902 ODN720902 NTR720902 NJV720902 MZZ720902 MQD720902 MGH720902 LWL720902 LMP720902 LCT720902 KSX720902 KJB720902 JZF720902 JPJ720902 JFN720902 IVR720902 ILV720902 IBZ720902 HSD720902 HIH720902 GYL720902 GOP720902 GET720902 FUX720902 FLB720902 FBF720902 ERJ720902 EHN720902 DXR720902 DNV720902 DDZ720902 CUD720902 CKH720902 CAL720902 BQP720902 BGT720902 AWX720902 ANB720902 ADF720902 TJ720902 JN720902 R720902 WVZ655366 WMD655366 WCH655366 VSL655366 VIP655366 UYT655366 UOX655366 UFB655366 TVF655366 TLJ655366 TBN655366 SRR655366 SHV655366 RXZ655366 ROD655366 REH655366 QUL655366 QKP655366 QAT655366 PQX655366 PHB655366 OXF655366 ONJ655366 ODN655366 NTR655366 NJV655366 MZZ655366 MQD655366 MGH655366 LWL655366 LMP655366 LCT655366 KSX655366 KJB655366 JZF655366 JPJ655366 JFN655366 IVR655366 ILV655366 IBZ655366 HSD655366 HIH655366 GYL655366 GOP655366 GET655366 FUX655366 FLB655366 FBF655366 ERJ655366 EHN655366 DXR655366 DNV655366 DDZ655366 CUD655366 CKH655366 CAL655366 BQP655366 BGT655366 AWX655366 ANB655366 ADF655366 TJ655366 JN655366 R655366 WVZ589830 WMD589830 WCH589830 VSL589830 VIP589830 UYT589830 UOX589830 UFB589830 TVF589830 TLJ589830 TBN589830 SRR589830 SHV589830 RXZ589830 ROD589830 REH589830 QUL589830 QKP589830 QAT589830 PQX589830 PHB589830 OXF589830 ONJ589830 ODN589830 NTR589830 NJV589830 MZZ589830 MQD589830 MGH589830 LWL589830 LMP589830 LCT589830 KSX589830 KJB589830 JZF589830 JPJ589830 JFN589830 IVR589830 ILV589830 IBZ589830 HSD589830 HIH589830 GYL589830 GOP589830 GET589830 FUX589830 FLB589830 FBF589830 ERJ589830 EHN589830 DXR589830 DNV589830 DDZ589830 CUD589830 CKH589830 CAL589830 BQP589830 BGT589830 AWX589830 ANB589830 ADF589830 TJ589830 JN589830 R589830 WVZ524294 WMD524294 WCH524294 VSL524294 VIP524294 UYT524294 UOX524294 UFB524294 TVF524294 TLJ524294 TBN524294 SRR524294 SHV524294 RXZ524294 ROD524294 REH524294 QUL524294 QKP524294 QAT524294 PQX524294 PHB524294 OXF524294 ONJ524294 ODN524294 NTR524294 NJV524294 MZZ524294 MQD524294 MGH524294 LWL524294 LMP524294 LCT524294 KSX524294 KJB524294 JZF524294 JPJ524294 JFN524294 IVR524294 ILV524294 IBZ524294 HSD524294 HIH524294 GYL524294 GOP524294 GET524294 FUX524294 FLB524294 FBF524294 ERJ524294 EHN524294 DXR524294 DNV524294 DDZ524294 CUD524294 CKH524294 CAL524294 BQP524294 BGT524294 AWX524294 ANB524294 ADF524294 TJ524294 JN524294 R524294 WVZ458758 WMD458758 WCH458758 VSL458758 VIP458758 UYT458758 UOX458758 UFB458758 TVF458758 TLJ458758 TBN458758 SRR458758 SHV458758 RXZ458758 ROD458758 REH458758 QUL458758 QKP458758 QAT458758 PQX458758 PHB458758 OXF458758 ONJ458758 ODN458758 NTR458758 NJV458758 MZZ458758 MQD458758 MGH458758 LWL458758 LMP458758 LCT458758 KSX458758 KJB458758 JZF458758 JPJ458758 JFN458758 IVR458758 ILV458758 IBZ458758 HSD458758 HIH458758 GYL458758 GOP458758 GET458758 FUX458758 FLB458758 FBF458758 ERJ458758 EHN458758 DXR458758 DNV458758 DDZ458758 CUD458758 CKH458758 CAL458758 BQP458758 BGT458758 AWX458758 ANB458758 ADF458758 TJ458758 JN458758 R458758 WVZ393222 WMD393222 WCH393222 VSL393222 VIP393222 UYT393222 UOX393222 UFB393222 TVF393222 TLJ393222 TBN393222 SRR393222 SHV393222 RXZ393222 ROD393222 REH393222 QUL393222 QKP393222 QAT393222 PQX393222 PHB393222 OXF393222 ONJ393222 ODN393222 NTR393222 NJV393222 MZZ393222 MQD393222 MGH393222 LWL393222 LMP393222 LCT393222 KSX393222 KJB393222 JZF393222 JPJ393222 JFN393222 IVR393222 ILV393222 IBZ393222 HSD393222 HIH393222 GYL393222 GOP393222 GET393222 FUX393222 FLB393222 FBF393222 ERJ393222 EHN393222 DXR393222 DNV393222 DDZ393222 CUD393222 CKH393222 CAL393222 BQP393222 BGT393222 AWX393222 ANB393222 ADF393222 TJ393222 JN393222 R393222 WVZ327686 WMD327686 WCH327686 VSL327686 VIP327686 UYT327686 UOX327686 UFB327686 TVF327686 TLJ327686 TBN327686 SRR327686 SHV327686 RXZ327686 ROD327686 REH327686 QUL327686 QKP327686 QAT327686 PQX327686 PHB327686 OXF327686 ONJ327686 ODN327686 NTR327686 NJV327686 MZZ327686 MQD327686 MGH327686 LWL327686 LMP327686 LCT327686 KSX327686 KJB327686 JZF327686 JPJ327686 JFN327686 IVR327686 ILV327686 IBZ327686 HSD327686 HIH327686 GYL327686 GOP327686 GET327686 FUX327686 FLB327686 FBF327686 ERJ327686 EHN327686 DXR327686 DNV327686 DDZ327686 CUD327686 CKH327686 CAL327686 BQP327686 BGT327686 AWX327686 ANB327686 ADF327686 TJ327686 JN327686 R327686 WVZ262150 WMD262150 WCH262150 VSL262150 VIP262150 UYT262150 UOX262150 UFB262150 TVF262150 TLJ262150 TBN262150 SRR262150 SHV262150 RXZ262150 ROD262150 REH262150 QUL262150 QKP262150 QAT262150 PQX262150 PHB262150 OXF262150 ONJ262150 ODN262150 NTR262150 NJV262150 MZZ262150 MQD262150 MGH262150 LWL262150 LMP262150 LCT262150 KSX262150 KJB262150 JZF262150 JPJ262150 JFN262150 IVR262150 ILV262150 IBZ262150 HSD262150 HIH262150 GYL262150 GOP262150 GET262150 FUX262150 FLB262150 FBF262150 ERJ262150 EHN262150 DXR262150 DNV262150 DDZ262150 CUD262150 CKH262150 CAL262150 BQP262150 BGT262150 AWX262150 ANB262150 ADF262150 TJ262150 JN262150 R262150 WVZ196614 WMD196614 WCH196614 VSL196614 VIP196614 UYT196614 UOX196614 UFB196614 TVF196614 TLJ196614 TBN196614 SRR196614 SHV196614 RXZ196614 ROD196614 REH196614 QUL196614 QKP196614 QAT196614 PQX196614 PHB196614 OXF196614 ONJ196614 ODN196614 NTR196614 NJV196614 MZZ196614 MQD196614 MGH196614 LWL196614 LMP196614 LCT196614 KSX196614 KJB196614 JZF196614 JPJ196614 JFN196614 IVR196614 ILV196614 IBZ196614 HSD196614 HIH196614 GYL196614 GOP196614 GET196614 FUX196614 FLB196614 FBF196614 ERJ196614 EHN196614 DXR196614 DNV196614 DDZ196614 CUD196614 CKH196614 CAL196614 BQP196614 BGT196614 AWX196614 ANB196614 ADF196614 TJ196614 JN196614 R196614 WVZ131078 WMD131078 WCH131078 VSL131078 VIP131078 UYT131078 UOX131078 UFB131078 TVF131078 TLJ131078 TBN131078 SRR131078 SHV131078 RXZ131078 ROD131078 REH131078 QUL131078 QKP131078 QAT131078 PQX131078 PHB131078 OXF131078 ONJ131078 ODN131078 NTR131078 NJV131078 MZZ131078 MQD131078 MGH131078 LWL131078 LMP131078 LCT131078 KSX131078 KJB131078 JZF131078 JPJ131078 JFN131078 IVR131078 ILV131078 IBZ131078 HSD131078 HIH131078 GYL131078 GOP131078 GET131078 FUX131078 FLB131078 FBF131078 ERJ131078 EHN131078 DXR131078 DNV131078 DDZ131078 CUD131078 CKH131078 CAL131078 BQP131078 BGT131078 AWX131078 ANB131078 ADF131078 TJ131078 JN131078 R131078 WVZ65542 WMD65542 WCH65542 VSL65542 VIP65542 UYT65542 UOX65542 UFB65542 TVF65542 TLJ65542 TBN65542 SRR65542 SHV65542 RXZ65542 ROD65542 REH65542 QUL65542 QKP65542 QAT65542 PQX65542 PHB65542 OXF65542 ONJ65542 ODN65542 NTR65542 NJV65542 MZZ65542 MQD65542 MGH65542 LWL65542 LMP65542 LCT65542 KSX65542 KJB65542 JZF65542 JPJ65542 JFN65542 IVR65542 ILV65542 IBZ65542 HSD65542 HIH65542 GYL65542 GOP65542 GET65542 FUX65542 FLB65542 FBF65542 ERJ65542 EHN65542 DXR65542 DNV65542 DDZ65542 CUD65542 CKH65542 CAL65542 BQP65542 BGT65542 AWX65542 ANB65542 ADF65542 TJ65542 JN65542 R65542 WVZ4 WMD4 WCH4 VSL4 VIP4 UYT4 UOX4 UFB4 TVF4 TLJ4 TBN4 SRR4 SHV4 RXZ4 ROD4 REH4 QUL4 QKP4 QAT4 PQX4 PHB4 OXF4 ONJ4 ODN4 NTR4 NJV4 MZZ4 MQD4 MGH4 LWL4 LMP4 LCT4 KSX4 KJB4 JZF4 JPJ4 JFN4 IVR4 ILV4 IBZ4 HSD4 HIH4 GYL4 GOP4 GET4 FUX4 FLB4 FBF4 ERJ4 EHN4 DXR4 DNV4 DDZ4 CUD4 CKH4 CAL4 BQP4 BGT4 AWX4 ANB4 ADF4 TJ4 JN4 R4 WVV983046 WLZ983046 WCD983046 VSH983046 VIL983046 UYP983046 UOT983046 UEX983046 TVB983046 TLF983046 TBJ983046 SRN983046 SHR983046 RXV983046 RNZ983046 RED983046 QUH983046 QKL983046 QAP983046 PQT983046 PGX983046 OXB983046 ONF983046 ODJ983046 NTN983046 NJR983046 MZV983046 MPZ983046 MGD983046 LWH983046 LML983046 LCP983046 KST983046 KIX983046 JZB983046 JPF983046 JFJ983046 IVN983046 ILR983046 IBV983046 HRZ983046 HID983046 GYH983046 GOL983046 GEP983046 FUT983046 FKX983046 FBB983046 ERF983046 EHJ983046 DXN983046 DNR983046 DDV983046 CTZ983046 CKD983046 CAH983046 BQL983046 BGP983046 AWT983046 AMX983046 ADB983046 TF983046 JJ983046 N983046 WVV917510 WLZ917510 WCD917510 VSH917510 VIL917510 UYP917510 UOT917510 UEX917510 TVB917510 TLF917510 TBJ917510 SRN917510 SHR917510 RXV917510 RNZ917510 RED917510 QUH917510 QKL917510 QAP917510 PQT917510 PGX917510 OXB917510 ONF917510 ODJ917510 NTN917510 NJR917510 MZV917510 MPZ917510 MGD917510 LWH917510 LML917510 LCP917510 KST917510 KIX917510 JZB917510 JPF917510 JFJ917510 IVN917510 ILR917510 IBV917510 HRZ917510 HID917510 GYH917510 GOL917510 GEP917510 FUT917510 FKX917510 FBB917510 ERF917510 EHJ917510 DXN917510 DNR917510 DDV917510 CTZ917510 CKD917510 CAH917510 BQL917510 BGP917510 AWT917510 AMX917510 ADB917510 TF917510 JJ917510 N917510 WVV851974 WLZ851974 WCD851974 VSH851974 VIL851974 UYP851974 UOT851974 UEX851974 TVB851974 TLF851974 TBJ851974 SRN851974 SHR851974 RXV851974 RNZ851974 RED851974 QUH851974 QKL851974 QAP851974 PQT851974 PGX851974 OXB851974 ONF851974 ODJ851974 NTN851974 NJR851974 MZV851974 MPZ851974 MGD851974 LWH851974 LML851974 LCP851974 KST851974 KIX851974 JZB851974 JPF851974 JFJ851974 IVN851974 ILR851974 IBV851974 HRZ851974 HID851974 GYH851974 GOL851974 GEP851974 FUT851974 FKX851974 FBB851974 ERF851974 EHJ851974 DXN851974 DNR851974 DDV851974 CTZ851974 CKD851974 CAH851974 BQL851974 BGP851974 AWT851974 AMX851974 ADB851974 TF851974 JJ851974 N851974 WVV786438 WLZ786438 WCD786438 VSH786438 VIL786438 UYP786438 UOT786438 UEX786438 TVB786438 TLF786438 TBJ786438 SRN786438 SHR786438 RXV786438 RNZ786438 RED786438 QUH786438 QKL786438 QAP786438 PQT786438 PGX786438 OXB786438 ONF786438 ODJ786438 NTN786438 NJR786438 MZV786438 MPZ786438 MGD786438 LWH786438 LML786438 LCP786438 KST786438 KIX786438 JZB786438 JPF786438 JFJ786438 IVN786438 ILR786438 IBV786438 HRZ786438 HID786438 GYH786438 GOL786438 GEP786438 FUT786438 FKX786438 FBB786438 ERF786438 EHJ786438 DXN786438 DNR786438 DDV786438 CTZ786438 CKD786438 CAH786438 BQL786438 BGP786438 AWT786438 AMX786438 ADB786438 TF786438 JJ786438 N786438 WVV720902 WLZ720902 WCD720902 VSH720902 VIL720902 UYP720902 UOT720902 UEX720902 TVB720902 TLF720902 TBJ720902 SRN720902 SHR720902 RXV720902 RNZ720902 RED720902 QUH720902 QKL720902 QAP720902 PQT720902 PGX720902 OXB720902 ONF720902 ODJ720902 NTN720902 NJR720902 MZV720902 MPZ720902 MGD720902 LWH720902 LML720902 LCP720902 KST720902 KIX720902 JZB720902 JPF720902 JFJ720902 IVN720902 ILR720902 IBV720902 HRZ720902 HID720902 GYH720902 GOL720902 GEP720902 FUT720902 FKX720902 FBB720902 ERF720902 EHJ720902 DXN720902 DNR720902 DDV720902 CTZ720902 CKD720902 CAH720902 BQL720902 BGP720902 AWT720902 AMX720902 ADB720902 TF720902 JJ720902 N720902 WVV655366 WLZ655366 WCD655366 VSH655366 VIL655366 UYP655366 UOT655366 UEX655366 TVB655366 TLF655366 TBJ655366 SRN655366 SHR655366 RXV655366 RNZ655366 RED655366 QUH655366 QKL655366 QAP655366 PQT655366 PGX655366 OXB655366 ONF655366 ODJ655366 NTN655366 NJR655366 MZV655366 MPZ655366 MGD655366 LWH655366 LML655366 LCP655366 KST655366 KIX655366 JZB655366 JPF655366 JFJ655366 IVN655366 ILR655366 IBV655366 HRZ655366 HID655366 GYH655366 GOL655366 GEP655366 FUT655366 FKX655366 FBB655366 ERF655366 EHJ655366 DXN655366 DNR655366 DDV655366 CTZ655366 CKD655366 CAH655366 BQL655366 BGP655366 AWT655366 AMX655366 ADB655366 TF655366 JJ655366 N655366 WVV589830 WLZ589830 WCD589830 VSH589830 VIL589830 UYP589830 UOT589830 UEX589830 TVB589830 TLF589830 TBJ589830 SRN589830 SHR589830 RXV589830 RNZ589830 RED589830 QUH589830 QKL589830 QAP589830 PQT589830 PGX589830 OXB589830 ONF589830 ODJ589830 NTN589830 NJR589830 MZV589830 MPZ589830 MGD589830 LWH589830 LML589830 LCP589830 KST589830 KIX589830 JZB589830 JPF589830 JFJ589830 IVN589830 ILR589830 IBV589830 HRZ589830 HID589830 GYH589830 GOL589830 GEP589830 FUT589830 FKX589830 FBB589830 ERF589830 EHJ589830 DXN589830 DNR589830 DDV589830 CTZ589830 CKD589830 CAH589830 BQL589830 BGP589830 AWT589830 AMX589830 ADB589830 TF589830 JJ589830 N589830 WVV524294 WLZ524294 WCD524294 VSH524294 VIL524294 UYP524294 UOT524294 UEX524294 TVB524294 TLF524294 TBJ524294 SRN524294 SHR524294 RXV524294 RNZ524294 RED524294 QUH524294 QKL524294 QAP524294 PQT524294 PGX524294 OXB524294 ONF524294 ODJ524294 NTN524294 NJR524294 MZV524294 MPZ524294 MGD524294 LWH524294 LML524294 LCP524294 KST524294 KIX524294 JZB524294 JPF524294 JFJ524294 IVN524294 ILR524294 IBV524294 HRZ524294 HID524294 GYH524294 GOL524294 GEP524294 FUT524294 FKX524294 FBB524294 ERF524294 EHJ524294 DXN524294 DNR524294 DDV524294 CTZ524294 CKD524294 CAH524294 BQL524294 BGP524294 AWT524294 AMX524294 ADB524294 TF524294 JJ524294 N524294 WVV458758 WLZ458758 WCD458758 VSH458758 VIL458758 UYP458758 UOT458758 UEX458758 TVB458758 TLF458758 TBJ458758 SRN458758 SHR458758 RXV458758 RNZ458758 RED458758 QUH458758 QKL458758 QAP458758 PQT458758 PGX458758 OXB458758 ONF458758 ODJ458758 NTN458758 NJR458758 MZV458758 MPZ458758 MGD458758 LWH458758 LML458758 LCP458758 KST458758 KIX458758 JZB458758 JPF458758 JFJ458758 IVN458758 ILR458758 IBV458758 HRZ458758 HID458758 GYH458758 GOL458758 GEP458758 FUT458758 FKX458758 FBB458758 ERF458758 EHJ458758 DXN458758 DNR458758 DDV458758 CTZ458758 CKD458758 CAH458758 BQL458758 BGP458758 AWT458758 AMX458758 ADB458758 TF458758 JJ458758 N458758 WVV393222 WLZ393222 WCD393222 VSH393222 VIL393222 UYP393222 UOT393222 UEX393222 TVB393222 TLF393222 TBJ393222 SRN393222 SHR393222 RXV393222 RNZ393222 RED393222 QUH393222 QKL393222 QAP393222 PQT393222 PGX393222 OXB393222 ONF393222 ODJ393222 NTN393222 NJR393222 MZV393222 MPZ393222 MGD393222 LWH393222 LML393222 LCP393222 KST393222 KIX393222 JZB393222 JPF393222 JFJ393222 IVN393222 ILR393222 IBV393222 HRZ393222 HID393222 GYH393222 GOL393222 GEP393222 FUT393222 FKX393222 FBB393222 ERF393222 EHJ393222 DXN393222 DNR393222 DDV393222 CTZ393222 CKD393222 CAH393222 BQL393222 BGP393222 AWT393222 AMX393222 ADB393222 TF393222 JJ393222 N393222 WVV327686 WLZ327686 WCD327686 VSH327686 VIL327686 UYP327686 UOT327686 UEX327686 TVB327686 TLF327686 TBJ327686 SRN327686 SHR327686 RXV327686 RNZ327686 RED327686 QUH327686 QKL327686 QAP327686 PQT327686 PGX327686 OXB327686 ONF327686 ODJ327686 NTN327686 NJR327686 MZV327686 MPZ327686 MGD327686 LWH327686 LML327686 LCP327686 KST327686 KIX327686 JZB327686 JPF327686 JFJ327686 IVN327686 ILR327686 IBV327686 HRZ327686 HID327686 GYH327686 GOL327686 GEP327686 FUT327686 FKX327686 FBB327686 ERF327686 EHJ327686 DXN327686 DNR327686 DDV327686 CTZ327686 CKD327686 CAH327686 BQL327686 BGP327686 AWT327686 AMX327686 ADB327686 TF327686 JJ327686 N327686 WVV262150 WLZ262150 WCD262150 VSH262150 VIL262150 UYP262150 UOT262150 UEX262150 TVB262150 TLF262150 TBJ262150 SRN262150 SHR262150 RXV262150 RNZ262150 RED262150 QUH262150 QKL262150 QAP262150 PQT262150 PGX262150 OXB262150 ONF262150 ODJ262150 NTN262150 NJR262150 MZV262150 MPZ262150 MGD262150 LWH262150 LML262150 LCP262150 KST262150 KIX262150 JZB262150 JPF262150 JFJ262150 IVN262150 ILR262150 IBV262150 HRZ262150 HID262150 GYH262150 GOL262150 GEP262150 FUT262150 FKX262150 FBB262150 ERF262150 EHJ262150 DXN262150 DNR262150 DDV262150 CTZ262150 CKD262150 CAH262150 BQL262150 BGP262150 AWT262150 AMX262150 ADB262150 TF262150 JJ262150 N262150 WVV196614 WLZ196614 WCD196614 VSH196614 VIL196614 UYP196614 UOT196614 UEX196614 TVB196614 TLF196614 TBJ196614 SRN196614 SHR196614 RXV196614 RNZ196614 RED196614 QUH196614 QKL196614 QAP196614 PQT196614 PGX196614 OXB196614 ONF196614 ODJ196614 NTN196614 NJR196614 MZV196614 MPZ196614 MGD196614 LWH196614 LML196614 LCP196614 KST196614 KIX196614 JZB196614 JPF196614 JFJ196614 IVN196614 ILR196614 IBV196614 HRZ196614 HID196614 GYH196614 GOL196614 GEP196614 FUT196614 FKX196614 FBB196614 ERF196614 EHJ196614 DXN196614 DNR196614 DDV196614 CTZ196614 CKD196614 CAH196614 BQL196614 BGP196614 AWT196614 AMX196614 ADB196614 TF196614 JJ196614 N196614 WVV131078 WLZ131078 WCD131078 VSH131078 VIL131078 UYP131078 UOT131078 UEX131078 TVB131078 TLF131078 TBJ131078 SRN131078 SHR131078 RXV131078 RNZ131078 RED131078 QUH131078 QKL131078 QAP131078 PQT131078 PGX131078 OXB131078 ONF131078 ODJ131078 NTN131078 NJR131078 MZV131078 MPZ131078 MGD131078 LWH131078 LML131078 LCP131078 KST131078 KIX131078 JZB131078 JPF131078 JFJ131078 IVN131078 ILR131078 IBV131078 HRZ131078 HID131078 GYH131078 GOL131078 GEP131078 FUT131078 FKX131078 FBB131078 ERF131078 EHJ131078 DXN131078 DNR131078 DDV131078 CTZ131078 CKD131078 CAH131078 BQL131078 BGP131078 AWT131078 AMX131078 ADB131078 TF131078 JJ131078 N131078 WVV65542 WLZ65542 WCD65542 VSH65542 VIL65542 UYP65542 UOT65542 UEX65542 TVB65542 TLF65542 TBJ65542 SRN65542 SHR65542 RXV65542 RNZ65542 RED65542 QUH65542 QKL65542 QAP65542 PQT65542 PGX65542 OXB65542 ONF65542 ODJ65542 NTN65542 NJR65542 MZV65542 MPZ65542 MGD65542 LWH65542 LML65542 LCP65542 KST65542 KIX65542 JZB65542 JPF65542 JFJ65542 IVN65542 ILR65542 IBV65542 HRZ65542 HID65542 GYH65542 GOL65542 GEP65542 FUT65542 FKX65542 FBB65542 ERF65542 EHJ65542 DXN65542 DNR65542 DDV65542 CTZ65542 CKD65542 CAH65542 BQL65542 BGP65542 AWT65542 AMX65542 ADB65542 TF65542 JJ65542 N65542 WVV4 WLZ4 WCD4 VSH4 VIL4 UYP4 UOT4 UEX4 TVB4 TLF4 TBJ4 SRN4 SHR4 RXV4 RNZ4 RED4 QUH4 QKL4 QAP4 PQT4 PGX4 OXB4 ONF4 ODJ4 NTN4 NJR4 MZV4 MPZ4 MGD4 LWH4 LML4 LCP4 KST4 KIX4 JZB4 JPF4 JFJ4 IVN4 ILR4 IBV4 HRZ4 HID4 GYH4 GOL4 GEP4 FUT4 FKX4 FBB4 ERF4 EHJ4 DXN4 DNR4 DDV4 CTZ4 CKD4 CAH4 BQL4 BGP4 AWT4 AMX4 ADB4 TF4 JJ4 N4 WVR983046 WLV983046 WBZ983046 VSD983046 VIH983046 UYL983046 UOP983046 UET983046 TUX983046 TLB983046 TBF983046 SRJ983046 SHN983046 RXR983046 RNV983046 RDZ983046 QUD983046 QKH983046 QAL983046 PQP983046 PGT983046 OWX983046 ONB983046 ODF983046 NTJ983046 NJN983046 MZR983046 MPV983046 MFZ983046 LWD983046 LMH983046 LCL983046 KSP983046 KIT983046 JYX983046 JPB983046 JFF983046 IVJ983046 ILN983046 IBR983046 HRV983046 HHZ983046 GYD983046 GOH983046 GEL983046 FUP983046 FKT983046 FAX983046 ERB983046 EHF983046 DXJ983046 DNN983046 DDR983046 CTV983046 CJZ983046 CAD983046 BQH983046 BGL983046 AWP983046 AMT983046 ACX983046 TB983046 JF983046 J983046 WVR917510 WLV917510 WBZ917510 VSD917510 VIH917510 UYL917510 UOP917510 UET917510 TUX917510 TLB917510 TBF917510 SRJ917510 SHN917510 RXR917510 RNV917510 RDZ917510 QUD917510 QKH917510 QAL917510 PQP917510 PGT917510 OWX917510 ONB917510 ODF917510 NTJ917510 NJN917510 MZR917510 MPV917510 MFZ917510 LWD917510 LMH917510 LCL917510 KSP917510 KIT917510 JYX917510 JPB917510 JFF917510 IVJ917510 ILN917510 IBR917510 HRV917510 HHZ917510 GYD917510 GOH917510 GEL917510 FUP917510 FKT917510 FAX917510 ERB917510 EHF917510 DXJ917510 DNN917510 DDR917510 CTV917510 CJZ917510 CAD917510 BQH917510 BGL917510 AWP917510 AMT917510 ACX917510 TB917510 JF917510 J917510 WVR851974 WLV851974 WBZ851974 VSD851974 VIH851974 UYL851974 UOP851974 UET851974 TUX851974 TLB851974 TBF851974 SRJ851974 SHN851974 RXR851974 RNV851974 RDZ851974 QUD851974 QKH851974 QAL851974 PQP851974 PGT851974 OWX851974 ONB851974 ODF851974 NTJ851974 NJN851974 MZR851974 MPV851974 MFZ851974 LWD851974 LMH851974 LCL851974 KSP851974 KIT851974 JYX851974 JPB851974 JFF851974 IVJ851974 ILN851974 IBR851974 HRV851974 HHZ851974 GYD851974 GOH851974 GEL851974 FUP851974 FKT851974 FAX851974 ERB851974 EHF851974 DXJ851974 DNN851974 DDR851974 CTV851974 CJZ851974 CAD851974 BQH851974 BGL851974 AWP851974 AMT851974 ACX851974 TB851974 JF851974 J851974 WVR786438 WLV786438 WBZ786438 VSD786438 VIH786438 UYL786438 UOP786438 UET786438 TUX786438 TLB786438 TBF786438 SRJ786438 SHN786438 RXR786438 RNV786438 RDZ786438 QUD786438 QKH786438 QAL786438 PQP786438 PGT786438 OWX786438 ONB786438 ODF786438 NTJ786438 NJN786438 MZR786438 MPV786438 MFZ786438 LWD786438 LMH786438 LCL786438 KSP786438 KIT786438 JYX786438 JPB786438 JFF786438 IVJ786438 ILN786438 IBR786438 HRV786438 HHZ786438 GYD786438 GOH786438 GEL786438 FUP786438 FKT786438 FAX786438 ERB786438 EHF786438 DXJ786438 DNN786438 DDR786438 CTV786438 CJZ786438 CAD786438 BQH786438 BGL786438 AWP786438 AMT786438 ACX786438 TB786438 JF786438 J786438 WVR720902 WLV720902 WBZ720902 VSD720902 VIH720902 UYL720902 UOP720902 UET720902 TUX720902 TLB720902 TBF720902 SRJ720902 SHN720902 RXR720902 RNV720902 RDZ720902 QUD720902 QKH720902 QAL720902 PQP720902 PGT720902 OWX720902 ONB720902 ODF720902 NTJ720902 NJN720902 MZR720902 MPV720902 MFZ720902 LWD720902 LMH720902 LCL720902 KSP720902 KIT720902 JYX720902 JPB720902 JFF720902 IVJ720902 ILN720902 IBR720902 HRV720902 HHZ720902 GYD720902 GOH720902 GEL720902 FUP720902 FKT720902 FAX720902 ERB720902 EHF720902 DXJ720902 DNN720902 DDR720902 CTV720902 CJZ720902 CAD720902 BQH720902 BGL720902 AWP720902 AMT720902 ACX720902 TB720902 JF720902 J720902 WVR655366 WLV655366 WBZ655366 VSD655366 VIH655366 UYL655366 UOP655366 UET655366 TUX655366 TLB655366 TBF655366 SRJ655366 SHN655366 RXR655366 RNV655366 RDZ655366 QUD655366 QKH655366 QAL655366 PQP655366 PGT655366 OWX655366 ONB655366 ODF655366 NTJ655366 NJN655366 MZR655366 MPV655366 MFZ655366 LWD655366 LMH655366 LCL655366 KSP655366 KIT655366 JYX655366 JPB655366 JFF655366 IVJ655366 ILN655366 IBR655366 HRV655366 HHZ655366 GYD655366 GOH655366 GEL655366 FUP655366 FKT655366 FAX655366 ERB655366 EHF655366 DXJ655366 DNN655366 DDR655366 CTV655366 CJZ655366 CAD655366 BQH655366 BGL655366 AWP655366 AMT655366 ACX655366 TB655366 JF655366 J655366 WVR589830 WLV589830 WBZ589830 VSD589830 VIH589830 UYL589830 UOP589830 UET589830 TUX589830 TLB589830 TBF589830 SRJ589830 SHN589830 RXR589830 RNV589830 RDZ589830 QUD589830 QKH589830 QAL589830 PQP589830 PGT589830 OWX589830 ONB589830 ODF589830 NTJ589830 NJN589830 MZR589830 MPV589830 MFZ589830 LWD589830 LMH589830 LCL589830 KSP589830 KIT589830 JYX589830 JPB589830 JFF589830 IVJ589830 ILN589830 IBR589830 HRV589830 HHZ589830 GYD589830 GOH589830 GEL589830 FUP589830 FKT589830 FAX589830 ERB589830 EHF589830 DXJ589830 DNN589830 DDR589830 CTV589830 CJZ589830 CAD589830 BQH589830 BGL589830 AWP589830 AMT589830 ACX589830 TB589830 JF589830 J589830 WVR524294 WLV524294 WBZ524294 VSD524294 VIH524294 UYL524294 UOP524294 UET524294 TUX524294 TLB524294 TBF524294 SRJ524294 SHN524294 RXR524294 RNV524294 RDZ524294 QUD524294 QKH524294 QAL524294 PQP524294 PGT524294 OWX524294 ONB524294 ODF524294 NTJ524294 NJN524294 MZR524294 MPV524294 MFZ524294 LWD524294 LMH524294 LCL524294 KSP524294 KIT524294 JYX524294 JPB524294 JFF524294 IVJ524294 ILN524294 IBR524294 HRV524294 HHZ524294 GYD524294 GOH524294 GEL524294 FUP524294 FKT524294 FAX524294 ERB524294 EHF524294 DXJ524294 DNN524294 DDR524294 CTV524294 CJZ524294 CAD524294 BQH524294 BGL524294 AWP524294 AMT524294 ACX524294 TB524294 JF524294 J524294 WVR458758 WLV458758 WBZ458758 VSD458758 VIH458758 UYL458758 UOP458758 UET458758 TUX458758 TLB458758 TBF458758 SRJ458758 SHN458758 RXR458758 RNV458758 RDZ458758 QUD458758 QKH458758 QAL458758 PQP458758 PGT458758 OWX458758 ONB458758 ODF458758 NTJ458758 NJN458758 MZR458758 MPV458758 MFZ458758 LWD458758 LMH458758 LCL458758 KSP458758 KIT458758 JYX458758 JPB458758 JFF458758 IVJ458758 ILN458758 IBR458758 HRV458758 HHZ458758 GYD458758 GOH458758 GEL458758 FUP458758 FKT458758 FAX458758 ERB458758 EHF458758 DXJ458758 DNN458758 DDR458758 CTV458758 CJZ458758 CAD458758 BQH458758 BGL458758 AWP458758 AMT458758 ACX458758 TB458758 JF458758 J458758 WVR393222 WLV393222 WBZ393222 VSD393222 VIH393222 UYL393222 UOP393222 UET393222 TUX393222 TLB393222 TBF393222 SRJ393222 SHN393222 RXR393222 RNV393222 RDZ393222 QUD393222 QKH393222 QAL393222 PQP393222 PGT393222 OWX393222 ONB393222 ODF393222 NTJ393222 NJN393222 MZR393222 MPV393222 MFZ393222 LWD393222 LMH393222 LCL393222 KSP393222 KIT393222 JYX393222 JPB393222 JFF393222 IVJ393222 ILN393222 IBR393222 HRV393222 HHZ393222 GYD393222 GOH393222 GEL393222 FUP393222 FKT393222 FAX393222 ERB393222 EHF393222 DXJ393222 DNN393222 DDR393222 CTV393222 CJZ393222 CAD393222 BQH393222 BGL393222 AWP393222 AMT393222 ACX393222 TB393222 JF393222 J393222 WVR327686 WLV327686 WBZ327686 VSD327686 VIH327686 UYL327686 UOP327686 UET327686 TUX327686 TLB327686 TBF327686 SRJ327686 SHN327686 RXR327686 RNV327686 RDZ327686 QUD327686 QKH327686 QAL327686 PQP327686 PGT327686 OWX327686 ONB327686 ODF327686 NTJ327686 NJN327686 MZR327686 MPV327686 MFZ327686 LWD327686 LMH327686 LCL327686 KSP327686 KIT327686 JYX327686 JPB327686 JFF327686 IVJ327686 ILN327686 IBR327686 HRV327686 HHZ327686 GYD327686 GOH327686 GEL327686 FUP327686 FKT327686 FAX327686 ERB327686 EHF327686 DXJ327686 DNN327686 DDR327686 CTV327686 CJZ327686 CAD327686 BQH327686 BGL327686 AWP327686 AMT327686 ACX327686 TB327686 JF327686 J327686 WVR262150 WLV262150 WBZ262150 VSD262150 VIH262150 UYL262150 UOP262150 UET262150 TUX262150 TLB262150 TBF262150 SRJ262150 SHN262150 RXR262150 RNV262150 RDZ262150 QUD262150 QKH262150 QAL262150 PQP262150 PGT262150 OWX262150 ONB262150 ODF262150 NTJ262150 NJN262150 MZR262150 MPV262150 MFZ262150 LWD262150 LMH262150 LCL262150 KSP262150 KIT262150 JYX262150 JPB262150 JFF262150 IVJ262150 ILN262150 IBR262150 HRV262150 HHZ262150 GYD262150 GOH262150 GEL262150 FUP262150 FKT262150 FAX262150 ERB262150 EHF262150 DXJ262150 DNN262150 DDR262150 CTV262150 CJZ262150 CAD262150 BQH262150 BGL262150 AWP262150 AMT262150 ACX262150 TB262150 JF262150 J262150 WVR196614 WLV196614 WBZ196614 VSD196614 VIH196614 UYL196614 UOP196614 UET196614 TUX196614 TLB196614 TBF196614 SRJ196614 SHN196614 RXR196614 RNV196614 RDZ196614 QUD196614 QKH196614 QAL196614 PQP196614 PGT196614 OWX196614 ONB196614 ODF196614 NTJ196614 NJN196614 MZR196614 MPV196614 MFZ196614 LWD196614 LMH196614 LCL196614 KSP196614 KIT196614 JYX196614 JPB196614 JFF196614 IVJ196614 ILN196614 IBR196614 HRV196614 HHZ196614 GYD196614 GOH196614 GEL196614 FUP196614 FKT196614 FAX196614 ERB196614 EHF196614 DXJ196614 DNN196614 DDR196614 CTV196614 CJZ196614 CAD196614 BQH196614 BGL196614 AWP196614 AMT196614 ACX196614 TB196614 JF196614 J196614 WVR131078 WLV131078 WBZ131078 VSD131078 VIH131078 UYL131078 UOP131078 UET131078 TUX131078 TLB131078 TBF131078 SRJ131078 SHN131078 RXR131078 RNV131078 RDZ131078 QUD131078 QKH131078 QAL131078 PQP131078 PGT131078 OWX131078 ONB131078 ODF131078 NTJ131078 NJN131078 MZR131078 MPV131078 MFZ131078 LWD131078 LMH131078 LCL131078 KSP131078 KIT131078 JYX131078 JPB131078 JFF131078 IVJ131078 ILN131078 IBR131078 HRV131078 HHZ131078 GYD131078 GOH131078 GEL131078 FUP131078 FKT131078 FAX131078 ERB131078 EHF131078 DXJ131078 DNN131078 DDR131078 CTV131078 CJZ131078 CAD131078 BQH131078 BGL131078 AWP131078 AMT131078 ACX131078 TB131078 JF131078 J131078 WVR65542 WLV65542 WBZ65542 VSD65542 VIH65542 UYL65542 UOP65542 UET65542 TUX65542 TLB65542 TBF65542 SRJ65542 SHN65542 RXR65542 RNV65542 RDZ65542 QUD65542 QKH65542 QAL65542 PQP65542 PGT65542 OWX65542 ONB65542 ODF65542 NTJ65542 NJN65542 MZR65542 MPV65542 MFZ65542 LWD65542 LMH65542 LCL65542 KSP65542 KIT65542 JYX65542 JPB65542 JFF65542 IVJ65542 ILN65542 IBR65542 HRV65542 HHZ65542 GYD65542 GOH65542 GEL65542 FUP65542 FKT65542 FAX65542 ERB65542 EHF65542 DXJ65542 DNN65542 DDR65542 CTV65542 CJZ65542 CAD65542 BQH65542 BGL65542 AWP65542 AMT65542 ACX65542 TB65542 JF65542 J65542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J4 WVN983046 WLR983046 WBV983046 VRZ983046 VID983046 UYH983046 UOL983046 UEP983046 TUT983046 TKX983046 TBB983046 SRF983046 SHJ983046 RXN983046 RNR983046 RDV983046 QTZ983046 QKD983046 QAH983046 PQL983046 PGP983046 OWT983046 OMX983046 ODB983046 NTF983046 NJJ983046 MZN983046 MPR983046 MFV983046 LVZ983046 LMD983046 LCH983046 KSL983046 KIP983046 JYT983046 JOX983046 JFB983046 IVF983046 ILJ983046 IBN983046 HRR983046 HHV983046 GXZ983046 GOD983046 GEH983046 FUL983046 FKP983046 FAT983046 EQX983046 EHB983046 DXF983046 DNJ983046 DDN983046 CTR983046 CJV983046 BZZ983046 BQD983046 BGH983046 AWL983046 AMP983046 ACT983046 SX983046 JB983046 F983046 WVN917510 WLR917510 WBV917510 VRZ917510 VID917510 UYH917510 UOL917510 UEP917510 TUT917510 TKX917510 TBB917510 SRF917510 SHJ917510 RXN917510 RNR917510 RDV917510 QTZ917510 QKD917510 QAH917510 PQL917510 PGP917510 OWT917510 OMX917510 ODB917510 NTF917510 NJJ917510 MZN917510 MPR917510 MFV917510 LVZ917510 LMD917510 LCH917510 KSL917510 KIP917510 JYT917510 JOX917510 JFB917510 IVF917510 ILJ917510 IBN917510 HRR917510 HHV917510 GXZ917510 GOD917510 GEH917510 FUL917510 FKP917510 FAT917510 EQX917510 EHB917510 DXF917510 DNJ917510 DDN917510 CTR917510 CJV917510 BZZ917510 BQD917510 BGH917510 AWL917510 AMP917510 ACT917510 SX917510 JB917510 F917510 WVN851974 WLR851974 WBV851974 VRZ851974 VID851974 UYH851974 UOL851974 UEP851974 TUT851974 TKX851974 TBB851974 SRF851974 SHJ851974 RXN851974 RNR851974 RDV851974 QTZ851974 QKD851974 QAH851974 PQL851974 PGP851974 OWT851974 OMX851974 ODB851974 NTF851974 NJJ851974 MZN851974 MPR851974 MFV851974 LVZ851974 LMD851974 LCH851974 KSL851974 KIP851974 JYT851974 JOX851974 JFB851974 IVF851974 ILJ851974 IBN851974 HRR851974 HHV851974 GXZ851974 GOD851974 GEH851974 FUL851974 FKP851974 FAT851974 EQX851974 EHB851974 DXF851974 DNJ851974 DDN851974 CTR851974 CJV851974 BZZ851974 BQD851974 BGH851974 AWL851974 AMP851974 ACT851974 SX851974 JB851974 F851974 WVN786438 WLR786438 WBV786438 VRZ786438 VID786438 UYH786438 UOL786438 UEP786438 TUT786438 TKX786438 TBB786438 SRF786438 SHJ786438 RXN786438 RNR786438 RDV786438 QTZ786438 QKD786438 QAH786438 PQL786438 PGP786438 OWT786438 OMX786438 ODB786438 NTF786438 NJJ786438 MZN786438 MPR786438 MFV786438 LVZ786438 LMD786438 LCH786438 KSL786438 KIP786438 JYT786438 JOX786438 JFB786438 IVF786438 ILJ786438 IBN786438 HRR786438 HHV786438 GXZ786438 GOD786438 GEH786438 FUL786438 FKP786438 FAT786438 EQX786438 EHB786438 DXF786438 DNJ786438 DDN786438 CTR786438 CJV786438 BZZ786438 BQD786438 BGH786438 AWL786438 AMP786438 ACT786438 SX786438 JB786438 F786438 WVN720902 WLR720902 WBV720902 VRZ720902 VID720902 UYH720902 UOL720902 UEP720902 TUT720902 TKX720902 TBB720902 SRF720902 SHJ720902 RXN720902 RNR720902 RDV720902 QTZ720902 QKD720902 QAH720902 PQL720902 PGP720902 OWT720902 OMX720902 ODB720902 NTF720902 NJJ720902 MZN720902 MPR720902 MFV720902 LVZ720902 LMD720902 LCH720902 KSL720902 KIP720902 JYT720902 JOX720902 JFB720902 IVF720902 ILJ720902 IBN720902 HRR720902 HHV720902 GXZ720902 GOD720902 GEH720902 FUL720902 FKP720902 FAT720902 EQX720902 EHB720902 DXF720902 DNJ720902 DDN720902 CTR720902 CJV720902 BZZ720902 BQD720902 BGH720902 AWL720902 AMP720902 ACT720902 SX720902 JB720902 F720902 WVN655366 WLR655366 WBV655366 VRZ655366 VID655366 UYH655366 UOL655366 UEP655366 TUT655366 TKX655366 TBB655366 SRF655366 SHJ655366 RXN655366 RNR655366 RDV655366 QTZ655366 QKD655366 QAH655366 PQL655366 PGP655366 OWT655366 OMX655366 ODB655366 NTF655366 NJJ655366 MZN655366 MPR655366 MFV655366 LVZ655366 LMD655366 LCH655366 KSL655366 KIP655366 JYT655366 JOX655366 JFB655366 IVF655366 ILJ655366 IBN655366 HRR655366 HHV655366 GXZ655366 GOD655366 GEH655366 FUL655366 FKP655366 FAT655366 EQX655366 EHB655366 DXF655366 DNJ655366 DDN655366 CTR655366 CJV655366 BZZ655366 BQD655366 BGH655366 AWL655366 AMP655366 ACT655366 SX655366 JB655366 F655366 WVN589830 WLR589830 WBV589830 VRZ589830 VID589830 UYH589830 UOL589830 UEP589830 TUT589830 TKX589830 TBB589830 SRF589830 SHJ589830 RXN589830 RNR589830 RDV589830 QTZ589830 QKD589830 QAH589830 PQL589830 PGP589830 OWT589830 OMX589830 ODB589830 NTF589830 NJJ589830 MZN589830 MPR589830 MFV589830 LVZ589830 LMD589830 LCH589830 KSL589830 KIP589830 JYT589830 JOX589830 JFB589830 IVF589830 ILJ589830 IBN589830 HRR589830 HHV589830 GXZ589830 GOD589830 GEH589830 FUL589830 FKP589830 FAT589830 EQX589830 EHB589830 DXF589830 DNJ589830 DDN589830 CTR589830 CJV589830 BZZ589830 BQD589830 BGH589830 AWL589830 AMP589830 ACT589830 SX589830 JB589830 F589830 WVN524294 WLR524294 WBV524294 VRZ524294 VID524294 UYH524294 UOL524294 UEP524294 TUT524294 TKX524294 TBB524294 SRF524294 SHJ524294 RXN524294 RNR524294 RDV524294 QTZ524294 QKD524294 QAH524294 PQL524294 PGP524294 OWT524294 OMX524294 ODB524294 NTF524294 NJJ524294 MZN524294 MPR524294 MFV524294 LVZ524294 LMD524294 LCH524294 KSL524294 KIP524294 JYT524294 JOX524294 JFB524294 IVF524294 ILJ524294 IBN524294 HRR524294 HHV524294 GXZ524294 GOD524294 GEH524294 FUL524294 FKP524294 FAT524294 EQX524294 EHB524294 DXF524294 DNJ524294 DDN524294 CTR524294 CJV524294 BZZ524294 BQD524294 BGH524294 AWL524294 AMP524294 ACT524294 SX524294 JB524294 F524294 WVN458758 WLR458758 WBV458758 VRZ458758 VID458758 UYH458758 UOL458758 UEP458758 TUT458758 TKX458758 TBB458758 SRF458758 SHJ458758 RXN458758 RNR458758 RDV458758 QTZ458758 QKD458758 QAH458758 PQL458758 PGP458758 OWT458758 OMX458758 ODB458758 NTF458758 NJJ458758 MZN458758 MPR458758 MFV458758 LVZ458758 LMD458758 LCH458758 KSL458758 KIP458758 JYT458758 JOX458758 JFB458758 IVF458758 ILJ458758 IBN458758 HRR458758 HHV458758 GXZ458758 GOD458758 GEH458758 FUL458758 FKP458758 FAT458758 EQX458758 EHB458758 DXF458758 DNJ458758 DDN458758 CTR458758 CJV458758 BZZ458758 BQD458758 BGH458758 AWL458758 AMP458758 ACT458758 SX458758 JB458758 F458758 WVN393222 WLR393222 WBV393222 VRZ393222 VID393222 UYH393222 UOL393222 UEP393222 TUT393222 TKX393222 TBB393222 SRF393222 SHJ393222 RXN393222 RNR393222 RDV393222 QTZ393222 QKD393222 QAH393222 PQL393222 PGP393222 OWT393222 OMX393222 ODB393222 NTF393222 NJJ393222 MZN393222 MPR393222 MFV393222 LVZ393222 LMD393222 LCH393222 KSL393222 KIP393222 JYT393222 JOX393222 JFB393222 IVF393222 ILJ393222 IBN393222 HRR393222 HHV393222 GXZ393222 GOD393222 GEH393222 FUL393222 FKP393222 FAT393222 EQX393222 EHB393222 DXF393222 DNJ393222 DDN393222 CTR393222 CJV393222 BZZ393222 BQD393222 BGH393222 AWL393222 AMP393222 ACT393222 SX393222 JB393222 F393222 WVN327686 WLR327686 WBV327686 VRZ327686 VID327686 UYH327686 UOL327686 UEP327686 TUT327686 TKX327686 TBB327686 SRF327686 SHJ327686 RXN327686 RNR327686 RDV327686 QTZ327686 QKD327686 QAH327686 PQL327686 PGP327686 OWT327686 OMX327686 ODB327686 NTF327686 NJJ327686 MZN327686 MPR327686 MFV327686 LVZ327686 LMD327686 LCH327686 KSL327686 KIP327686 JYT327686 JOX327686 JFB327686 IVF327686 ILJ327686 IBN327686 HRR327686 HHV327686 GXZ327686 GOD327686 GEH327686 FUL327686 FKP327686 FAT327686 EQX327686 EHB327686 DXF327686 DNJ327686 DDN327686 CTR327686 CJV327686 BZZ327686 BQD327686 BGH327686 AWL327686 AMP327686 ACT327686 SX327686 JB327686 F327686 WVN262150 WLR262150 WBV262150 VRZ262150 VID262150 UYH262150 UOL262150 UEP262150 TUT262150 TKX262150 TBB262150 SRF262150 SHJ262150 RXN262150 RNR262150 RDV262150 QTZ262150 QKD262150 QAH262150 PQL262150 PGP262150 OWT262150 OMX262150 ODB262150 NTF262150 NJJ262150 MZN262150 MPR262150 MFV262150 LVZ262150 LMD262150 LCH262150 KSL262150 KIP262150 JYT262150 JOX262150 JFB262150 IVF262150 ILJ262150 IBN262150 HRR262150 HHV262150 GXZ262150 GOD262150 GEH262150 FUL262150 FKP262150 FAT262150 EQX262150 EHB262150 DXF262150 DNJ262150 DDN262150 CTR262150 CJV262150 BZZ262150 BQD262150 BGH262150 AWL262150 AMP262150 ACT262150 SX262150 JB262150 F262150 WVN196614 WLR196614 WBV196614 VRZ196614 VID196614 UYH196614 UOL196614 UEP196614 TUT196614 TKX196614 TBB196614 SRF196614 SHJ196614 RXN196614 RNR196614 RDV196614 QTZ196614 QKD196614 QAH196614 PQL196614 PGP196614 OWT196614 OMX196614 ODB196614 NTF196614 NJJ196614 MZN196614 MPR196614 MFV196614 LVZ196614 LMD196614 LCH196614 KSL196614 KIP196614 JYT196614 JOX196614 JFB196614 IVF196614 ILJ196614 IBN196614 HRR196614 HHV196614 GXZ196614 GOD196614 GEH196614 FUL196614 FKP196614 FAT196614 EQX196614 EHB196614 DXF196614 DNJ196614 DDN196614 CTR196614 CJV196614 BZZ196614 BQD196614 BGH196614 AWL196614 AMP196614 ACT196614 SX196614 JB196614 F196614 WVN131078 WLR131078 WBV131078 VRZ131078 VID131078 UYH131078 UOL131078 UEP131078 TUT131078 TKX131078 TBB131078 SRF131078 SHJ131078 RXN131078 RNR131078 RDV131078 QTZ131078 QKD131078 QAH131078 PQL131078 PGP131078 OWT131078 OMX131078 ODB131078 NTF131078 NJJ131078 MZN131078 MPR131078 MFV131078 LVZ131078 LMD131078 LCH131078 KSL131078 KIP131078 JYT131078 JOX131078 JFB131078 IVF131078 ILJ131078 IBN131078 HRR131078 HHV131078 GXZ131078 GOD131078 GEH131078 FUL131078 FKP131078 FAT131078 EQX131078 EHB131078 DXF131078 DNJ131078 DDN131078 CTR131078 CJV131078 BZZ131078 BQD131078 BGH131078 AWL131078 AMP131078 ACT131078 SX131078 JB131078 F131078 WVN65542 WLR65542 WBV65542 VRZ65542 VID65542 UYH65542 UOL65542 UEP65542 TUT65542 TKX65542 TBB65542 SRF65542 SHJ65542 RXN65542 RNR65542 RDV65542 QTZ65542 QKD65542 QAH65542 PQL65542 PGP65542 OWT65542 OMX65542 ODB65542 NTF65542 NJJ65542 MZN65542 MPR65542 MFV65542 LVZ65542 LMD65542 LCH65542 KSL65542 KIP65542 JYT65542 JOX65542 JFB65542 IVF65542 ILJ65542 IBN65542 HRR65542 HHV65542 GXZ65542 GOD65542 GEH65542 FUL65542 FKP65542 FAT65542 EQX65542 EHB65542 DXF65542 DNJ65542 DDN65542 CTR65542 CJV65542 BZZ65542 BQD65542 BGH65542 AWL65542 AMP65542 ACT65542 SX65542 JB65542 F65542 WVN4 WLR4 WBV4 VRZ4 VID4 UYH4 UOL4 UEP4 TUT4 TKX4 TBB4 SRF4 SHJ4 RXN4 RNR4 RDV4 QTZ4 QKD4 QAH4 PQL4 PGP4 OWT4 OMX4 ODB4 NTF4 NJJ4 MZN4 MPR4 MFV4 LVZ4 LMD4 LCH4 KSL4 KIP4 JYT4 JOX4 JFB4 IVF4 ILJ4 IBN4 HRR4 HHV4 GXZ4 GOD4 GEH4 FUL4 FKP4 FAT4 EQX4 EHB4 DXF4 DNJ4 DDN4 CTR4 CJV4 BZZ4 BQD4 BGH4 AWL4 AMP4 ACT4 SX4 JB4 F4 WVN983071:WVO983071 WLR983071:WLS983071 WBV983071:WBW983071 VRZ983071:VSA983071 VID983071:VIE983071 UYH983071:UYI983071 UOL983071:UOM983071 UEP983071:UEQ983071 TUT983071:TUU983071 TKX983071:TKY983071 TBB983071:TBC983071 SRF983071:SRG983071 SHJ983071:SHK983071 RXN983071:RXO983071 RNR983071:RNS983071 RDV983071:RDW983071 QTZ983071:QUA983071 QKD983071:QKE983071 QAH983071:QAI983071 PQL983071:PQM983071 PGP983071:PGQ983071 OWT983071:OWU983071 OMX983071:OMY983071 ODB983071:ODC983071 NTF983071:NTG983071 NJJ983071:NJK983071 MZN983071:MZO983071 MPR983071:MPS983071 MFV983071:MFW983071 LVZ983071:LWA983071 LMD983071:LME983071 LCH983071:LCI983071 KSL983071:KSM983071 KIP983071:KIQ983071 JYT983071:JYU983071 JOX983071:JOY983071 JFB983071:JFC983071 IVF983071:IVG983071 ILJ983071:ILK983071 IBN983071:IBO983071 HRR983071:HRS983071 HHV983071:HHW983071 GXZ983071:GYA983071 GOD983071:GOE983071 GEH983071:GEI983071 FUL983071:FUM983071 FKP983071:FKQ983071 FAT983071:FAU983071 EQX983071:EQY983071 EHB983071:EHC983071 DXF983071:DXG983071 DNJ983071:DNK983071 DDN983071:DDO983071 CTR983071:CTS983071 CJV983071:CJW983071 BZZ983071:CAA983071 BQD983071:BQE983071 BGH983071:BGI983071 AWL983071:AWM983071 AMP983071:AMQ983071 ACT983071:ACU983071 SX983071:SY983071 JB983071:JC983071 F983071:G983071 WVN917535:WVO917535 WLR917535:WLS917535 WBV917535:WBW917535 VRZ917535:VSA917535 VID917535:VIE917535 UYH917535:UYI917535 UOL917535:UOM917535 UEP917535:UEQ917535 TUT917535:TUU917535 TKX917535:TKY917535 TBB917535:TBC917535 SRF917535:SRG917535 SHJ917535:SHK917535 RXN917535:RXO917535 RNR917535:RNS917535 RDV917535:RDW917535 QTZ917535:QUA917535 QKD917535:QKE917535 QAH917535:QAI917535 PQL917535:PQM917535 PGP917535:PGQ917535 OWT917535:OWU917535 OMX917535:OMY917535 ODB917535:ODC917535 NTF917535:NTG917535 NJJ917535:NJK917535 MZN917535:MZO917535 MPR917535:MPS917535 MFV917535:MFW917535 LVZ917535:LWA917535 LMD917535:LME917535 LCH917535:LCI917535 KSL917535:KSM917535 KIP917535:KIQ917535 JYT917535:JYU917535 JOX917535:JOY917535 JFB917535:JFC917535 IVF917535:IVG917535 ILJ917535:ILK917535 IBN917535:IBO917535 HRR917535:HRS917535 HHV917535:HHW917535 GXZ917535:GYA917535 GOD917535:GOE917535 GEH917535:GEI917535 FUL917535:FUM917535 FKP917535:FKQ917535 FAT917535:FAU917535 EQX917535:EQY917535 EHB917535:EHC917535 DXF917535:DXG917535 DNJ917535:DNK917535 DDN917535:DDO917535 CTR917535:CTS917535 CJV917535:CJW917535 BZZ917535:CAA917535 BQD917535:BQE917535 BGH917535:BGI917535 AWL917535:AWM917535 AMP917535:AMQ917535 ACT917535:ACU917535 SX917535:SY917535 JB917535:JC917535 F917535:G917535 WVN851999:WVO851999 WLR851999:WLS851999 WBV851999:WBW851999 VRZ851999:VSA851999 VID851999:VIE851999 UYH851999:UYI851999 UOL851999:UOM851999 UEP851999:UEQ851999 TUT851999:TUU851999 TKX851999:TKY851999 TBB851999:TBC851999 SRF851999:SRG851999 SHJ851999:SHK851999 RXN851999:RXO851999 RNR851999:RNS851999 RDV851999:RDW851999 QTZ851999:QUA851999 QKD851999:QKE851999 QAH851999:QAI851999 PQL851999:PQM851999 PGP851999:PGQ851999 OWT851999:OWU851999 OMX851999:OMY851999 ODB851999:ODC851999 NTF851999:NTG851999 NJJ851999:NJK851999 MZN851999:MZO851999 MPR851999:MPS851999 MFV851999:MFW851999 LVZ851999:LWA851999 LMD851999:LME851999 LCH851999:LCI851999 KSL851999:KSM851999 KIP851999:KIQ851999 JYT851999:JYU851999 JOX851999:JOY851999 JFB851999:JFC851999 IVF851999:IVG851999 ILJ851999:ILK851999 IBN851999:IBO851999 HRR851999:HRS851999 HHV851999:HHW851999 GXZ851999:GYA851999 GOD851999:GOE851999 GEH851999:GEI851999 FUL851999:FUM851999 FKP851999:FKQ851999 FAT851999:FAU851999 EQX851999:EQY851999 EHB851999:EHC851999 DXF851999:DXG851999 DNJ851999:DNK851999 DDN851999:DDO851999 CTR851999:CTS851999 CJV851999:CJW851999 BZZ851999:CAA851999 BQD851999:BQE851999 BGH851999:BGI851999 AWL851999:AWM851999 AMP851999:AMQ851999 ACT851999:ACU851999 SX851999:SY851999 JB851999:JC851999 F851999:G851999 WVN786463:WVO786463 WLR786463:WLS786463 WBV786463:WBW786463 VRZ786463:VSA786463 VID786463:VIE786463 UYH786463:UYI786463 UOL786463:UOM786463 UEP786463:UEQ786463 TUT786463:TUU786463 TKX786463:TKY786463 TBB786463:TBC786463 SRF786463:SRG786463 SHJ786463:SHK786463 RXN786463:RXO786463 RNR786463:RNS786463 RDV786463:RDW786463 QTZ786463:QUA786463 QKD786463:QKE786463 QAH786463:QAI786463 PQL786463:PQM786463 PGP786463:PGQ786463 OWT786463:OWU786463 OMX786463:OMY786463 ODB786463:ODC786463 NTF786463:NTG786463 NJJ786463:NJK786463 MZN786463:MZO786463 MPR786463:MPS786463 MFV786463:MFW786463 LVZ786463:LWA786463 LMD786463:LME786463 LCH786463:LCI786463 KSL786463:KSM786463 KIP786463:KIQ786463 JYT786463:JYU786463 JOX786463:JOY786463 JFB786463:JFC786463 IVF786463:IVG786463 ILJ786463:ILK786463 IBN786463:IBO786463 HRR786463:HRS786463 HHV786463:HHW786463 GXZ786463:GYA786463 GOD786463:GOE786463 GEH786463:GEI786463 FUL786463:FUM786463 FKP786463:FKQ786463 FAT786463:FAU786463 EQX786463:EQY786463 EHB786463:EHC786463 DXF786463:DXG786463 DNJ786463:DNK786463 DDN786463:DDO786463 CTR786463:CTS786463 CJV786463:CJW786463 BZZ786463:CAA786463 BQD786463:BQE786463 BGH786463:BGI786463 AWL786463:AWM786463 AMP786463:AMQ786463 ACT786463:ACU786463 SX786463:SY786463 JB786463:JC786463 F786463:G786463 WVN720927:WVO720927 WLR720927:WLS720927 WBV720927:WBW720927 VRZ720927:VSA720927 VID720927:VIE720927 UYH720927:UYI720927 UOL720927:UOM720927 UEP720927:UEQ720927 TUT720927:TUU720927 TKX720927:TKY720927 TBB720927:TBC720927 SRF720927:SRG720927 SHJ720927:SHK720927 RXN720927:RXO720927 RNR720927:RNS720927 RDV720927:RDW720927 QTZ720927:QUA720927 QKD720927:QKE720927 QAH720927:QAI720927 PQL720927:PQM720927 PGP720927:PGQ720927 OWT720927:OWU720927 OMX720927:OMY720927 ODB720927:ODC720927 NTF720927:NTG720927 NJJ720927:NJK720927 MZN720927:MZO720927 MPR720927:MPS720927 MFV720927:MFW720927 LVZ720927:LWA720927 LMD720927:LME720927 LCH720927:LCI720927 KSL720927:KSM720927 KIP720927:KIQ720927 JYT720927:JYU720927 JOX720927:JOY720927 JFB720927:JFC720927 IVF720927:IVG720927 ILJ720927:ILK720927 IBN720927:IBO720927 HRR720927:HRS720927 HHV720927:HHW720927 GXZ720927:GYA720927 GOD720927:GOE720927 GEH720927:GEI720927 FUL720927:FUM720927 FKP720927:FKQ720927 FAT720927:FAU720927 EQX720927:EQY720927 EHB720927:EHC720927 DXF720927:DXG720927 DNJ720927:DNK720927 DDN720927:DDO720927 CTR720927:CTS720927 CJV720927:CJW720927 BZZ720927:CAA720927 BQD720927:BQE720927 BGH720927:BGI720927 AWL720927:AWM720927 AMP720927:AMQ720927 ACT720927:ACU720927 SX720927:SY720927 JB720927:JC720927 F720927:G720927 WVN655391:WVO655391 WLR655391:WLS655391 WBV655391:WBW655391 VRZ655391:VSA655391 VID655391:VIE655391 UYH655391:UYI655391 UOL655391:UOM655391 UEP655391:UEQ655391 TUT655391:TUU655391 TKX655391:TKY655391 TBB655391:TBC655391 SRF655391:SRG655391 SHJ655391:SHK655391 RXN655391:RXO655391 RNR655391:RNS655391 RDV655391:RDW655391 QTZ655391:QUA655391 QKD655391:QKE655391 QAH655391:QAI655391 PQL655391:PQM655391 PGP655391:PGQ655391 OWT655391:OWU655391 OMX655391:OMY655391 ODB655391:ODC655391 NTF655391:NTG655391 NJJ655391:NJK655391 MZN655391:MZO655391 MPR655391:MPS655391 MFV655391:MFW655391 LVZ655391:LWA655391 LMD655391:LME655391 LCH655391:LCI655391 KSL655391:KSM655391 KIP655391:KIQ655391 JYT655391:JYU655391 JOX655391:JOY655391 JFB655391:JFC655391 IVF655391:IVG655391 ILJ655391:ILK655391 IBN655391:IBO655391 HRR655391:HRS655391 HHV655391:HHW655391 GXZ655391:GYA655391 GOD655391:GOE655391 GEH655391:GEI655391 FUL655391:FUM655391 FKP655391:FKQ655391 FAT655391:FAU655391 EQX655391:EQY655391 EHB655391:EHC655391 DXF655391:DXG655391 DNJ655391:DNK655391 DDN655391:DDO655391 CTR655391:CTS655391 CJV655391:CJW655391 BZZ655391:CAA655391 BQD655391:BQE655391 BGH655391:BGI655391 AWL655391:AWM655391 AMP655391:AMQ655391 ACT655391:ACU655391 SX655391:SY655391 JB655391:JC655391 F655391:G655391 WVN589855:WVO589855 WLR589855:WLS589855 WBV589855:WBW589855 VRZ589855:VSA589855 VID589855:VIE589855 UYH589855:UYI589855 UOL589855:UOM589855 UEP589855:UEQ589855 TUT589855:TUU589855 TKX589855:TKY589855 TBB589855:TBC589855 SRF589855:SRG589855 SHJ589855:SHK589855 RXN589855:RXO589855 RNR589855:RNS589855 RDV589855:RDW589855 QTZ589855:QUA589855 QKD589855:QKE589855 QAH589855:QAI589855 PQL589855:PQM589855 PGP589855:PGQ589855 OWT589855:OWU589855 OMX589855:OMY589855 ODB589855:ODC589855 NTF589855:NTG589855 NJJ589855:NJK589855 MZN589855:MZO589855 MPR589855:MPS589855 MFV589855:MFW589855 LVZ589855:LWA589855 LMD589855:LME589855 LCH589855:LCI589855 KSL589855:KSM589855 KIP589855:KIQ589855 JYT589855:JYU589855 JOX589855:JOY589855 JFB589855:JFC589855 IVF589855:IVG589855 ILJ589855:ILK589855 IBN589855:IBO589855 HRR589855:HRS589855 HHV589855:HHW589855 GXZ589855:GYA589855 GOD589855:GOE589855 GEH589855:GEI589855 FUL589855:FUM589855 FKP589855:FKQ589855 FAT589855:FAU589855 EQX589855:EQY589855 EHB589855:EHC589855 DXF589855:DXG589855 DNJ589855:DNK589855 DDN589855:DDO589855 CTR589855:CTS589855 CJV589855:CJW589855 BZZ589855:CAA589855 BQD589855:BQE589855 BGH589855:BGI589855 AWL589855:AWM589855 AMP589855:AMQ589855 ACT589855:ACU589855 SX589855:SY589855 JB589855:JC589855 F589855:G589855 WVN524319:WVO524319 WLR524319:WLS524319 WBV524319:WBW524319 VRZ524319:VSA524319 VID524319:VIE524319 UYH524319:UYI524319 UOL524319:UOM524319 UEP524319:UEQ524319 TUT524319:TUU524319 TKX524319:TKY524319 TBB524319:TBC524319 SRF524319:SRG524319 SHJ524319:SHK524319 RXN524319:RXO524319 RNR524319:RNS524319 RDV524319:RDW524319 QTZ524319:QUA524319 QKD524319:QKE524319 QAH524319:QAI524319 PQL524319:PQM524319 PGP524319:PGQ524319 OWT524319:OWU524319 OMX524319:OMY524319 ODB524319:ODC524319 NTF524319:NTG524319 NJJ524319:NJK524319 MZN524319:MZO524319 MPR524319:MPS524319 MFV524319:MFW524319 LVZ524319:LWA524319 LMD524319:LME524319 LCH524319:LCI524319 KSL524319:KSM524319 KIP524319:KIQ524319 JYT524319:JYU524319 JOX524319:JOY524319 JFB524319:JFC524319 IVF524319:IVG524319 ILJ524319:ILK524319 IBN524319:IBO524319 HRR524319:HRS524319 HHV524319:HHW524319 GXZ524319:GYA524319 GOD524319:GOE524319 GEH524319:GEI524319 FUL524319:FUM524319 FKP524319:FKQ524319 FAT524319:FAU524319 EQX524319:EQY524319 EHB524319:EHC524319 DXF524319:DXG524319 DNJ524319:DNK524319 DDN524319:DDO524319 CTR524319:CTS524319 CJV524319:CJW524319 BZZ524319:CAA524319 BQD524319:BQE524319 BGH524319:BGI524319 AWL524319:AWM524319 AMP524319:AMQ524319 ACT524319:ACU524319 SX524319:SY524319 JB524319:JC524319 F524319:G524319 WVN458783:WVO458783 WLR458783:WLS458783 WBV458783:WBW458783 VRZ458783:VSA458783 VID458783:VIE458783 UYH458783:UYI458783 UOL458783:UOM458783 UEP458783:UEQ458783 TUT458783:TUU458783 TKX458783:TKY458783 TBB458783:TBC458783 SRF458783:SRG458783 SHJ458783:SHK458783 RXN458783:RXO458783 RNR458783:RNS458783 RDV458783:RDW458783 QTZ458783:QUA458783 QKD458783:QKE458783 QAH458783:QAI458783 PQL458783:PQM458783 PGP458783:PGQ458783 OWT458783:OWU458783 OMX458783:OMY458783 ODB458783:ODC458783 NTF458783:NTG458783 NJJ458783:NJK458783 MZN458783:MZO458783 MPR458783:MPS458783 MFV458783:MFW458783 LVZ458783:LWA458783 LMD458783:LME458783 LCH458783:LCI458783 KSL458783:KSM458783 KIP458783:KIQ458783 JYT458783:JYU458783 JOX458783:JOY458783 JFB458783:JFC458783 IVF458783:IVG458783 ILJ458783:ILK458783 IBN458783:IBO458783 HRR458783:HRS458783 HHV458783:HHW458783 GXZ458783:GYA458783 GOD458783:GOE458783 GEH458783:GEI458783 FUL458783:FUM458783 FKP458783:FKQ458783 FAT458783:FAU458783 EQX458783:EQY458783 EHB458783:EHC458783 DXF458783:DXG458783 DNJ458783:DNK458783 DDN458783:DDO458783 CTR458783:CTS458783 CJV458783:CJW458783 BZZ458783:CAA458783 BQD458783:BQE458783 BGH458783:BGI458783 AWL458783:AWM458783 AMP458783:AMQ458783 ACT458783:ACU458783 SX458783:SY458783 JB458783:JC458783 F458783:G458783 WVN393247:WVO393247 WLR393247:WLS393247 WBV393247:WBW393247 VRZ393247:VSA393247 VID393247:VIE393247 UYH393247:UYI393247 UOL393247:UOM393247 UEP393247:UEQ393247 TUT393247:TUU393247 TKX393247:TKY393247 TBB393247:TBC393247 SRF393247:SRG393247 SHJ393247:SHK393247 RXN393247:RXO393247 RNR393247:RNS393247 RDV393247:RDW393247 QTZ393247:QUA393247 QKD393247:QKE393247 QAH393247:QAI393247 PQL393247:PQM393247 PGP393247:PGQ393247 OWT393247:OWU393247 OMX393247:OMY393247 ODB393247:ODC393247 NTF393247:NTG393247 NJJ393247:NJK393247 MZN393247:MZO393247 MPR393247:MPS393247 MFV393247:MFW393247 LVZ393247:LWA393247 LMD393247:LME393247 LCH393247:LCI393247 KSL393247:KSM393247 KIP393247:KIQ393247 JYT393247:JYU393247 JOX393247:JOY393247 JFB393247:JFC393247 IVF393247:IVG393247 ILJ393247:ILK393247 IBN393247:IBO393247 HRR393247:HRS393247 HHV393247:HHW393247 GXZ393247:GYA393247 GOD393247:GOE393247 GEH393247:GEI393247 FUL393247:FUM393247 FKP393247:FKQ393247 FAT393247:FAU393247 EQX393247:EQY393247 EHB393247:EHC393247 DXF393247:DXG393247 DNJ393247:DNK393247 DDN393247:DDO393247 CTR393247:CTS393247 CJV393247:CJW393247 BZZ393247:CAA393247 BQD393247:BQE393247 BGH393247:BGI393247 AWL393247:AWM393247 AMP393247:AMQ393247 ACT393247:ACU393247 SX393247:SY393247 JB393247:JC393247 F393247:G393247 WVN327711:WVO327711 WLR327711:WLS327711 WBV327711:WBW327711 VRZ327711:VSA327711 VID327711:VIE327711 UYH327711:UYI327711 UOL327711:UOM327711 UEP327711:UEQ327711 TUT327711:TUU327711 TKX327711:TKY327711 TBB327711:TBC327711 SRF327711:SRG327711 SHJ327711:SHK327711 RXN327711:RXO327711 RNR327711:RNS327711 RDV327711:RDW327711 QTZ327711:QUA327711 QKD327711:QKE327711 QAH327711:QAI327711 PQL327711:PQM327711 PGP327711:PGQ327711 OWT327711:OWU327711 OMX327711:OMY327711 ODB327711:ODC327711 NTF327711:NTG327711 NJJ327711:NJK327711 MZN327711:MZO327711 MPR327711:MPS327711 MFV327711:MFW327711 LVZ327711:LWA327711 LMD327711:LME327711 LCH327711:LCI327711 KSL327711:KSM327711 KIP327711:KIQ327711 JYT327711:JYU327711 JOX327711:JOY327711 JFB327711:JFC327711 IVF327711:IVG327711 ILJ327711:ILK327711 IBN327711:IBO327711 HRR327711:HRS327711 HHV327711:HHW327711 GXZ327711:GYA327711 GOD327711:GOE327711 GEH327711:GEI327711 FUL327711:FUM327711 FKP327711:FKQ327711 FAT327711:FAU327711 EQX327711:EQY327711 EHB327711:EHC327711 DXF327711:DXG327711 DNJ327711:DNK327711 DDN327711:DDO327711 CTR327711:CTS327711 CJV327711:CJW327711 BZZ327711:CAA327711 BQD327711:BQE327711 BGH327711:BGI327711 AWL327711:AWM327711 AMP327711:AMQ327711 ACT327711:ACU327711 SX327711:SY327711 JB327711:JC327711 F327711:G327711 WVN262175:WVO262175 WLR262175:WLS262175 WBV262175:WBW262175 VRZ262175:VSA262175 VID262175:VIE262175 UYH262175:UYI262175 UOL262175:UOM262175 UEP262175:UEQ262175 TUT262175:TUU262175 TKX262175:TKY262175 TBB262175:TBC262175 SRF262175:SRG262175 SHJ262175:SHK262175 RXN262175:RXO262175 RNR262175:RNS262175 RDV262175:RDW262175 QTZ262175:QUA262175 QKD262175:QKE262175 QAH262175:QAI262175 PQL262175:PQM262175 PGP262175:PGQ262175 OWT262175:OWU262175 OMX262175:OMY262175 ODB262175:ODC262175 NTF262175:NTG262175 NJJ262175:NJK262175 MZN262175:MZO262175 MPR262175:MPS262175 MFV262175:MFW262175 LVZ262175:LWA262175 LMD262175:LME262175 LCH262175:LCI262175 KSL262175:KSM262175 KIP262175:KIQ262175 JYT262175:JYU262175 JOX262175:JOY262175 JFB262175:JFC262175 IVF262175:IVG262175 ILJ262175:ILK262175 IBN262175:IBO262175 HRR262175:HRS262175 HHV262175:HHW262175 GXZ262175:GYA262175 GOD262175:GOE262175 GEH262175:GEI262175 FUL262175:FUM262175 FKP262175:FKQ262175 FAT262175:FAU262175 EQX262175:EQY262175 EHB262175:EHC262175 DXF262175:DXG262175 DNJ262175:DNK262175 DDN262175:DDO262175 CTR262175:CTS262175 CJV262175:CJW262175 BZZ262175:CAA262175 BQD262175:BQE262175 BGH262175:BGI262175 AWL262175:AWM262175 AMP262175:AMQ262175 ACT262175:ACU262175 SX262175:SY262175 JB262175:JC262175 F262175:G262175 WVN196639:WVO196639 WLR196639:WLS196639 WBV196639:WBW196639 VRZ196639:VSA196639 VID196639:VIE196639 UYH196639:UYI196639 UOL196639:UOM196639 UEP196639:UEQ196639 TUT196639:TUU196639 TKX196639:TKY196639 TBB196639:TBC196639 SRF196639:SRG196639 SHJ196639:SHK196639 RXN196639:RXO196639 RNR196639:RNS196639 RDV196639:RDW196639 QTZ196639:QUA196639 QKD196639:QKE196639 QAH196639:QAI196639 PQL196639:PQM196639 PGP196639:PGQ196639 OWT196639:OWU196639 OMX196639:OMY196639 ODB196639:ODC196639 NTF196639:NTG196639 NJJ196639:NJK196639 MZN196639:MZO196639 MPR196639:MPS196639 MFV196639:MFW196639 LVZ196639:LWA196639 LMD196639:LME196639 LCH196639:LCI196639 KSL196639:KSM196639 KIP196639:KIQ196639 JYT196639:JYU196639 JOX196639:JOY196639 JFB196639:JFC196639 IVF196639:IVG196639 ILJ196639:ILK196639 IBN196639:IBO196639 HRR196639:HRS196639 HHV196639:HHW196639 GXZ196639:GYA196639 GOD196639:GOE196639 GEH196639:GEI196639 FUL196639:FUM196639 FKP196639:FKQ196639 FAT196639:FAU196639 EQX196639:EQY196639 EHB196639:EHC196639 DXF196639:DXG196639 DNJ196639:DNK196639 DDN196639:DDO196639 CTR196639:CTS196639 CJV196639:CJW196639 BZZ196639:CAA196639 BQD196639:BQE196639 BGH196639:BGI196639 AWL196639:AWM196639 AMP196639:AMQ196639 ACT196639:ACU196639 SX196639:SY196639 JB196639:JC196639 F196639:G196639 WVN131103:WVO131103 WLR131103:WLS131103 WBV131103:WBW131103 VRZ131103:VSA131103 VID131103:VIE131103 UYH131103:UYI131103 UOL131103:UOM131103 UEP131103:UEQ131103 TUT131103:TUU131103 TKX131103:TKY131103 TBB131103:TBC131103 SRF131103:SRG131103 SHJ131103:SHK131103 RXN131103:RXO131103 RNR131103:RNS131103 RDV131103:RDW131103 QTZ131103:QUA131103 QKD131103:QKE131103 QAH131103:QAI131103 PQL131103:PQM131103 PGP131103:PGQ131103 OWT131103:OWU131103 OMX131103:OMY131103 ODB131103:ODC131103 NTF131103:NTG131103 NJJ131103:NJK131103 MZN131103:MZO131103 MPR131103:MPS131103 MFV131103:MFW131103 LVZ131103:LWA131103 LMD131103:LME131103 LCH131103:LCI131103 KSL131103:KSM131103 KIP131103:KIQ131103 JYT131103:JYU131103 JOX131103:JOY131103 JFB131103:JFC131103 IVF131103:IVG131103 ILJ131103:ILK131103 IBN131103:IBO131103 HRR131103:HRS131103 HHV131103:HHW131103 GXZ131103:GYA131103 GOD131103:GOE131103 GEH131103:GEI131103 FUL131103:FUM131103 FKP131103:FKQ131103 FAT131103:FAU131103 EQX131103:EQY131103 EHB131103:EHC131103 DXF131103:DXG131103 DNJ131103:DNK131103 DDN131103:DDO131103 CTR131103:CTS131103 CJV131103:CJW131103 BZZ131103:CAA131103 BQD131103:BQE131103 BGH131103:BGI131103 AWL131103:AWM131103 AMP131103:AMQ131103 ACT131103:ACU131103 SX131103:SY131103 JB131103:JC131103 F131103:G131103 WVN65567:WVO65567 WLR65567:WLS65567 WBV65567:WBW65567 VRZ65567:VSA65567 VID65567:VIE65567 UYH65567:UYI65567 UOL65567:UOM65567 UEP65567:UEQ65567 TUT65567:TUU65567 TKX65567:TKY65567 TBB65567:TBC65567 SRF65567:SRG65567 SHJ65567:SHK65567 RXN65567:RXO65567 RNR65567:RNS65567 RDV65567:RDW65567 QTZ65567:QUA65567 QKD65567:QKE65567 QAH65567:QAI65567 PQL65567:PQM65567 PGP65567:PGQ65567 OWT65567:OWU65567 OMX65567:OMY65567 ODB65567:ODC65567 NTF65567:NTG65567 NJJ65567:NJK65567 MZN65567:MZO65567 MPR65567:MPS65567 MFV65567:MFW65567 LVZ65567:LWA65567 LMD65567:LME65567 LCH65567:LCI65567 KSL65567:KSM65567 KIP65567:KIQ65567 JYT65567:JYU65567 JOX65567:JOY65567 JFB65567:JFC65567 IVF65567:IVG65567 ILJ65567:ILK65567 IBN65567:IBO65567 HRR65567:HRS65567 HHV65567:HHW65567 GXZ65567:GYA65567 GOD65567:GOE65567 GEH65567:GEI65567 FUL65567:FUM65567 FKP65567:FKQ65567 FAT65567:FAU65567 EQX65567:EQY65567 EHB65567:EHC65567 DXF65567:DXG65567 DNJ65567:DNK65567 DDN65567:DDO65567 CTR65567:CTS65567 CJV65567:CJW65567 BZZ65567:CAA65567 BQD65567:BQE65567 BGH65567:BGI65567 AWL65567:AWM65567 AMP65567:AMQ65567 ACT65567:ACU65567 SX65567:SY65567 JB65567:JC65567 F65567:G65567 WVN31:WVO31 WLR31:WLS31 WBV31:WBW31 VRZ31:VSA31 VID31:VIE31 UYH31:UYI31 UOL31:UOM31 UEP31:UEQ31 TUT31:TUU31 TKX31:TKY31 TBB31:TBC31 SRF31:SRG31 SHJ31:SHK31 RXN31:RXO31 RNR31:RNS31 RDV31:RDW31 QTZ31:QUA31 QKD31:QKE31 QAH31:QAI31 PQL31:PQM31 PGP31:PGQ31 OWT31:OWU31 OMX31:OMY31 ODB31:ODC31 NTF31:NTG31 NJJ31:NJK31 MZN31:MZO31 MPR31:MPS31 MFV31:MFW31 LVZ31:LWA31 LMD31:LME31 LCH31:LCI31 KSL31:KSM31 KIP31:KIQ31 JYT31:JYU31 JOX31:JOY31 JFB31:JFC31 IVF31:IVG31 ILJ31:ILK31 IBN31:IBO31 HRR31:HRS31 HHV31:HHW31 GXZ31:GYA31 GOD31:GOE31 GEH31:GEI31 FUL31:FUM31 FKP31:FKQ31 FAT31:FAU31 EQX31:EQY31 EHB31:EHC31 DXF31:DXG31 DNJ31:DNK31 DDN31:DDO31 CTR31:CTS31 CJV31:CJW31 BZZ31:CAA31 BQD31:BQE31 BGH31:BGI31 AWL31:AWM31 AMP31:AMQ31 ACT31:ACU31 SX31:SY31 JB31:JC31 JN31:JO31 WVR983071:WVS983071 WLV983071:WLW983071 WBZ983071:WCA983071 VSD983071:VSE983071 VIH983071:VII983071 UYL983071:UYM983071 UOP983071:UOQ983071 UET983071:UEU983071 TUX983071:TUY983071 TLB983071:TLC983071 TBF983071:TBG983071 SRJ983071:SRK983071 SHN983071:SHO983071 RXR983071:RXS983071 RNV983071:RNW983071 RDZ983071:REA983071 QUD983071:QUE983071 QKH983071:QKI983071 QAL983071:QAM983071 PQP983071:PQQ983071 PGT983071:PGU983071 OWX983071:OWY983071 ONB983071:ONC983071 ODF983071:ODG983071 NTJ983071:NTK983071 NJN983071:NJO983071 MZR983071:MZS983071 MPV983071:MPW983071 MFZ983071:MGA983071 LWD983071:LWE983071 LMH983071:LMI983071 LCL983071:LCM983071 KSP983071:KSQ983071 KIT983071:KIU983071 JYX983071:JYY983071 JPB983071:JPC983071 JFF983071:JFG983071 IVJ983071:IVK983071 ILN983071:ILO983071 IBR983071:IBS983071 HRV983071:HRW983071 HHZ983071:HIA983071 GYD983071:GYE983071 GOH983071:GOI983071 GEL983071:GEM983071 FUP983071:FUQ983071 FKT983071:FKU983071 FAX983071:FAY983071 ERB983071:ERC983071 EHF983071:EHG983071 DXJ983071:DXK983071 DNN983071:DNO983071 DDR983071:DDS983071 CTV983071:CTW983071 CJZ983071:CKA983071 CAD983071:CAE983071 BQH983071:BQI983071 BGL983071:BGM983071 AWP983071:AWQ983071 AMT983071:AMU983071 ACX983071:ACY983071 TB983071:TC983071 JF983071:JG983071 J983071:K983071 WVR917535:WVS917535 WLV917535:WLW917535 WBZ917535:WCA917535 VSD917535:VSE917535 VIH917535:VII917535 UYL917535:UYM917535 UOP917535:UOQ917535 UET917535:UEU917535 TUX917535:TUY917535 TLB917535:TLC917535 TBF917535:TBG917535 SRJ917535:SRK917535 SHN917535:SHO917535 RXR917535:RXS917535 RNV917535:RNW917535 RDZ917535:REA917535 QUD917535:QUE917535 QKH917535:QKI917535 QAL917535:QAM917535 PQP917535:PQQ917535 PGT917535:PGU917535 OWX917535:OWY917535 ONB917535:ONC917535 ODF917535:ODG917535 NTJ917535:NTK917535 NJN917535:NJO917535 MZR917535:MZS917535 MPV917535:MPW917535 MFZ917535:MGA917535 LWD917535:LWE917535 LMH917535:LMI917535 LCL917535:LCM917535 KSP917535:KSQ917535 KIT917535:KIU917535 JYX917535:JYY917535 JPB917535:JPC917535 JFF917535:JFG917535 IVJ917535:IVK917535 ILN917535:ILO917535 IBR917535:IBS917535 HRV917535:HRW917535 HHZ917535:HIA917535 GYD917535:GYE917535 GOH917535:GOI917535 GEL917535:GEM917535 FUP917535:FUQ917535 FKT917535:FKU917535 FAX917535:FAY917535 ERB917535:ERC917535 EHF917535:EHG917535 DXJ917535:DXK917535 DNN917535:DNO917535 DDR917535:DDS917535 CTV917535:CTW917535 CJZ917535:CKA917535 CAD917535:CAE917535 BQH917535:BQI917535 BGL917535:BGM917535 AWP917535:AWQ917535 AMT917535:AMU917535 ACX917535:ACY917535 TB917535:TC917535 JF917535:JG917535 J917535:K917535 WVR851999:WVS851999 WLV851999:WLW851999 WBZ851999:WCA851999 VSD851999:VSE851999 VIH851999:VII851999 UYL851999:UYM851999 UOP851999:UOQ851999 UET851999:UEU851999 TUX851999:TUY851999 TLB851999:TLC851999 TBF851999:TBG851999 SRJ851999:SRK851999 SHN851999:SHO851999 RXR851999:RXS851999 RNV851999:RNW851999 RDZ851999:REA851999 QUD851999:QUE851999 QKH851999:QKI851999 QAL851999:QAM851999 PQP851999:PQQ851999 PGT851999:PGU851999 OWX851999:OWY851999 ONB851999:ONC851999 ODF851999:ODG851999 NTJ851999:NTK851999 NJN851999:NJO851999 MZR851999:MZS851999 MPV851999:MPW851999 MFZ851999:MGA851999 LWD851999:LWE851999 LMH851999:LMI851999 LCL851999:LCM851999 KSP851999:KSQ851999 KIT851999:KIU851999 JYX851999:JYY851999 JPB851999:JPC851999 JFF851999:JFG851999 IVJ851999:IVK851999 ILN851999:ILO851999 IBR851999:IBS851999 HRV851999:HRW851999 HHZ851999:HIA851999 GYD851999:GYE851999 GOH851999:GOI851999 GEL851999:GEM851999 FUP851999:FUQ851999 FKT851999:FKU851999 FAX851999:FAY851999 ERB851999:ERC851999 EHF851999:EHG851999 DXJ851999:DXK851999 DNN851999:DNO851999 DDR851999:DDS851999 CTV851999:CTW851999 CJZ851999:CKA851999 CAD851999:CAE851999 BQH851999:BQI851999 BGL851999:BGM851999 AWP851999:AWQ851999 AMT851999:AMU851999 ACX851999:ACY851999 TB851999:TC851999 JF851999:JG851999 J851999:K851999 WVR786463:WVS786463 WLV786463:WLW786463 WBZ786463:WCA786463 VSD786463:VSE786463 VIH786463:VII786463 UYL786463:UYM786463 UOP786463:UOQ786463 UET786463:UEU786463 TUX786463:TUY786463 TLB786463:TLC786463 TBF786463:TBG786463 SRJ786463:SRK786463 SHN786463:SHO786463 RXR786463:RXS786463 RNV786463:RNW786463 RDZ786463:REA786463 QUD786463:QUE786463 QKH786463:QKI786463 QAL786463:QAM786463 PQP786463:PQQ786463 PGT786463:PGU786463 OWX786463:OWY786463 ONB786463:ONC786463 ODF786463:ODG786463 NTJ786463:NTK786463 NJN786463:NJO786463 MZR786463:MZS786463 MPV786463:MPW786463 MFZ786463:MGA786463 LWD786463:LWE786463 LMH786463:LMI786463 LCL786463:LCM786463 KSP786463:KSQ786463 KIT786463:KIU786463 JYX786463:JYY786463 JPB786463:JPC786463 JFF786463:JFG786463 IVJ786463:IVK786463 ILN786463:ILO786463 IBR786463:IBS786463 HRV786463:HRW786463 HHZ786463:HIA786463 GYD786463:GYE786463 GOH786463:GOI786463 GEL786463:GEM786463 FUP786463:FUQ786463 FKT786463:FKU786463 FAX786463:FAY786463 ERB786463:ERC786463 EHF786463:EHG786463 DXJ786463:DXK786463 DNN786463:DNO786463 DDR786463:DDS786463 CTV786463:CTW786463 CJZ786463:CKA786463 CAD786463:CAE786463 BQH786463:BQI786463 BGL786463:BGM786463 AWP786463:AWQ786463 AMT786463:AMU786463 ACX786463:ACY786463 TB786463:TC786463 JF786463:JG786463 J786463:K786463 WVR720927:WVS720927 WLV720927:WLW720927 WBZ720927:WCA720927 VSD720927:VSE720927 VIH720927:VII720927 UYL720927:UYM720927 UOP720927:UOQ720927 UET720927:UEU720927 TUX720927:TUY720927 TLB720927:TLC720927 TBF720927:TBG720927 SRJ720927:SRK720927 SHN720927:SHO720927 RXR720927:RXS720927 RNV720927:RNW720927 RDZ720927:REA720927 QUD720927:QUE720927 QKH720927:QKI720927 QAL720927:QAM720927 PQP720927:PQQ720927 PGT720927:PGU720927 OWX720927:OWY720927 ONB720927:ONC720927 ODF720927:ODG720927 NTJ720927:NTK720927 NJN720927:NJO720927 MZR720927:MZS720927 MPV720927:MPW720927 MFZ720927:MGA720927 LWD720927:LWE720927 LMH720927:LMI720927 LCL720927:LCM720927 KSP720927:KSQ720927 KIT720927:KIU720927 JYX720927:JYY720927 JPB720927:JPC720927 JFF720927:JFG720927 IVJ720927:IVK720927 ILN720927:ILO720927 IBR720927:IBS720927 HRV720927:HRW720927 HHZ720927:HIA720927 GYD720927:GYE720927 GOH720927:GOI720927 GEL720927:GEM720927 FUP720927:FUQ720927 FKT720927:FKU720927 FAX720927:FAY720927 ERB720927:ERC720927 EHF720927:EHG720927 DXJ720927:DXK720927 DNN720927:DNO720927 DDR720927:DDS720927 CTV720927:CTW720927 CJZ720927:CKA720927 CAD720927:CAE720927 BQH720927:BQI720927 BGL720927:BGM720927 AWP720927:AWQ720927 AMT720927:AMU720927 ACX720927:ACY720927 TB720927:TC720927 JF720927:JG720927 J720927:K720927 WVR655391:WVS655391 WLV655391:WLW655391 WBZ655391:WCA655391 VSD655391:VSE655391 VIH655391:VII655391 UYL655391:UYM655391 UOP655391:UOQ655391 UET655391:UEU655391 TUX655391:TUY655391 TLB655391:TLC655391 TBF655391:TBG655391 SRJ655391:SRK655391 SHN655391:SHO655391 RXR655391:RXS655391 RNV655391:RNW655391 RDZ655391:REA655391 QUD655391:QUE655391 QKH655391:QKI655391 QAL655391:QAM655391 PQP655391:PQQ655391 PGT655391:PGU655391 OWX655391:OWY655391 ONB655391:ONC655391 ODF655391:ODG655391 NTJ655391:NTK655391 NJN655391:NJO655391 MZR655391:MZS655391 MPV655391:MPW655391 MFZ655391:MGA655391 LWD655391:LWE655391 LMH655391:LMI655391 LCL655391:LCM655391 KSP655391:KSQ655391 KIT655391:KIU655391 JYX655391:JYY655391 JPB655391:JPC655391 JFF655391:JFG655391 IVJ655391:IVK655391 ILN655391:ILO655391 IBR655391:IBS655391 HRV655391:HRW655391 HHZ655391:HIA655391 GYD655391:GYE655391 GOH655391:GOI655391 GEL655391:GEM655391 FUP655391:FUQ655391 FKT655391:FKU655391 FAX655391:FAY655391 ERB655391:ERC655391 EHF655391:EHG655391 DXJ655391:DXK655391 DNN655391:DNO655391 DDR655391:DDS655391 CTV655391:CTW655391 CJZ655391:CKA655391 CAD655391:CAE655391 BQH655391:BQI655391 BGL655391:BGM655391 AWP655391:AWQ655391 AMT655391:AMU655391 ACX655391:ACY655391 TB655391:TC655391 JF655391:JG655391 J655391:K655391 WVR589855:WVS589855 WLV589855:WLW589855 WBZ589855:WCA589855 VSD589855:VSE589855 VIH589855:VII589855 UYL589855:UYM589855 UOP589855:UOQ589855 UET589855:UEU589855 TUX589855:TUY589855 TLB589855:TLC589855 TBF589855:TBG589855 SRJ589855:SRK589855 SHN589855:SHO589855 RXR589855:RXS589855 RNV589855:RNW589855 RDZ589855:REA589855 QUD589855:QUE589855 QKH589855:QKI589855 QAL589855:QAM589855 PQP589855:PQQ589855 PGT589855:PGU589855 OWX589855:OWY589855 ONB589855:ONC589855 ODF589855:ODG589855 NTJ589855:NTK589855 NJN589855:NJO589855 MZR589855:MZS589855 MPV589855:MPW589855 MFZ589855:MGA589855 LWD589855:LWE589855 LMH589855:LMI589855 LCL589855:LCM589855 KSP589855:KSQ589855 KIT589855:KIU589855 JYX589855:JYY589855 JPB589855:JPC589855 JFF589855:JFG589855 IVJ589855:IVK589855 ILN589855:ILO589855 IBR589855:IBS589855 HRV589855:HRW589855 HHZ589855:HIA589855 GYD589855:GYE589855 GOH589855:GOI589855 GEL589855:GEM589855 FUP589855:FUQ589855 FKT589855:FKU589855 FAX589855:FAY589855 ERB589855:ERC589855 EHF589855:EHG589855 DXJ589855:DXK589855 DNN589855:DNO589855 DDR589855:DDS589855 CTV589855:CTW589855 CJZ589855:CKA589855 CAD589855:CAE589855 BQH589855:BQI589855 BGL589855:BGM589855 AWP589855:AWQ589855 AMT589855:AMU589855 ACX589855:ACY589855 TB589855:TC589855 JF589855:JG589855 J589855:K589855 WVR524319:WVS524319 WLV524319:WLW524319 WBZ524319:WCA524319 VSD524319:VSE524319 VIH524319:VII524319 UYL524319:UYM524319 UOP524319:UOQ524319 UET524319:UEU524319 TUX524319:TUY524319 TLB524319:TLC524319 TBF524319:TBG524319 SRJ524319:SRK524319 SHN524319:SHO524319 RXR524319:RXS524319 RNV524319:RNW524319 RDZ524319:REA524319 QUD524319:QUE524319 QKH524319:QKI524319 QAL524319:QAM524319 PQP524319:PQQ524319 PGT524319:PGU524319 OWX524319:OWY524319 ONB524319:ONC524319 ODF524319:ODG524319 NTJ524319:NTK524319 NJN524319:NJO524319 MZR524319:MZS524319 MPV524319:MPW524319 MFZ524319:MGA524319 LWD524319:LWE524319 LMH524319:LMI524319 LCL524319:LCM524319 KSP524319:KSQ524319 KIT524319:KIU524319 JYX524319:JYY524319 JPB524319:JPC524319 JFF524319:JFG524319 IVJ524319:IVK524319 ILN524319:ILO524319 IBR524319:IBS524319 HRV524319:HRW524319 HHZ524319:HIA524319 GYD524319:GYE524319 GOH524319:GOI524319 GEL524319:GEM524319 FUP524319:FUQ524319 FKT524319:FKU524319 FAX524319:FAY524319 ERB524319:ERC524319 EHF524319:EHG524319 DXJ524319:DXK524319 DNN524319:DNO524319 DDR524319:DDS524319 CTV524319:CTW524319 CJZ524319:CKA524319 CAD524319:CAE524319 BQH524319:BQI524319 BGL524319:BGM524319 AWP524319:AWQ524319 AMT524319:AMU524319 ACX524319:ACY524319 TB524319:TC524319 JF524319:JG524319 J524319:K524319 WVR458783:WVS458783 WLV458783:WLW458783 WBZ458783:WCA458783 VSD458783:VSE458783 VIH458783:VII458783 UYL458783:UYM458783 UOP458783:UOQ458783 UET458783:UEU458783 TUX458783:TUY458783 TLB458783:TLC458783 TBF458783:TBG458783 SRJ458783:SRK458783 SHN458783:SHO458783 RXR458783:RXS458783 RNV458783:RNW458783 RDZ458783:REA458783 QUD458783:QUE458783 QKH458783:QKI458783 QAL458783:QAM458783 PQP458783:PQQ458783 PGT458783:PGU458783 OWX458783:OWY458783 ONB458783:ONC458783 ODF458783:ODG458783 NTJ458783:NTK458783 NJN458783:NJO458783 MZR458783:MZS458783 MPV458783:MPW458783 MFZ458783:MGA458783 LWD458783:LWE458783 LMH458783:LMI458783 LCL458783:LCM458783 KSP458783:KSQ458783 KIT458783:KIU458783 JYX458783:JYY458783 JPB458783:JPC458783 JFF458783:JFG458783 IVJ458783:IVK458783 ILN458783:ILO458783 IBR458783:IBS458783 HRV458783:HRW458783 HHZ458783:HIA458783 GYD458783:GYE458783 GOH458783:GOI458783 GEL458783:GEM458783 FUP458783:FUQ458783 FKT458783:FKU458783 FAX458783:FAY458783 ERB458783:ERC458783 EHF458783:EHG458783 DXJ458783:DXK458783 DNN458783:DNO458783 DDR458783:DDS458783 CTV458783:CTW458783 CJZ458783:CKA458783 CAD458783:CAE458783 BQH458783:BQI458783 BGL458783:BGM458783 AWP458783:AWQ458783 AMT458783:AMU458783 ACX458783:ACY458783 TB458783:TC458783 JF458783:JG458783 J458783:K458783 WVR393247:WVS393247 WLV393247:WLW393247 WBZ393247:WCA393247 VSD393247:VSE393247 VIH393247:VII393247 UYL393247:UYM393247 UOP393247:UOQ393247 UET393247:UEU393247 TUX393247:TUY393247 TLB393247:TLC393247 TBF393247:TBG393247 SRJ393247:SRK393247 SHN393247:SHO393247 RXR393247:RXS393247 RNV393247:RNW393247 RDZ393247:REA393247 QUD393247:QUE393247 QKH393247:QKI393247 QAL393247:QAM393247 PQP393247:PQQ393247 PGT393247:PGU393247 OWX393247:OWY393247 ONB393247:ONC393247 ODF393247:ODG393247 NTJ393247:NTK393247 NJN393247:NJO393247 MZR393247:MZS393247 MPV393247:MPW393247 MFZ393247:MGA393247 LWD393247:LWE393247 LMH393247:LMI393247 LCL393247:LCM393247 KSP393247:KSQ393247 KIT393247:KIU393247 JYX393247:JYY393247 JPB393247:JPC393247 JFF393247:JFG393247 IVJ393247:IVK393247 ILN393247:ILO393247 IBR393247:IBS393247 HRV393247:HRW393247 HHZ393247:HIA393247 GYD393247:GYE393247 GOH393247:GOI393247 GEL393247:GEM393247 FUP393247:FUQ393247 FKT393247:FKU393247 FAX393247:FAY393247 ERB393247:ERC393247 EHF393247:EHG393247 DXJ393247:DXK393247 DNN393247:DNO393247 DDR393247:DDS393247 CTV393247:CTW393247 CJZ393247:CKA393247 CAD393247:CAE393247 BQH393247:BQI393247 BGL393247:BGM393247 AWP393247:AWQ393247 AMT393247:AMU393247 ACX393247:ACY393247 TB393247:TC393247 JF393247:JG393247 J393247:K393247 WVR327711:WVS327711 WLV327711:WLW327711 WBZ327711:WCA327711 VSD327711:VSE327711 VIH327711:VII327711 UYL327711:UYM327711 UOP327711:UOQ327711 UET327711:UEU327711 TUX327711:TUY327711 TLB327711:TLC327711 TBF327711:TBG327711 SRJ327711:SRK327711 SHN327711:SHO327711 RXR327711:RXS327711 RNV327711:RNW327711 RDZ327711:REA327711 QUD327711:QUE327711 QKH327711:QKI327711 QAL327711:QAM327711 PQP327711:PQQ327711 PGT327711:PGU327711 OWX327711:OWY327711 ONB327711:ONC327711 ODF327711:ODG327711 NTJ327711:NTK327711 NJN327711:NJO327711 MZR327711:MZS327711 MPV327711:MPW327711 MFZ327711:MGA327711 LWD327711:LWE327711 LMH327711:LMI327711 LCL327711:LCM327711 KSP327711:KSQ327711 KIT327711:KIU327711 JYX327711:JYY327711 JPB327711:JPC327711 JFF327711:JFG327711 IVJ327711:IVK327711 ILN327711:ILO327711 IBR327711:IBS327711 HRV327711:HRW327711 HHZ327711:HIA327711 GYD327711:GYE327711 GOH327711:GOI327711 GEL327711:GEM327711 FUP327711:FUQ327711 FKT327711:FKU327711 FAX327711:FAY327711 ERB327711:ERC327711 EHF327711:EHG327711 DXJ327711:DXK327711 DNN327711:DNO327711 DDR327711:DDS327711 CTV327711:CTW327711 CJZ327711:CKA327711 CAD327711:CAE327711 BQH327711:BQI327711 BGL327711:BGM327711 AWP327711:AWQ327711 AMT327711:AMU327711 ACX327711:ACY327711 TB327711:TC327711 JF327711:JG327711 J327711:K327711 WVR262175:WVS262175 WLV262175:WLW262175 WBZ262175:WCA262175 VSD262175:VSE262175 VIH262175:VII262175 UYL262175:UYM262175 UOP262175:UOQ262175 UET262175:UEU262175 TUX262175:TUY262175 TLB262175:TLC262175 TBF262175:TBG262175 SRJ262175:SRK262175 SHN262175:SHO262175 RXR262175:RXS262175 RNV262175:RNW262175 RDZ262175:REA262175 QUD262175:QUE262175 QKH262175:QKI262175 QAL262175:QAM262175 PQP262175:PQQ262175 PGT262175:PGU262175 OWX262175:OWY262175 ONB262175:ONC262175 ODF262175:ODG262175 NTJ262175:NTK262175 NJN262175:NJO262175 MZR262175:MZS262175 MPV262175:MPW262175 MFZ262175:MGA262175 LWD262175:LWE262175 LMH262175:LMI262175 LCL262175:LCM262175 KSP262175:KSQ262175 KIT262175:KIU262175 JYX262175:JYY262175 JPB262175:JPC262175 JFF262175:JFG262175 IVJ262175:IVK262175 ILN262175:ILO262175 IBR262175:IBS262175 HRV262175:HRW262175 HHZ262175:HIA262175 GYD262175:GYE262175 GOH262175:GOI262175 GEL262175:GEM262175 FUP262175:FUQ262175 FKT262175:FKU262175 FAX262175:FAY262175 ERB262175:ERC262175 EHF262175:EHG262175 DXJ262175:DXK262175 DNN262175:DNO262175 DDR262175:DDS262175 CTV262175:CTW262175 CJZ262175:CKA262175 CAD262175:CAE262175 BQH262175:BQI262175 BGL262175:BGM262175 AWP262175:AWQ262175 AMT262175:AMU262175 ACX262175:ACY262175 TB262175:TC262175 JF262175:JG262175 J262175:K262175 WVR196639:WVS196639 WLV196639:WLW196639 WBZ196639:WCA196639 VSD196639:VSE196639 VIH196639:VII196639 UYL196639:UYM196639 UOP196639:UOQ196639 UET196639:UEU196639 TUX196639:TUY196639 TLB196639:TLC196639 TBF196639:TBG196639 SRJ196639:SRK196639 SHN196639:SHO196639 RXR196639:RXS196639 RNV196639:RNW196639 RDZ196639:REA196639 QUD196639:QUE196639 QKH196639:QKI196639 QAL196639:QAM196639 PQP196639:PQQ196639 PGT196639:PGU196639 OWX196639:OWY196639 ONB196639:ONC196639 ODF196639:ODG196639 NTJ196639:NTK196639 NJN196639:NJO196639 MZR196639:MZS196639 MPV196639:MPW196639 MFZ196639:MGA196639 LWD196639:LWE196639 LMH196639:LMI196639 LCL196639:LCM196639 KSP196639:KSQ196639 KIT196639:KIU196639 JYX196639:JYY196639 JPB196639:JPC196639 JFF196639:JFG196639 IVJ196639:IVK196639 ILN196639:ILO196639 IBR196639:IBS196639 HRV196639:HRW196639 HHZ196639:HIA196639 GYD196639:GYE196639 GOH196639:GOI196639 GEL196639:GEM196639 FUP196639:FUQ196639 FKT196639:FKU196639 FAX196639:FAY196639 ERB196639:ERC196639 EHF196639:EHG196639 DXJ196639:DXK196639 DNN196639:DNO196639 DDR196639:DDS196639 CTV196639:CTW196639 CJZ196639:CKA196639 CAD196639:CAE196639 BQH196639:BQI196639 BGL196639:BGM196639 AWP196639:AWQ196639 AMT196639:AMU196639 ACX196639:ACY196639 TB196639:TC196639 JF196639:JG196639 J196639:K196639 WVR131103:WVS131103 WLV131103:WLW131103 WBZ131103:WCA131103 VSD131103:VSE131103 VIH131103:VII131103 UYL131103:UYM131103 UOP131103:UOQ131103 UET131103:UEU131103 TUX131103:TUY131103 TLB131103:TLC131103 TBF131103:TBG131103 SRJ131103:SRK131103 SHN131103:SHO131103 RXR131103:RXS131103 RNV131103:RNW131103 RDZ131103:REA131103 QUD131103:QUE131103 QKH131103:QKI131103 QAL131103:QAM131103 PQP131103:PQQ131103 PGT131103:PGU131103 OWX131103:OWY131103 ONB131103:ONC131103 ODF131103:ODG131103 NTJ131103:NTK131103 NJN131103:NJO131103 MZR131103:MZS131103 MPV131103:MPW131103 MFZ131103:MGA131103 LWD131103:LWE131103 LMH131103:LMI131103 LCL131103:LCM131103 KSP131103:KSQ131103 KIT131103:KIU131103 JYX131103:JYY131103 JPB131103:JPC131103 JFF131103:JFG131103 IVJ131103:IVK131103 ILN131103:ILO131103 IBR131103:IBS131103 HRV131103:HRW131103 HHZ131103:HIA131103 GYD131103:GYE131103 GOH131103:GOI131103 GEL131103:GEM131103 FUP131103:FUQ131103 FKT131103:FKU131103 FAX131103:FAY131103 ERB131103:ERC131103 EHF131103:EHG131103 DXJ131103:DXK131103 DNN131103:DNO131103 DDR131103:DDS131103 CTV131103:CTW131103 CJZ131103:CKA131103 CAD131103:CAE131103 BQH131103:BQI131103 BGL131103:BGM131103 AWP131103:AWQ131103 AMT131103:AMU131103 ACX131103:ACY131103 TB131103:TC131103 JF131103:JG131103 J131103:K131103 WVR65567:WVS65567 WLV65567:WLW65567 WBZ65567:WCA65567 VSD65567:VSE65567 VIH65567:VII65567 UYL65567:UYM65567 UOP65567:UOQ65567 UET65567:UEU65567 TUX65567:TUY65567 TLB65567:TLC65567 TBF65567:TBG65567 SRJ65567:SRK65567 SHN65567:SHO65567 RXR65567:RXS65567 RNV65567:RNW65567 RDZ65567:REA65567 QUD65567:QUE65567 QKH65567:QKI65567 QAL65567:QAM65567 PQP65567:PQQ65567 PGT65567:PGU65567 OWX65567:OWY65567 ONB65567:ONC65567 ODF65567:ODG65567 NTJ65567:NTK65567 NJN65567:NJO65567 MZR65567:MZS65567 MPV65567:MPW65567 MFZ65567:MGA65567 LWD65567:LWE65567 LMH65567:LMI65567 LCL65567:LCM65567 KSP65567:KSQ65567 KIT65567:KIU65567 JYX65567:JYY65567 JPB65567:JPC65567 JFF65567:JFG65567 IVJ65567:IVK65567 ILN65567:ILO65567 IBR65567:IBS65567 HRV65567:HRW65567 HHZ65567:HIA65567 GYD65567:GYE65567 GOH65567:GOI65567 GEL65567:GEM65567 FUP65567:FUQ65567 FKT65567:FKU65567 FAX65567:FAY65567 ERB65567:ERC65567 EHF65567:EHG65567 DXJ65567:DXK65567 DNN65567:DNO65567 DDR65567:DDS65567 CTV65567:CTW65567 CJZ65567:CKA65567 CAD65567:CAE65567 BQH65567:BQI65567 BGL65567:BGM65567 AWP65567:AWQ65567 AMT65567:AMU65567 ACX65567:ACY65567 TB65567:TC65567 JF65567:JG65567 J65567:K65567 WVR31:WVS31 WLV31:WLW31 WBZ31:WCA31 VSD31:VSE31 VIH31:VII31 UYL31:UYM31 UOP31:UOQ31 UET31:UEU31 TUX31:TUY31 TLB31:TLC31 TBF31:TBG31 SRJ31:SRK31 SHN31:SHO31 RXR31:RXS31 RNV31:RNW31 RDZ31:REA31 QUD31:QUE31 QKH31:QKI31 QAL31:QAM31 PQP31:PQQ31 PGT31:PGU31 OWX31:OWY31 ONB31:ONC31 ODF31:ODG31 NTJ31:NTK31 NJN31:NJO31 MZR31:MZS31 MPV31:MPW31 MFZ31:MGA31 LWD31:LWE31 LMH31:LMI31 LCL31:LCM31 KSP31:KSQ31 KIT31:KIU31 JYX31:JYY31 JPB31:JPC31 JFF31:JFG31 IVJ31:IVK31 ILN31:ILO31 IBR31:IBS31 HRV31:HRW31 HHZ31:HIA31 GYD31:GYE31 GOH31:GOI31 GEL31:GEM31 FUP31:FUQ31 FKT31:FKU31 FAX31:FAY31 ERB31:ERC31 EHF31:EHG31 DXJ31:DXK31 DNN31:DNO31 DDR31:DDS31 CTV31:CTW31 CJZ31:CKA31 CAD31:CAE31 BQH31:BQI31 BGL31:BGM31 AWP31:AWQ31 AMT31:AMU31 ACX31:ACY31 TB31:TC31 JF31:JG31 J31:K31 WVV983071:WVW983071 WLZ983071:WMA983071 WCD983071:WCE983071 VSH983071:VSI983071 VIL983071:VIM983071 UYP983071:UYQ983071 UOT983071:UOU983071 UEX983071:UEY983071 TVB983071:TVC983071 TLF983071:TLG983071 TBJ983071:TBK983071 SRN983071:SRO983071 SHR983071:SHS983071 RXV983071:RXW983071 RNZ983071:ROA983071 RED983071:REE983071 QUH983071:QUI983071 QKL983071:QKM983071 QAP983071:QAQ983071 PQT983071:PQU983071 PGX983071:PGY983071 OXB983071:OXC983071 ONF983071:ONG983071 ODJ983071:ODK983071 NTN983071:NTO983071 NJR983071:NJS983071 MZV983071:MZW983071 MPZ983071:MQA983071 MGD983071:MGE983071 LWH983071:LWI983071 LML983071:LMM983071 LCP983071:LCQ983071 KST983071:KSU983071 KIX983071:KIY983071 JZB983071:JZC983071 JPF983071:JPG983071 JFJ983071:JFK983071 IVN983071:IVO983071 ILR983071:ILS983071 IBV983071:IBW983071 HRZ983071:HSA983071 HID983071:HIE983071 GYH983071:GYI983071 GOL983071:GOM983071 GEP983071:GEQ983071 FUT983071:FUU983071 FKX983071:FKY983071 FBB983071:FBC983071 ERF983071:ERG983071 EHJ983071:EHK983071 DXN983071:DXO983071 DNR983071:DNS983071 DDV983071:DDW983071 CTZ983071:CUA983071 CKD983071:CKE983071 CAH983071:CAI983071 BQL983071:BQM983071 BGP983071:BGQ983071 AWT983071:AWU983071 AMX983071:AMY983071 ADB983071:ADC983071 TF983071:TG983071 JJ983071:JK983071 N983071:O983071 WVV917535:WVW917535 WLZ917535:WMA917535 WCD917535:WCE917535 VSH917535:VSI917535 VIL917535:VIM917535 UYP917535:UYQ917535 UOT917535:UOU917535 UEX917535:UEY917535 TVB917535:TVC917535 TLF917535:TLG917535 TBJ917535:TBK917535 SRN917535:SRO917535 SHR917535:SHS917535 RXV917535:RXW917535 RNZ917535:ROA917535 RED917535:REE917535 QUH917535:QUI917535 QKL917535:QKM917535 QAP917535:QAQ917535 PQT917535:PQU917535 PGX917535:PGY917535 OXB917535:OXC917535 ONF917535:ONG917535 ODJ917535:ODK917535 NTN917535:NTO917535 NJR917535:NJS917535 MZV917535:MZW917535 MPZ917535:MQA917535 MGD917535:MGE917535 LWH917535:LWI917535 LML917535:LMM917535 LCP917535:LCQ917535 KST917535:KSU917535 KIX917535:KIY917535 JZB917535:JZC917535 JPF917535:JPG917535 JFJ917535:JFK917535 IVN917535:IVO917535 ILR917535:ILS917535 IBV917535:IBW917535 HRZ917535:HSA917535 HID917535:HIE917535 GYH917535:GYI917535 GOL917535:GOM917535 GEP917535:GEQ917535 FUT917535:FUU917535 FKX917535:FKY917535 FBB917535:FBC917535 ERF917535:ERG917535 EHJ917535:EHK917535 DXN917535:DXO917535 DNR917535:DNS917535 DDV917535:DDW917535 CTZ917535:CUA917535 CKD917535:CKE917535 CAH917535:CAI917535 BQL917535:BQM917535 BGP917535:BGQ917535 AWT917535:AWU917535 AMX917535:AMY917535 ADB917535:ADC917535 TF917535:TG917535 JJ917535:JK917535 N917535:O917535 WVV851999:WVW851999 WLZ851999:WMA851999 WCD851999:WCE851999 VSH851999:VSI851999 VIL851999:VIM851999 UYP851999:UYQ851999 UOT851999:UOU851999 UEX851999:UEY851999 TVB851999:TVC851999 TLF851999:TLG851999 TBJ851999:TBK851999 SRN851999:SRO851999 SHR851999:SHS851999 RXV851999:RXW851999 RNZ851999:ROA851999 RED851999:REE851999 QUH851999:QUI851999 QKL851999:QKM851999 QAP851999:QAQ851999 PQT851999:PQU851999 PGX851999:PGY851999 OXB851999:OXC851999 ONF851999:ONG851999 ODJ851999:ODK851999 NTN851999:NTO851999 NJR851999:NJS851999 MZV851999:MZW851999 MPZ851999:MQA851999 MGD851999:MGE851999 LWH851999:LWI851999 LML851999:LMM851999 LCP851999:LCQ851999 KST851999:KSU851999 KIX851999:KIY851999 JZB851999:JZC851999 JPF851999:JPG851999 JFJ851999:JFK851999 IVN851999:IVO851999 ILR851999:ILS851999 IBV851999:IBW851999 HRZ851999:HSA851999 HID851999:HIE851999 GYH851999:GYI851999 GOL851999:GOM851999 GEP851999:GEQ851999 FUT851999:FUU851999 FKX851999:FKY851999 FBB851999:FBC851999 ERF851999:ERG851999 EHJ851999:EHK851999 DXN851999:DXO851999 DNR851999:DNS851999 DDV851999:DDW851999 CTZ851999:CUA851999 CKD851999:CKE851999 CAH851999:CAI851999 BQL851999:BQM851999 BGP851999:BGQ851999 AWT851999:AWU851999 AMX851999:AMY851999 ADB851999:ADC851999 TF851999:TG851999 JJ851999:JK851999 N851999:O851999 WVV786463:WVW786463 WLZ786463:WMA786463 WCD786463:WCE786463 VSH786463:VSI786463 VIL786463:VIM786463 UYP786463:UYQ786463 UOT786463:UOU786463 UEX786463:UEY786463 TVB786463:TVC786463 TLF786463:TLG786463 TBJ786463:TBK786463 SRN786463:SRO786463 SHR786463:SHS786463 RXV786463:RXW786463 RNZ786463:ROA786463 RED786463:REE786463 QUH786463:QUI786463 QKL786463:QKM786463 QAP786463:QAQ786463 PQT786463:PQU786463 PGX786463:PGY786463 OXB786463:OXC786463 ONF786463:ONG786463 ODJ786463:ODK786463 NTN786463:NTO786463 NJR786463:NJS786463 MZV786463:MZW786463 MPZ786463:MQA786463 MGD786463:MGE786463 LWH786463:LWI786463 LML786463:LMM786463 LCP786463:LCQ786463 KST786463:KSU786463 KIX786463:KIY786463 JZB786463:JZC786463 JPF786463:JPG786463 JFJ786463:JFK786463 IVN786463:IVO786463 ILR786463:ILS786463 IBV786463:IBW786463 HRZ786463:HSA786463 HID786463:HIE786463 GYH786463:GYI786463 GOL786463:GOM786463 GEP786463:GEQ786463 FUT786463:FUU786463 FKX786463:FKY786463 FBB786463:FBC786463 ERF786463:ERG786463 EHJ786463:EHK786463 DXN786463:DXO786463 DNR786463:DNS786463 DDV786463:DDW786463 CTZ786463:CUA786463 CKD786463:CKE786463 CAH786463:CAI786463 BQL786463:BQM786463 BGP786463:BGQ786463 AWT786463:AWU786463 AMX786463:AMY786463 ADB786463:ADC786463 TF786463:TG786463 JJ786463:JK786463 N786463:O786463 WVV720927:WVW720927 WLZ720927:WMA720927 WCD720927:WCE720927 VSH720927:VSI720927 VIL720927:VIM720927 UYP720927:UYQ720927 UOT720927:UOU720927 UEX720927:UEY720927 TVB720927:TVC720927 TLF720927:TLG720927 TBJ720927:TBK720927 SRN720927:SRO720927 SHR720927:SHS720927 RXV720927:RXW720927 RNZ720927:ROA720927 RED720927:REE720927 QUH720927:QUI720927 QKL720927:QKM720927 QAP720927:QAQ720927 PQT720927:PQU720927 PGX720927:PGY720927 OXB720927:OXC720927 ONF720927:ONG720927 ODJ720927:ODK720927 NTN720927:NTO720927 NJR720927:NJS720927 MZV720927:MZW720927 MPZ720927:MQA720927 MGD720927:MGE720927 LWH720927:LWI720927 LML720927:LMM720927 LCP720927:LCQ720927 KST720927:KSU720927 KIX720927:KIY720927 JZB720927:JZC720927 JPF720927:JPG720927 JFJ720927:JFK720927 IVN720927:IVO720927 ILR720927:ILS720927 IBV720927:IBW720927 HRZ720927:HSA720927 HID720927:HIE720927 GYH720927:GYI720927 GOL720927:GOM720927 GEP720927:GEQ720927 FUT720927:FUU720927 FKX720927:FKY720927 FBB720927:FBC720927 ERF720927:ERG720927 EHJ720927:EHK720927 DXN720927:DXO720927 DNR720927:DNS720927 DDV720927:DDW720927 CTZ720927:CUA720927 CKD720927:CKE720927 CAH720927:CAI720927 BQL720927:BQM720927 BGP720927:BGQ720927 AWT720927:AWU720927 AMX720927:AMY720927 ADB720927:ADC720927 TF720927:TG720927 JJ720927:JK720927 N720927:O720927 WVV655391:WVW655391 WLZ655391:WMA655391 WCD655391:WCE655391 VSH655391:VSI655391 VIL655391:VIM655391 UYP655391:UYQ655391 UOT655391:UOU655391 UEX655391:UEY655391 TVB655391:TVC655391 TLF655391:TLG655391 TBJ655391:TBK655391 SRN655391:SRO655391 SHR655391:SHS655391 RXV655391:RXW655391 RNZ655391:ROA655391 RED655391:REE655391 QUH655391:QUI655391 QKL655391:QKM655391 QAP655391:QAQ655391 PQT655391:PQU655391 PGX655391:PGY655391 OXB655391:OXC655391 ONF655391:ONG655391 ODJ655391:ODK655391 NTN655391:NTO655391 NJR655391:NJS655391 MZV655391:MZW655391 MPZ655391:MQA655391 MGD655391:MGE655391 LWH655391:LWI655391 LML655391:LMM655391 LCP655391:LCQ655391 KST655391:KSU655391 KIX655391:KIY655391 JZB655391:JZC655391 JPF655391:JPG655391 JFJ655391:JFK655391 IVN655391:IVO655391 ILR655391:ILS655391 IBV655391:IBW655391 HRZ655391:HSA655391 HID655391:HIE655391 GYH655391:GYI655391 GOL655391:GOM655391 GEP655391:GEQ655391 FUT655391:FUU655391 FKX655391:FKY655391 FBB655391:FBC655391 ERF655391:ERG655391 EHJ655391:EHK655391 DXN655391:DXO655391 DNR655391:DNS655391 DDV655391:DDW655391 CTZ655391:CUA655391 CKD655391:CKE655391 CAH655391:CAI655391 BQL655391:BQM655391 BGP655391:BGQ655391 AWT655391:AWU655391 AMX655391:AMY655391 ADB655391:ADC655391 TF655391:TG655391 JJ655391:JK655391 N655391:O655391 WVV589855:WVW589855 WLZ589855:WMA589855 WCD589855:WCE589855 VSH589855:VSI589855 VIL589855:VIM589855 UYP589855:UYQ589855 UOT589855:UOU589855 UEX589855:UEY589855 TVB589855:TVC589855 TLF589855:TLG589855 TBJ589855:TBK589855 SRN589855:SRO589855 SHR589855:SHS589855 RXV589855:RXW589855 RNZ589855:ROA589855 RED589855:REE589855 QUH589855:QUI589855 QKL589855:QKM589855 QAP589855:QAQ589855 PQT589855:PQU589855 PGX589855:PGY589855 OXB589855:OXC589855 ONF589855:ONG589855 ODJ589855:ODK589855 NTN589855:NTO589855 NJR589855:NJS589855 MZV589855:MZW589855 MPZ589855:MQA589855 MGD589855:MGE589855 LWH589855:LWI589855 LML589855:LMM589855 LCP589855:LCQ589855 KST589855:KSU589855 KIX589855:KIY589855 JZB589855:JZC589855 JPF589855:JPG589855 JFJ589855:JFK589855 IVN589855:IVO589855 ILR589855:ILS589855 IBV589855:IBW589855 HRZ589855:HSA589855 HID589855:HIE589855 GYH589855:GYI589855 GOL589855:GOM589855 GEP589855:GEQ589855 FUT589855:FUU589855 FKX589855:FKY589855 FBB589855:FBC589855 ERF589855:ERG589855 EHJ589855:EHK589855 DXN589855:DXO589855 DNR589855:DNS589855 DDV589855:DDW589855 CTZ589855:CUA589855 CKD589855:CKE589855 CAH589855:CAI589855 BQL589855:BQM589855 BGP589855:BGQ589855 AWT589855:AWU589855 AMX589855:AMY589855 ADB589855:ADC589855 TF589855:TG589855 JJ589855:JK589855 N589855:O589855 WVV524319:WVW524319 WLZ524319:WMA524319 WCD524319:WCE524319 VSH524319:VSI524319 VIL524319:VIM524319 UYP524319:UYQ524319 UOT524319:UOU524319 UEX524319:UEY524319 TVB524319:TVC524319 TLF524319:TLG524319 TBJ524319:TBK524319 SRN524319:SRO524319 SHR524319:SHS524319 RXV524319:RXW524319 RNZ524319:ROA524319 RED524319:REE524319 QUH524319:QUI524319 QKL524319:QKM524319 QAP524319:QAQ524319 PQT524319:PQU524319 PGX524319:PGY524319 OXB524319:OXC524319 ONF524319:ONG524319 ODJ524319:ODK524319 NTN524319:NTO524319 NJR524319:NJS524319 MZV524319:MZW524319 MPZ524319:MQA524319 MGD524319:MGE524319 LWH524319:LWI524319 LML524319:LMM524319 LCP524319:LCQ524319 KST524319:KSU524319 KIX524319:KIY524319 JZB524319:JZC524319 JPF524319:JPG524319 JFJ524319:JFK524319 IVN524319:IVO524319 ILR524319:ILS524319 IBV524319:IBW524319 HRZ524319:HSA524319 HID524319:HIE524319 GYH524319:GYI524319 GOL524319:GOM524319 GEP524319:GEQ524319 FUT524319:FUU524319 FKX524319:FKY524319 FBB524319:FBC524319 ERF524319:ERG524319 EHJ524319:EHK524319 DXN524319:DXO524319 DNR524319:DNS524319 DDV524319:DDW524319 CTZ524319:CUA524319 CKD524319:CKE524319 CAH524319:CAI524319 BQL524319:BQM524319 BGP524319:BGQ524319 AWT524319:AWU524319 AMX524319:AMY524319 ADB524319:ADC524319 TF524319:TG524319 JJ524319:JK524319 N524319:O524319 WVV458783:WVW458783 WLZ458783:WMA458783 WCD458783:WCE458783 VSH458783:VSI458783 VIL458783:VIM458783 UYP458783:UYQ458783 UOT458783:UOU458783 UEX458783:UEY458783 TVB458783:TVC458783 TLF458783:TLG458783 TBJ458783:TBK458783 SRN458783:SRO458783 SHR458783:SHS458783 RXV458783:RXW458783 RNZ458783:ROA458783 RED458783:REE458783 QUH458783:QUI458783 QKL458783:QKM458783 QAP458783:QAQ458783 PQT458783:PQU458783 PGX458783:PGY458783 OXB458783:OXC458783 ONF458783:ONG458783 ODJ458783:ODK458783 NTN458783:NTO458783 NJR458783:NJS458783 MZV458783:MZW458783 MPZ458783:MQA458783 MGD458783:MGE458783 LWH458783:LWI458783 LML458783:LMM458783 LCP458783:LCQ458783 KST458783:KSU458783 KIX458783:KIY458783 JZB458783:JZC458783 JPF458783:JPG458783 JFJ458783:JFK458783 IVN458783:IVO458783 ILR458783:ILS458783 IBV458783:IBW458783 HRZ458783:HSA458783 HID458783:HIE458783 GYH458783:GYI458783 GOL458783:GOM458783 GEP458783:GEQ458783 FUT458783:FUU458783 FKX458783:FKY458783 FBB458783:FBC458783 ERF458783:ERG458783 EHJ458783:EHK458783 DXN458783:DXO458783 DNR458783:DNS458783 DDV458783:DDW458783 CTZ458783:CUA458783 CKD458783:CKE458783 CAH458783:CAI458783 BQL458783:BQM458783 BGP458783:BGQ458783 AWT458783:AWU458783 AMX458783:AMY458783 ADB458783:ADC458783 TF458783:TG458783 JJ458783:JK458783 N458783:O458783 WVV393247:WVW393247 WLZ393247:WMA393247 WCD393247:WCE393247 VSH393247:VSI393247 VIL393247:VIM393247 UYP393247:UYQ393247 UOT393247:UOU393247 UEX393247:UEY393247 TVB393247:TVC393247 TLF393247:TLG393247 TBJ393247:TBK393247 SRN393247:SRO393247 SHR393247:SHS393247 RXV393247:RXW393247 RNZ393247:ROA393247 RED393247:REE393247 QUH393247:QUI393247 QKL393247:QKM393247 QAP393247:QAQ393247 PQT393247:PQU393247 PGX393247:PGY393247 OXB393247:OXC393247 ONF393247:ONG393247 ODJ393247:ODK393247 NTN393247:NTO393247 NJR393247:NJS393247 MZV393247:MZW393247 MPZ393247:MQA393247 MGD393247:MGE393247 LWH393247:LWI393247 LML393247:LMM393247 LCP393247:LCQ393247 KST393247:KSU393247 KIX393247:KIY393247 JZB393247:JZC393247 JPF393247:JPG393247 JFJ393247:JFK393247 IVN393247:IVO393247 ILR393247:ILS393247 IBV393247:IBW393247 HRZ393247:HSA393247 HID393247:HIE393247 GYH393247:GYI393247 GOL393247:GOM393247 GEP393247:GEQ393247 FUT393247:FUU393247 FKX393247:FKY393247 FBB393247:FBC393247 ERF393247:ERG393247 EHJ393247:EHK393247 DXN393247:DXO393247 DNR393247:DNS393247 DDV393247:DDW393247 CTZ393247:CUA393247 CKD393247:CKE393247 CAH393247:CAI393247 BQL393247:BQM393247 BGP393247:BGQ393247 AWT393247:AWU393247 AMX393247:AMY393247 ADB393247:ADC393247 TF393247:TG393247 JJ393247:JK393247 N393247:O393247 WVV327711:WVW327711 WLZ327711:WMA327711 WCD327711:WCE327711 VSH327711:VSI327711 VIL327711:VIM327711 UYP327711:UYQ327711 UOT327711:UOU327711 UEX327711:UEY327711 TVB327711:TVC327711 TLF327711:TLG327711 TBJ327711:TBK327711 SRN327711:SRO327711 SHR327711:SHS327711 RXV327711:RXW327711 RNZ327711:ROA327711 RED327711:REE327711 QUH327711:QUI327711 QKL327711:QKM327711 QAP327711:QAQ327711 PQT327711:PQU327711 PGX327711:PGY327711 OXB327711:OXC327711 ONF327711:ONG327711 ODJ327711:ODK327711 NTN327711:NTO327711 NJR327711:NJS327711 MZV327711:MZW327711 MPZ327711:MQA327711 MGD327711:MGE327711 LWH327711:LWI327711 LML327711:LMM327711 LCP327711:LCQ327711 KST327711:KSU327711 KIX327711:KIY327711 JZB327711:JZC327711 JPF327711:JPG327711 JFJ327711:JFK327711 IVN327711:IVO327711 ILR327711:ILS327711 IBV327711:IBW327711 HRZ327711:HSA327711 HID327711:HIE327711 GYH327711:GYI327711 GOL327711:GOM327711 GEP327711:GEQ327711 FUT327711:FUU327711 FKX327711:FKY327711 FBB327711:FBC327711 ERF327711:ERG327711 EHJ327711:EHK327711 DXN327711:DXO327711 DNR327711:DNS327711 DDV327711:DDW327711 CTZ327711:CUA327711 CKD327711:CKE327711 CAH327711:CAI327711 BQL327711:BQM327711 BGP327711:BGQ327711 AWT327711:AWU327711 AMX327711:AMY327711 ADB327711:ADC327711 TF327711:TG327711 JJ327711:JK327711 N327711:O327711 WVV262175:WVW262175 WLZ262175:WMA262175 WCD262175:WCE262175 VSH262175:VSI262175 VIL262175:VIM262175 UYP262175:UYQ262175 UOT262175:UOU262175 UEX262175:UEY262175 TVB262175:TVC262175 TLF262175:TLG262175 TBJ262175:TBK262175 SRN262175:SRO262175 SHR262175:SHS262175 RXV262175:RXW262175 RNZ262175:ROA262175 RED262175:REE262175 QUH262175:QUI262175 QKL262175:QKM262175 QAP262175:QAQ262175 PQT262175:PQU262175 PGX262175:PGY262175 OXB262175:OXC262175 ONF262175:ONG262175 ODJ262175:ODK262175 NTN262175:NTO262175 NJR262175:NJS262175 MZV262175:MZW262175 MPZ262175:MQA262175 MGD262175:MGE262175 LWH262175:LWI262175 LML262175:LMM262175 LCP262175:LCQ262175 KST262175:KSU262175 KIX262175:KIY262175 JZB262175:JZC262175 JPF262175:JPG262175 JFJ262175:JFK262175 IVN262175:IVO262175 ILR262175:ILS262175 IBV262175:IBW262175 HRZ262175:HSA262175 HID262175:HIE262175 GYH262175:GYI262175 GOL262175:GOM262175 GEP262175:GEQ262175 FUT262175:FUU262175 FKX262175:FKY262175 FBB262175:FBC262175 ERF262175:ERG262175 EHJ262175:EHK262175 DXN262175:DXO262175 DNR262175:DNS262175 DDV262175:DDW262175 CTZ262175:CUA262175 CKD262175:CKE262175 CAH262175:CAI262175 BQL262175:BQM262175 BGP262175:BGQ262175 AWT262175:AWU262175 AMX262175:AMY262175 ADB262175:ADC262175 TF262175:TG262175 JJ262175:JK262175 N262175:O262175 WVV196639:WVW196639 WLZ196639:WMA196639 WCD196639:WCE196639 VSH196639:VSI196639 VIL196639:VIM196639 UYP196639:UYQ196639 UOT196639:UOU196639 UEX196639:UEY196639 TVB196639:TVC196639 TLF196639:TLG196639 TBJ196639:TBK196639 SRN196639:SRO196639 SHR196639:SHS196639 RXV196639:RXW196639 RNZ196639:ROA196639 RED196639:REE196639 QUH196639:QUI196639 QKL196639:QKM196639 QAP196639:QAQ196639 PQT196639:PQU196639 PGX196639:PGY196639 OXB196639:OXC196639 ONF196639:ONG196639 ODJ196639:ODK196639 NTN196639:NTO196639 NJR196639:NJS196639 MZV196639:MZW196639 MPZ196639:MQA196639 MGD196639:MGE196639 LWH196639:LWI196639 LML196639:LMM196639 LCP196639:LCQ196639 KST196639:KSU196639 KIX196639:KIY196639 JZB196639:JZC196639 JPF196639:JPG196639 JFJ196639:JFK196639 IVN196639:IVO196639 ILR196639:ILS196639 IBV196639:IBW196639 HRZ196639:HSA196639 HID196639:HIE196639 GYH196639:GYI196639 GOL196639:GOM196639 GEP196639:GEQ196639 FUT196639:FUU196639 FKX196639:FKY196639 FBB196639:FBC196639 ERF196639:ERG196639 EHJ196639:EHK196639 DXN196639:DXO196639 DNR196639:DNS196639 DDV196639:DDW196639 CTZ196639:CUA196639 CKD196639:CKE196639 CAH196639:CAI196639 BQL196639:BQM196639 BGP196639:BGQ196639 AWT196639:AWU196639 AMX196639:AMY196639 ADB196639:ADC196639 TF196639:TG196639 JJ196639:JK196639 N196639:O196639 WVV131103:WVW131103 WLZ131103:WMA131103 WCD131103:WCE131103 VSH131103:VSI131103 VIL131103:VIM131103 UYP131103:UYQ131103 UOT131103:UOU131103 UEX131103:UEY131103 TVB131103:TVC131103 TLF131103:TLG131103 TBJ131103:TBK131103 SRN131103:SRO131103 SHR131103:SHS131103 RXV131103:RXW131103 RNZ131103:ROA131103 RED131103:REE131103 QUH131103:QUI131103 QKL131103:QKM131103 QAP131103:QAQ131103 PQT131103:PQU131103 PGX131103:PGY131103 OXB131103:OXC131103 ONF131103:ONG131103 ODJ131103:ODK131103 NTN131103:NTO131103 NJR131103:NJS131103 MZV131103:MZW131103 MPZ131103:MQA131103 MGD131103:MGE131103 LWH131103:LWI131103 LML131103:LMM131103 LCP131103:LCQ131103 KST131103:KSU131103 KIX131103:KIY131103 JZB131103:JZC131103 JPF131103:JPG131103 JFJ131103:JFK131103 IVN131103:IVO131103 ILR131103:ILS131103 IBV131103:IBW131103 HRZ131103:HSA131103 HID131103:HIE131103 GYH131103:GYI131103 GOL131103:GOM131103 GEP131103:GEQ131103 FUT131103:FUU131103 FKX131103:FKY131103 FBB131103:FBC131103 ERF131103:ERG131103 EHJ131103:EHK131103 DXN131103:DXO131103 DNR131103:DNS131103 DDV131103:DDW131103 CTZ131103:CUA131103 CKD131103:CKE131103 CAH131103:CAI131103 BQL131103:BQM131103 BGP131103:BGQ131103 AWT131103:AWU131103 AMX131103:AMY131103 ADB131103:ADC131103 TF131103:TG131103 JJ131103:JK131103 N131103:O131103 WVV65567:WVW65567 WLZ65567:WMA65567 WCD65567:WCE65567 VSH65567:VSI65567 VIL65567:VIM65567 UYP65567:UYQ65567 UOT65567:UOU65567 UEX65567:UEY65567 TVB65567:TVC65567 TLF65567:TLG65567 TBJ65567:TBK65567 SRN65567:SRO65567 SHR65567:SHS65567 RXV65567:RXW65567 RNZ65567:ROA65567 RED65567:REE65567 QUH65567:QUI65567 QKL65567:QKM65567 QAP65567:QAQ65567 PQT65567:PQU65567 PGX65567:PGY65567 OXB65567:OXC65567 ONF65567:ONG65567 ODJ65567:ODK65567 NTN65567:NTO65567 NJR65567:NJS65567 MZV65567:MZW65567 MPZ65567:MQA65567 MGD65567:MGE65567 LWH65567:LWI65567 LML65567:LMM65567 LCP65567:LCQ65567 KST65567:KSU65567 KIX65567:KIY65567 JZB65567:JZC65567 JPF65567:JPG65567 JFJ65567:JFK65567 IVN65567:IVO65567 ILR65567:ILS65567 IBV65567:IBW65567 HRZ65567:HSA65567 HID65567:HIE65567 GYH65567:GYI65567 GOL65567:GOM65567 GEP65567:GEQ65567 FUT65567:FUU65567 FKX65567:FKY65567 FBB65567:FBC65567 ERF65567:ERG65567 EHJ65567:EHK65567 DXN65567:DXO65567 DNR65567:DNS65567 DDV65567:DDW65567 CTZ65567:CUA65567 CKD65567:CKE65567 CAH65567:CAI65567 BQL65567:BQM65567 BGP65567:BGQ65567 AWT65567:AWU65567 AMX65567:AMY65567 ADB65567:ADC65567 TF65567:TG65567 JJ65567:JK65567 N65567:O65567 WVV31:WVW31 WLZ31:WMA31 WCD31:WCE31 VSH31:VSI31 VIL31:VIM31 UYP31:UYQ31 UOT31:UOU31 UEX31:UEY31 TVB31:TVC31 TLF31:TLG31 TBJ31:TBK31 SRN31:SRO31 SHR31:SHS31 RXV31:RXW31 RNZ31:ROA31 RED31:REE31 QUH31:QUI31 QKL31:QKM31 QAP31:QAQ31 PQT31:PQU31 PGX31:PGY31 OXB31:OXC31 ONF31:ONG31 ODJ31:ODK31 NTN31:NTO31 NJR31:NJS31 MZV31:MZW31 MPZ31:MQA31 MGD31:MGE31 LWH31:LWI31 LML31:LMM31 LCP31:LCQ31 KST31:KSU31 KIX31:KIY31 JZB31:JZC31 JPF31:JPG31 JFJ31:JFK31 IVN31:IVO31 ILR31:ILS31 IBV31:IBW31 HRZ31:HSA31 HID31:HIE31 GYH31:GYI31 GOL31:GOM31 GEP31:GEQ31 FUT31:FUU31 FKX31:FKY31 FBB31:FBC31 ERF31:ERG31 EHJ31:EHK31 DXN31:DXO31 DNR31:DNS31 DDV31:DDW31 CTZ31:CUA31 CKD31:CKE31 CAH31:CAI31 BQL31:BQM31 BGP31:BGQ31 AWT31:AWU31 AMX31:AMY31 ADB31:ADC31 TF31:TG31 JJ31:JK31 N31:O31 WVZ983071:WWA983071 WMD983071:WME983071 WCH983071:WCI983071 VSL983071:VSM983071 VIP983071:VIQ983071 UYT983071:UYU983071 UOX983071:UOY983071 UFB983071:UFC983071 TVF983071:TVG983071 TLJ983071:TLK983071 TBN983071:TBO983071 SRR983071:SRS983071 SHV983071:SHW983071 RXZ983071:RYA983071 ROD983071:ROE983071 REH983071:REI983071 QUL983071:QUM983071 QKP983071:QKQ983071 QAT983071:QAU983071 PQX983071:PQY983071 PHB983071:PHC983071 OXF983071:OXG983071 ONJ983071:ONK983071 ODN983071:ODO983071 NTR983071:NTS983071 NJV983071:NJW983071 MZZ983071:NAA983071 MQD983071:MQE983071 MGH983071:MGI983071 LWL983071:LWM983071 LMP983071:LMQ983071 LCT983071:LCU983071 KSX983071:KSY983071 KJB983071:KJC983071 JZF983071:JZG983071 JPJ983071:JPK983071 JFN983071:JFO983071 IVR983071:IVS983071 ILV983071:ILW983071 IBZ983071:ICA983071 HSD983071:HSE983071 HIH983071:HII983071 GYL983071:GYM983071 GOP983071:GOQ983071 GET983071:GEU983071 FUX983071:FUY983071 FLB983071:FLC983071 FBF983071:FBG983071 ERJ983071:ERK983071 EHN983071:EHO983071 DXR983071:DXS983071 DNV983071:DNW983071 DDZ983071:DEA983071 CUD983071:CUE983071 CKH983071:CKI983071 CAL983071:CAM983071 BQP983071:BQQ983071 BGT983071:BGU983071 AWX983071:AWY983071 ANB983071:ANC983071 ADF983071:ADG983071 TJ983071:TK983071 JN983071:JO983071 R983071:S983071 WVZ917535:WWA917535 WMD917535:WME917535 WCH917535:WCI917535 VSL917535:VSM917535 VIP917535:VIQ917535 UYT917535:UYU917535 UOX917535:UOY917535 UFB917535:UFC917535 TVF917535:TVG917535 TLJ917535:TLK917535 TBN917535:TBO917535 SRR917535:SRS917535 SHV917535:SHW917535 RXZ917535:RYA917535 ROD917535:ROE917535 REH917535:REI917535 QUL917535:QUM917535 QKP917535:QKQ917535 QAT917535:QAU917535 PQX917535:PQY917535 PHB917535:PHC917535 OXF917535:OXG917535 ONJ917535:ONK917535 ODN917535:ODO917535 NTR917535:NTS917535 NJV917535:NJW917535 MZZ917535:NAA917535 MQD917535:MQE917535 MGH917535:MGI917535 LWL917535:LWM917535 LMP917535:LMQ917535 LCT917535:LCU917535 KSX917535:KSY917535 KJB917535:KJC917535 JZF917535:JZG917535 JPJ917535:JPK917535 JFN917535:JFO917535 IVR917535:IVS917535 ILV917535:ILW917535 IBZ917535:ICA917535 HSD917535:HSE917535 HIH917535:HII917535 GYL917535:GYM917535 GOP917535:GOQ917535 GET917535:GEU917535 FUX917535:FUY917535 FLB917535:FLC917535 FBF917535:FBG917535 ERJ917535:ERK917535 EHN917535:EHO917535 DXR917535:DXS917535 DNV917535:DNW917535 DDZ917535:DEA917535 CUD917535:CUE917535 CKH917535:CKI917535 CAL917535:CAM917535 BQP917535:BQQ917535 BGT917535:BGU917535 AWX917535:AWY917535 ANB917535:ANC917535 ADF917535:ADG917535 TJ917535:TK917535 JN917535:JO917535 R917535:S917535 WVZ851999:WWA851999 WMD851999:WME851999 WCH851999:WCI851999 VSL851999:VSM851999 VIP851999:VIQ851999 UYT851999:UYU851999 UOX851999:UOY851999 UFB851999:UFC851999 TVF851999:TVG851999 TLJ851999:TLK851999 TBN851999:TBO851999 SRR851999:SRS851999 SHV851999:SHW851999 RXZ851999:RYA851999 ROD851999:ROE851999 REH851999:REI851999 QUL851999:QUM851999 QKP851999:QKQ851999 QAT851999:QAU851999 PQX851999:PQY851999 PHB851999:PHC851999 OXF851999:OXG851999 ONJ851999:ONK851999 ODN851999:ODO851999 NTR851999:NTS851999 NJV851999:NJW851999 MZZ851999:NAA851999 MQD851999:MQE851999 MGH851999:MGI851999 LWL851999:LWM851999 LMP851999:LMQ851999 LCT851999:LCU851999 KSX851999:KSY851999 KJB851999:KJC851999 JZF851999:JZG851999 JPJ851999:JPK851999 JFN851999:JFO851999 IVR851999:IVS851999 ILV851999:ILW851999 IBZ851999:ICA851999 HSD851999:HSE851999 HIH851999:HII851999 GYL851999:GYM851999 GOP851999:GOQ851999 GET851999:GEU851999 FUX851999:FUY851999 FLB851999:FLC851999 FBF851999:FBG851999 ERJ851999:ERK851999 EHN851999:EHO851999 DXR851999:DXS851999 DNV851999:DNW851999 DDZ851999:DEA851999 CUD851999:CUE851999 CKH851999:CKI851999 CAL851999:CAM851999 BQP851999:BQQ851999 BGT851999:BGU851999 AWX851999:AWY851999 ANB851999:ANC851999 ADF851999:ADG851999 TJ851999:TK851999 JN851999:JO851999 R851999:S851999 WVZ786463:WWA786463 WMD786463:WME786463 WCH786463:WCI786463 VSL786463:VSM786463 VIP786463:VIQ786463 UYT786463:UYU786463 UOX786463:UOY786463 UFB786463:UFC786463 TVF786463:TVG786463 TLJ786463:TLK786463 TBN786463:TBO786463 SRR786463:SRS786463 SHV786463:SHW786463 RXZ786463:RYA786463 ROD786463:ROE786463 REH786463:REI786463 QUL786463:QUM786463 QKP786463:QKQ786463 QAT786463:QAU786463 PQX786463:PQY786463 PHB786463:PHC786463 OXF786463:OXG786463 ONJ786463:ONK786463 ODN786463:ODO786463 NTR786463:NTS786463 NJV786463:NJW786463 MZZ786463:NAA786463 MQD786463:MQE786463 MGH786463:MGI786463 LWL786463:LWM786463 LMP786463:LMQ786463 LCT786463:LCU786463 KSX786463:KSY786463 KJB786463:KJC786463 JZF786463:JZG786463 JPJ786463:JPK786463 JFN786463:JFO786463 IVR786463:IVS786463 ILV786463:ILW786463 IBZ786463:ICA786463 HSD786463:HSE786463 HIH786463:HII786463 GYL786463:GYM786463 GOP786463:GOQ786463 GET786463:GEU786463 FUX786463:FUY786463 FLB786463:FLC786463 FBF786463:FBG786463 ERJ786463:ERK786463 EHN786463:EHO786463 DXR786463:DXS786463 DNV786463:DNW786463 DDZ786463:DEA786463 CUD786463:CUE786463 CKH786463:CKI786463 CAL786463:CAM786463 BQP786463:BQQ786463 BGT786463:BGU786463 AWX786463:AWY786463 ANB786463:ANC786463 ADF786463:ADG786463 TJ786463:TK786463 JN786463:JO786463 R786463:S786463 WVZ720927:WWA720927 WMD720927:WME720927 WCH720927:WCI720927 VSL720927:VSM720927 VIP720927:VIQ720927 UYT720927:UYU720927 UOX720927:UOY720927 UFB720927:UFC720927 TVF720927:TVG720927 TLJ720927:TLK720927 TBN720927:TBO720927 SRR720927:SRS720927 SHV720927:SHW720927 RXZ720927:RYA720927 ROD720927:ROE720927 REH720927:REI720927 QUL720927:QUM720927 QKP720927:QKQ720927 QAT720927:QAU720927 PQX720927:PQY720927 PHB720927:PHC720927 OXF720927:OXG720927 ONJ720927:ONK720927 ODN720927:ODO720927 NTR720927:NTS720927 NJV720927:NJW720927 MZZ720927:NAA720927 MQD720927:MQE720927 MGH720927:MGI720927 LWL720927:LWM720927 LMP720927:LMQ720927 LCT720927:LCU720927 KSX720927:KSY720927 KJB720927:KJC720927 JZF720927:JZG720927 JPJ720927:JPK720927 JFN720927:JFO720927 IVR720927:IVS720927 ILV720927:ILW720927 IBZ720927:ICA720927 HSD720927:HSE720927 HIH720927:HII720927 GYL720927:GYM720927 GOP720927:GOQ720927 GET720927:GEU720927 FUX720927:FUY720927 FLB720927:FLC720927 FBF720927:FBG720927 ERJ720927:ERK720927 EHN720927:EHO720927 DXR720927:DXS720927 DNV720927:DNW720927 DDZ720927:DEA720927 CUD720927:CUE720927 CKH720927:CKI720927 CAL720927:CAM720927 BQP720927:BQQ720927 BGT720927:BGU720927 AWX720927:AWY720927 ANB720927:ANC720927 ADF720927:ADG720927 TJ720927:TK720927 JN720927:JO720927 R720927:S720927 WVZ655391:WWA655391 WMD655391:WME655391 WCH655391:WCI655391 VSL655391:VSM655391 VIP655391:VIQ655391 UYT655391:UYU655391 UOX655391:UOY655391 UFB655391:UFC655391 TVF655391:TVG655391 TLJ655391:TLK655391 TBN655391:TBO655391 SRR655391:SRS655391 SHV655391:SHW655391 RXZ655391:RYA655391 ROD655391:ROE655391 REH655391:REI655391 QUL655391:QUM655391 QKP655391:QKQ655391 QAT655391:QAU655391 PQX655391:PQY655391 PHB655391:PHC655391 OXF655391:OXG655391 ONJ655391:ONK655391 ODN655391:ODO655391 NTR655391:NTS655391 NJV655391:NJW655391 MZZ655391:NAA655391 MQD655391:MQE655391 MGH655391:MGI655391 LWL655391:LWM655391 LMP655391:LMQ655391 LCT655391:LCU655391 KSX655391:KSY655391 KJB655391:KJC655391 JZF655391:JZG655391 JPJ655391:JPK655391 JFN655391:JFO655391 IVR655391:IVS655391 ILV655391:ILW655391 IBZ655391:ICA655391 HSD655391:HSE655391 HIH655391:HII655391 GYL655391:GYM655391 GOP655391:GOQ655391 GET655391:GEU655391 FUX655391:FUY655391 FLB655391:FLC655391 FBF655391:FBG655391 ERJ655391:ERK655391 EHN655391:EHO655391 DXR655391:DXS655391 DNV655391:DNW655391 DDZ655391:DEA655391 CUD655391:CUE655391 CKH655391:CKI655391 CAL655391:CAM655391 BQP655391:BQQ655391 BGT655391:BGU655391 AWX655391:AWY655391 ANB655391:ANC655391 ADF655391:ADG655391 TJ655391:TK655391 JN655391:JO655391 R655391:S655391 WVZ589855:WWA589855 WMD589855:WME589855 WCH589855:WCI589855 VSL589855:VSM589855 VIP589855:VIQ589855 UYT589855:UYU589855 UOX589855:UOY589855 UFB589855:UFC589855 TVF589855:TVG589855 TLJ589855:TLK589855 TBN589855:TBO589855 SRR589855:SRS589855 SHV589855:SHW589855 RXZ589855:RYA589855 ROD589855:ROE589855 REH589855:REI589855 QUL589855:QUM589855 QKP589855:QKQ589855 QAT589855:QAU589855 PQX589855:PQY589855 PHB589855:PHC589855 OXF589855:OXG589855 ONJ589855:ONK589855 ODN589855:ODO589855 NTR589855:NTS589855 NJV589855:NJW589855 MZZ589855:NAA589855 MQD589855:MQE589855 MGH589855:MGI589855 LWL589855:LWM589855 LMP589855:LMQ589855 LCT589855:LCU589855 KSX589855:KSY589855 KJB589855:KJC589855 JZF589855:JZG589855 JPJ589855:JPK589855 JFN589855:JFO589855 IVR589855:IVS589855 ILV589855:ILW589855 IBZ589855:ICA589855 HSD589855:HSE589855 HIH589855:HII589855 GYL589855:GYM589855 GOP589855:GOQ589855 GET589855:GEU589855 FUX589855:FUY589855 FLB589855:FLC589855 FBF589855:FBG589855 ERJ589855:ERK589855 EHN589855:EHO589855 DXR589855:DXS589855 DNV589855:DNW589855 DDZ589855:DEA589855 CUD589855:CUE589855 CKH589855:CKI589855 CAL589855:CAM589855 BQP589855:BQQ589855 BGT589855:BGU589855 AWX589855:AWY589855 ANB589855:ANC589855 ADF589855:ADG589855 TJ589855:TK589855 JN589855:JO589855 R589855:S589855 WVZ524319:WWA524319 WMD524319:WME524319 WCH524319:WCI524319 VSL524319:VSM524319 VIP524319:VIQ524319 UYT524319:UYU524319 UOX524319:UOY524319 UFB524319:UFC524319 TVF524319:TVG524319 TLJ524319:TLK524319 TBN524319:TBO524319 SRR524319:SRS524319 SHV524319:SHW524319 RXZ524319:RYA524319 ROD524319:ROE524319 REH524319:REI524319 QUL524319:QUM524319 QKP524319:QKQ524319 QAT524319:QAU524319 PQX524319:PQY524319 PHB524319:PHC524319 OXF524319:OXG524319 ONJ524319:ONK524319 ODN524319:ODO524319 NTR524319:NTS524319 NJV524319:NJW524319 MZZ524319:NAA524319 MQD524319:MQE524319 MGH524319:MGI524319 LWL524319:LWM524319 LMP524319:LMQ524319 LCT524319:LCU524319 KSX524319:KSY524319 KJB524319:KJC524319 JZF524319:JZG524319 JPJ524319:JPK524319 JFN524319:JFO524319 IVR524319:IVS524319 ILV524319:ILW524319 IBZ524319:ICA524319 HSD524319:HSE524319 HIH524319:HII524319 GYL524319:GYM524319 GOP524319:GOQ524319 GET524319:GEU524319 FUX524319:FUY524319 FLB524319:FLC524319 FBF524319:FBG524319 ERJ524319:ERK524319 EHN524319:EHO524319 DXR524319:DXS524319 DNV524319:DNW524319 DDZ524319:DEA524319 CUD524319:CUE524319 CKH524319:CKI524319 CAL524319:CAM524319 BQP524319:BQQ524319 BGT524319:BGU524319 AWX524319:AWY524319 ANB524319:ANC524319 ADF524319:ADG524319 TJ524319:TK524319 JN524319:JO524319 R524319:S524319 WVZ458783:WWA458783 WMD458783:WME458783 WCH458783:WCI458783 VSL458783:VSM458783 VIP458783:VIQ458783 UYT458783:UYU458783 UOX458783:UOY458783 UFB458783:UFC458783 TVF458783:TVG458783 TLJ458783:TLK458783 TBN458783:TBO458783 SRR458783:SRS458783 SHV458783:SHW458783 RXZ458783:RYA458783 ROD458783:ROE458783 REH458783:REI458783 QUL458783:QUM458783 QKP458783:QKQ458783 QAT458783:QAU458783 PQX458783:PQY458783 PHB458783:PHC458783 OXF458783:OXG458783 ONJ458783:ONK458783 ODN458783:ODO458783 NTR458783:NTS458783 NJV458783:NJW458783 MZZ458783:NAA458783 MQD458783:MQE458783 MGH458783:MGI458783 LWL458783:LWM458783 LMP458783:LMQ458783 LCT458783:LCU458783 KSX458783:KSY458783 KJB458783:KJC458783 JZF458783:JZG458783 JPJ458783:JPK458783 JFN458783:JFO458783 IVR458783:IVS458783 ILV458783:ILW458783 IBZ458783:ICA458783 HSD458783:HSE458783 HIH458783:HII458783 GYL458783:GYM458783 GOP458783:GOQ458783 GET458783:GEU458783 FUX458783:FUY458783 FLB458783:FLC458783 FBF458783:FBG458783 ERJ458783:ERK458783 EHN458783:EHO458783 DXR458783:DXS458783 DNV458783:DNW458783 DDZ458783:DEA458783 CUD458783:CUE458783 CKH458783:CKI458783 CAL458783:CAM458783 BQP458783:BQQ458783 BGT458783:BGU458783 AWX458783:AWY458783 ANB458783:ANC458783 ADF458783:ADG458783 TJ458783:TK458783 JN458783:JO458783 R458783:S458783 WVZ393247:WWA393247 WMD393247:WME393247 WCH393247:WCI393247 VSL393247:VSM393247 VIP393247:VIQ393247 UYT393247:UYU393247 UOX393247:UOY393247 UFB393247:UFC393247 TVF393247:TVG393247 TLJ393247:TLK393247 TBN393247:TBO393247 SRR393247:SRS393247 SHV393247:SHW393247 RXZ393247:RYA393247 ROD393247:ROE393247 REH393247:REI393247 QUL393247:QUM393247 QKP393247:QKQ393247 QAT393247:QAU393247 PQX393247:PQY393247 PHB393247:PHC393247 OXF393247:OXG393247 ONJ393247:ONK393247 ODN393247:ODO393247 NTR393247:NTS393247 NJV393247:NJW393247 MZZ393247:NAA393247 MQD393247:MQE393247 MGH393247:MGI393247 LWL393247:LWM393247 LMP393247:LMQ393247 LCT393247:LCU393247 KSX393247:KSY393247 KJB393247:KJC393247 JZF393247:JZG393247 JPJ393247:JPK393247 JFN393247:JFO393247 IVR393247:IVS393247 ILV393247:ILW393247 IBZ393247:ICA393247 HSD393247:HSE393247 HIH393247:HII393247 GYL393247:GYM393247 GOP393247:GOQ393247 GET393247:GEU393247 FUX393247:FUY393247 FLB393247:FLC393247 FBF393247:FBG393247 ERJ393247:ERK393247 EHN393247:EHO393247 DXR393247:DXS393247 DNV393247:DNW393247 DDZ393247:DEA393247 CUD393247:CUE393247 CKH393247:CKI393247 CAL393247:CAM393247 BQP393247:BQQ393247 BGT393247:BGU393247 AWX393247:AWY393247 ANB393247:ANC393247 ADF393247:ADG393247 TJ393247:TK393247 JN393247:JO393247 R393247:S393247 WVZ327711:WWA327711 WMD327711:WME327711 WCH327711:WCI327711 VSL327711:VSM327711 VIP327711:VIQ327711 UYT327711:UYU327711 UOX327711:UOY327711 UFB327711:UFC327711 TVF327711:TVG327711 TLJ327711:TLK327711 TBN327711:TBO327711 SRR327711:SRS327711 SHV327711:SHW327711 RXZ327711:RYA327711 ROD327711:ROE327711 REH327711:REI327711 QUL327711:QUM327711 QKP327711:QKQ327711 QAT327711:QAU327711 PQX327711:PQY327711 PHB327711:PHC327711 OXF327711:OXG327711 ONJ327711:ONK327711 ODN327711:ODO327711 NTR327711:NTS327711 NJV327711:NJW327711 MZZ327711:NAA327711 MQD327711:MQE327711 MGH327711:MGI327711 LWL327711:LWM327711 LMP327711:LMQ327711 LCT327711:LCU327711 KSX327711:KSY327711 KJB327711:KJC327711 JZF327711:JZG327711 JPJ327711:JPK327711 JFN327711:JFO327711 IVR327711:IVS327711 ILV327711:ILW327711 IBZ327711:ICA327711 HSD327711:HSE327711 HIH327711:HII327711 GYL327711:GYM327711 GOP327711:GOQ327711 GET327711:GEU327711 FUX327711:FUY327711 FLB327711:FLC327711 FBF327711:FBG327711 ERJ327711:ERK327711 EHN327711:EHO327711 DXR327711:DXS327711 DNV327711:DNW327711 DDZ327711:DEA327711 CUD327711:CUE327711 CKH327711:CKI327711 CAL327711:CAM327711 BQP327711:BQQ327711 BGT327711:BGU327711 AWX327711:AWY327711 ANB327711:ANC327711 ADF327711:ADG327711 TJ327711:TK327711 JN327711:JO327711 R327711:S327711 WVZ262175:WWA262175 WMD262175:WME262175 WCH262175:WCI262175 VSL262175:VSM262175 VIP262175:VIQ262175 UYT262175:UYU262175 UOX262175:UOY262175 UFB262175:UFC262175 TVF262175:TVG262175 TLJ262175:TLK262175 TBN262175:TBO262175 SRR262175:SRS262175 SHV262175:SHW262175 RXZ262175:RYA262175 ROD262175:ROE262175 REH262175:REI262175 QUL262175:QUM262175 QKP262175:QKQ262175 QAT262175:QAU262175 PQX262175:PQY262175 PHB262175:PHC262175 OXF262175:OXG262175 ONJ262175:ONK262175 ODN262175:ODO262175 NTR262175:NTS262175 NJV262175:NJW262175 MZZ262175:NAA262175 MQD262175:MQE262175 MGH262175:MGI262175 LWL262175:LWM262175 LMP262175:LMQ262175 LCT262175:LCU262175 KSX262175:KSY262175 KJB262175:KJC262175 JZF262175:JZG262175 JPJ262175:JPK262175 JFN262175:JFO262175 IVR262175:IVS262175 ILV262175:ILW262175 IBZ262175:ICA262175 HSD262175:HSE262175 HIH262175:HII262175 GYL262175:GYM262175 GOP262175:GOQ262175 GET262175:GEU262175 FUX262175:FUY262175 FLB262175:FLC262175 FBF262175:FBG262175 ERJ262175:ERK262175 EHN262175:EHO262175 DXR262175:DXS262175 DNV262175:DNW262175 DDZ262175:DEA262175 CUD262175:CUE262175 CKH262175:CKI262175 CAL262175:CAM262175 BQP262175:BQQ262175 BGT262175:BGU262175 AWX262175:AWY262175 ANB262175:ANC262175 ADF262175:ADG262175 TJ262175:TK262175 JN262175:JO262175 R262175:S262175 WVZ196639:WWA196639 WMD196639:WME196639 WCH196639:WCI196639 VSL196639:VSM196639 VIP196639:VIQ196639 UYT196639:UYU196639 UOX196639:UOY196639 UFB196639:UFC196639 TVF196639:TVG196639 TLJ196639:TLK196639 TBN196639:TBO196639 SRR196639:SRS196639 SHV196639:SHW196639 RXZ196639:RYA196639 ROD196639:ROE196639 REH196639:REI196639 QUL196639:QUM196639 QKP196639:QKQ196639 QAT196639:QAU196639 PQX196639:PQY196639 PHB196639:PHC196639 OXF196639:OXG196639 ONJ196639:ONK196639 ODN196639:ODO196639 NTR196639:NTS196639 NJV196639:NJW196639 MZZ196639:NAA196639 MQD196639:MQE196639 MGH196639:MGI196639 LWL196639:LWM196639 LMP196639:LMQ196639 LCT196639:LCU196639 KSX196639:KSY196639 KJB196639:KJC196639 JZF196639:JZG196639 JPJ196639:JPK196639 JFN196639:JFO196639 IVR196639:IVS196639 ILV196639:ILW196639 IBZ196639:ICA196639 HSD196639:HSE196639 HIH196639:HII196639 GYL196639:GYM196639 GOP196639:GOQ196639 GET196639:GEU196639 FUX196639:FUY196639 FLB196639:FLC196639 FBF196639:FBG196639 ERJ196639:ERK196639 EHN196639:EHO196639 DXR196639:DXS196639 DNV196639:DNW196639 DDZ196639:DEA196639 CUD196639:CUE196639 CKH196639:CKI196639 CAL196639:CAM196639 BQP196639:BQQ196639 BGT196639:BGU196639 AWX196639:AWY196639 ANB196639:ANC196639 ADF196639:ADG196639 TJ196639:TK196639 JN196639:JO196639 R196639:S196639 WVZ131103:WWA131103 WMD131103:WME131103 WCH131103:WCI131103 VSL131103:VSM131103 VIP131103:VIQ131103 UYT131103:UYU131103 UOX131103:UOY131103 UFB131103:UFC131103 TVF131103:TVG131103 TLJ131103:TLK131103 TBN131103:TBO131103 SRR131103:SRS131103 SHV131103:SHW131103 RXZ131103:RYA131103 ROD131103:ROE131103 REH131103:REI131103 QUL131103:QUM131103 QKP131103:QKQ131103 QAT131103:QAU131103 PQX131103:PQY131103 PHB131103:PHC131103 OXF131103:OXG131103 ONJ131103:ONK131103 ODN131103:ODO131103 NTR131103:NTS131103 NJV131103:NJW131103 MZZ131103:NAA131103 MQD131103:MQE131103 MGH131103:MGI131103 LWL131103:LWM131103 LMP131103:LMQ131103 LCT131103:LCU131103 KSX131103:KSY131103 KJB131103:KJC131103 JZF131103:JZG131103 JPJ131103:JPK131103 JFN131103:JFO131103 IVR131103:IVS131103 ILV131103:ILW131103 IBZ131103:ICA131103 HSD131103:HSE131103 HIH131103:HII131103 GYL131103:GYM131103 GOP131103:GOQ131103 GET131103:GEU131103 FUX131103:FUY131103 FLB131103:FLC131103 FBF131103:FBG131103 ERJ131103:ERK131103 EHN131103:EHO131103 DXR131103:DXS131103 DNV131103:DNW131103 DDZ131103:DEA131103 CUD131103:CUE131103 CKH131103:CKI131103 CAL131103:CAM131103 BQP131103:BQQ131103 BGT131103:BGU131103 AWX131103:AWY131103 ANB131103:ANC131103 ADF131103:ADG131103 TJ131103:TK131103 JN131103:JO131103 R131103:S131103 WVZ65567:WWA65567 WMD65567:WME65567 WCH65567:WCI65567 VSL65567:VSM65567 VIP65567:VIQ65567 UYT65567:UYU65567 UOX65567:UOY65567 UFB65567:UFC65567 TVF65567:TVG65567 TLJ65567:TLK65567 TBN65567:TBO65567 SRR65567:SRS65567 SHV65567:SHW65567 RXZ65567:RYA65567 ROD65567:ROE65567 REH65567:REI65567 QUL65567:QUM65567 QKP65567:QKQ65567 QAT65567:QAU65567 PQX65567:PQY65567 PHB65567:PHC65567 OXF65567:OXG65567 ONJ65567:ONK65567 ODN65567:ODO65567 NTR65567:NTS65567 NJV65567:NJW65567 MZZ65567:NAA65567 MQD65567:MQE65567 MGH65567:MGI65567 LWL65567:LWM65567 LMP65567:LMQ65567 LCT65567:LCU65567 KSX65567:KSY65567 KJB65567:KJC65567 JZF65567:JZG65567 JPJ65567:JPK65567 JFN65567:JFO65567 IVR65567:IVS65567 ILV65567:ILW65567 IBZ65567:ICA65567 HSD65567:HSE65567 HIH65567:HII65567 GYL65567:GYM65567 GOP65567:GOQ65567 GET65567:GEU65567 FUX65567:FUY65567 FLB65567:FLC65567 FBF65567:FBG65567 ERJ65567:ERK65567 EHN65567:EHO65567 DXR65567:DXS65567 DNV65567:DNW65567 DDZ65567:DEA65567 CUD65567:CUE65567 CKH65567:CKI65567 CAL65567:CAM65567 BQP65567:BQQ65567 BGT65567:BGU65567 AWX65567:AWY65567 ANB65567:ANC65567 ADF65567:ADG65567 TJ65567:TK65567 JN65567:JO65567 R65567:S65567 WVZ31:WWA31 WMD31:WME31 WCH31:WCI31 VSL31:VSM31 VIP31:VIQ31 UYT31:UYU31 UOX31:UOY31 UFB31:UFC31 TVF31:TVG31 TLJ31:TLK31 TBN31:TBO31 SRR31:SRS31 SHV31:SHW31 RXZ31:RYA31 ROD31:ROE31 REH31:REI31 QUL31:QUM31 QKP31:QKQ31 QAT31:QAU31 PQX31:PQY31 PHB31:PHC31 OXF31:OXG31 ONJ31:ONK31 ODN31:ODO31 NTR31:NTS31 NJV31:NJW31 MZZ31:NAA31 MQD31:MQE31 MGH31:MGI31 LWL31:LWM31 LMP31:LMQ31 LCT31:LCU31 KSX31:KSY31 KJB31:KJC31 JZF31:JZG31 JPJ31:JPK31 JFN31:JFO31 IVR31:IVS31 ILV31:ILW31 IBZ31:ICA31 HSD31:HSE31 HIH31:HII31 GYL31:GYM31 GOP31:GOQ31 GET31:GEU31 FUX31:FUY31 FLB31:FLC31 FBF31:FBG31 ERJ31:ERK31 EHN31:EHO31 DXR31:DXS31 DNV31:DNW31 DDZ31:DEA31 CUD31:CUE31 CKH31:CKI31 CAL31:CAM31 BQP31:BQQ31 BGT31:BGU31 AWX31:AWY31 ANB31:ANC31 ADF31:ADG31 TJ31:TK31</xm:sqref>
        </x14:dataValidation>
        <x14:dataValidation type="list" allowBlank="1" showInputMessage="1" showErrorMessage="1" xr:uid="{10F677F6-3D30-4152-A490-91789134AB53}">
          <x14:formula1>
            <xm:f>項目!$C$1:$C$17</xm:f>
          </x14:formula1>
          <xm:sqref>G5:G30 F5:F12 G33:G34 K5:K30 J5:J12 O5:O30 N5:N12 S5:S30 R5:R12 W5:W30 V5:V12</xm:sqref>
        </x14:dataValidation>
        <x14:dataValidation type="list" allowBlank="1" showInputMessage="1" showErrorMessage="1" xr:uid="{8E7711A8-69ED-4272-A0AC-FEDB4FF6EB77}">
          <x14:formula1>
            <xm:f>項目!$A$1:$A$4</xm:f>
          </x14:formula1>
          <xm:sqref>F13:F30 F33:F34 J13:J30 N13:N30 R13:R30 V13:V30</xm:sqref>
        </x14:dataValidation>
        <x14:dataValidation type="list" allowBlank="1" showInputMessage="1" showErrorMessage="1" xr:uid="{765B867E-7B0E-42A5-80FC-5C50ACBDBA58}">
          <x14:formula1>
            <xm:f>項目!C$17:$C65537</xm:f>
          </x14:formula1>
          <xm:sqref>G131079:G131102 G196615:G196638 G262151:G262174 G327687:G327710 G393223:G393246 G458759:G458782 G524295:G524318 G589831:G589854 G655367:G655390 G720903:G720926 G786439:G786462 G851975:G851998 G917511:G917534 G983047:G983070 G65543:G65566</xm:sqref>
        </x14:dataValidation>
        <x14:dataValidation type="list" allowBlank="1" showInputMessage="1" showErrorMessage="1" xr:uid="{0CA57123-1A0B-496D-A4FF-337363D2BBDC}">
          <x14:formula1>
            <xm:f>項目!C17:$IU$65537</xm:f>
          </x14:formula1>
          <xm:sqref>JC65543:JC65566</xm:sqref>
        </x14:dataValidation>
        <x14:dataValidation type="list" allowBlank="1" showInputMessage="1" showErrorMessage="1" xr:uid="{74C56D4B-8C81-46A7-AFCB-981446C59150}">
          <x14:formula1>
            <xm:f>項目!C17:$SQ$65537</xm:f>
          </x14:formula1>
          <xm:sqref>SY65543:SY65566</xm:sqref>
        </x14:dataValidation>
        <x14:dataValidation type="list" allowBlank="1" showInputMessage="1" showErrorMessage="1" xr:uid="{65BFF7A8-0E74-4611-ACA7-F742B0BA392F}">
          <x14:formula1>
            <xm:f>項目!C17:$ACM$65537</xm:f>
          </x14:formula1>
          <xm:sqref>ACU65543:ACU65566</xm:sqref>
        </x14:dataValidation>
        <x14:dataValidation type="list" allowBlank="1" showInputMessage="1" showErrorMessage="1" xr:uid="{E61F5E1A-A78C-4B59-8BAC-3A7C9A8BDD7B}">
          <x14:formula1>
            <xm:f>項目!C17:$AMI$65537</xm:f>
          </x14:formula1>
          <xm:sqref>AMQ65543:AMQ65566</xm:sqref>
        </x14:dataValidation>
        <x14:dataValidation type="list" allowBlank="1" showInputMessage="1" showErrorMessage="1" xr:uid="{395AF398-0493-45B5-B433-86527A4681F3}">
          <x14:formula1>
            <xm:f>項目!C17:$AWE$65537</xm:f>
          </x14:formula1>
          <xm:sqref>AWM65543:AWM65566</xm:sqref>
        </x14:dataValidation>
        <x14:dataValidation type="list" allowBlank="1" showInputMessage="1" showErrorMessage="1" xr:uid="{D9AEA7BB-9D66-4CEF-B7ED-8462CA77F4C8}">
          <x14:formula1>
            <xm:f>項目!C17:$BGA$65537</xm:f>
          </x14:formula1>
          <xm:sqref>BGI65543:BGI65566</xm:sqref>
        </x14:dataValidation>
        <x14:dataValidation type="list" allowBlank="1" showInputMessage="1" showErrorMessage="1" xr:uid="{C511008A-9E6B-44DF-968F-C75E1338CE95}">
          <x14:formula1>
            <xm:f>項目!C17:$BPW$65537</xm:f>
          </x14:formula1>
          <xm:sqref>BQE65543:BQE65566</xm:sqref>
        </x14:dataValidation>
        <x14:dataValidation type="list" allowBlank="1" showInputMessage="1" showErrorMessage="1" xr:uid="{D085038F-8FFC-4D59-AFD8-21D8F1F5EA5D}">
          <x14:formula1>
            <xm:f>項目!C17:$BZS$65537</xm:f>
          </x14:formula1>
          <xm:sqref>CAA65543:CAA65566</xm:sqref>
        </x14:dataValidation>
        <x14:dataValidation type="list" allowBlank="1" showInputMessage="1" showErrorMessage="1" xr:uid="{9BE362AE-9816-46CD-BEDB-220226EDC58C}">
          <x14:formula1>
            <xm:f>項目!C17:$CJO$65537</xm:f>
          </x14:formula1>
          <xm:sqref>CJW65543:CJW65566</xm:sqref>
        </x14:dataValidation>
        <x14:dataValidation type="list" allowBlank="1" showInputMessage="1" showErrorMessage="1" xr:uid="{905BA67A-3907-40C0-A8B6-806AEBBFC71C}">
          <x14:formula1>
            <xm:f>項目!C17:$CTK$65537</xm:f>
          </x14:formula1>
          <xm:sqref>CTS65543:CTS65566</xm:sqref>
        </x14:dataValidation>
        <x14:dataValidation type="list" allowBlank="1" showInputMessage="1" showErrorMessage="1" xr:uid="{F8D06D7D-0748-4592-B7F0-68F2B98B7935}">
          <x14:formula1>
            <xm:f>項目!C17:$DDG$65537</xm:f>
          </x14:formula1>
          <xm:sqref>DDO65543:DDO65566</xm:sqref>
        </x14:dataValidation>
        <x14:dataValidation type="list" allowBlank="1" showInputMessage="1" showErrorMessage="1" xr:uid="{04659A99-E2CE-4B04-AF61-87E1D9CA60DD}">
          <x14:formula1>
            <xm:f>項目!C17:$DNC$65537</xm:f>
          </x14:formula1>
          <xm:sqref>DNK65543:DNK65566</xm:sqref>
        </x14:dataValidation>
        <x14:dataValidation type="list" allowBlank="1" showInputMessage="1" showErrorMessage="1" xr:uid="{72C23372-27F3-4FA6-B9E3-57A70A00BA70}">
          <x14:formula1>
            <xm:f>項目!C17:$DWY$65537</xm:f>
          </x14:formula1>
          <xm:sqref>DXG65543:DXG65566</xm:sqref>
        </x14:dataValidation>
        <x14:dataValidation type="list" allowBlank="1" showInputMessage="1" showErrorMessage="1" xr:uid="{5E779419-862F-4892-B7D2-C8910B9B772A}">
          <x14:formula1>
            <xm:f>項目!C17:$EGU$65537</xm:f>
          </x14:formula1>
          <xm:sqref>EHC65543:EHC65566</xm:sqref>
        </x14:dataValidation>
        <x14:dataValidation type="list" allowBlank="1" showInputMessage="1" showErrorMessage="1" xr:uid="{F620F51B-9EE3-48A4-9136-CF8F951A9CE3}">
          <x14:formula1>
            <xm:f>項目!C17:$EQQ$65537</xm:f>
          </x14:formula1>
          <xm:sqref>EQY65543:EQY65566</xm:sqref>
        </x14:dataValidation>
        <x14:dataValidation type="list" allowBlank="1" showInputMessage="1" showErrorMessage="1" xr:uid="{D6F40C9E-A5A2-460B-A376-38A69156624A}">
          <x14:formula1>
            <xm:f>項目!C17:$FAM$65537</xm:f>
          </x14:formula1>
          <xm:sqref>FAU65543:FAU65566</xm:sqref>
        </x14:dataValidation>
        <x14:dataValidation type="list" allowBlank="1" showInputMessage="1" showErrorMessage="1" xr:uid="{B2ED3B13-5902-4BEC-99A3-EEF50EC47135}">
          <x14:formula1>
            <xm:f>項目!C17:$FKI$65537</xm:f>
          </x14:formula1>
          <xm:sqref>FKQ65543:FKQ65566</xm:sqref>
        </x14:dataValidation>
        <x14:dataValidation type="list" allowBlank="1" showInputMessage="1" showErrorMessage="1" xr:uid="{D7DD6276-BBF2-43E1-A6DE-3EC2C63763F5}">
          <x14:formula1>
            <xm:f>項目!C17:$FUE$65537</xm:f>
          </x14:formula1>
          <xm:sqref>FUM65543:FUM65566</xm:sqref>
        </x14:dataValidation>
        <x14:dataValidation type="list" allowBlank="1" showInputMessage="1" showErrorMessage="1" xr:uid="{6477D0B5-4EAE-458A-B77D-C1E57ED40834}">
          <x14:formula1>
            <xm:f>項目!C17:$GEA$65537</xm:f>
          </x14:formula1>
          <xm:sqref>GEI65543:GEI65566</xm:sqref>
        </x14:dataValidation>
        <x14:dataValidation type="list" allowBlank="1" showInputMessage="1" showErrorMessage="1" xr:uid="{DE76B222-60F9-405D-8790-F33AE9FAC8CC}">
          <x14:formula1>
            <xm:f>項目!C17:$GNW$65537</xm:f>
          </x14:formula1>
          <xm:sqref>GOE65543:GOE65566</xm:sqref>
        </x14:dataValidation>
        <x14:dataValidation type="list" allowBlank="1" showInputMessage="1" showErrorMessage="1" xr:uid="{5D79904A-48C6-41F7-805C-3041DFF9573B}">
          <x14:formula1>
            <xm:f>項目!C17:$GXS$65537</xm:f>
          </x14:formula1>
          <xm:sqref>GYA65543:GYA65566</xm:sqref>
        </x14:dataValidation>
        <x14:dataValidation type="list" allowBlank="1" showInputMessage="1" showErrorMessage="1" xr:uid="{FB734A5F-23CF-4442-93ED-43D3B82F7304}">
          <x14:formula1>
            <xm:f>項目!C17:$HHO$65537</xm:f>
          </x14:formula1>
          <xm:sqref>HHW65543:HHW65566</xm:sqref>
        </x14:dataValidation>
        <x14:dataValidation type="list" allowBlank="1" showInputMessage="1" showErrorMessage="1" xr:uid="{B0F54578-9C06-4B0F-AF17-D2855B96AFFC}">
          <x14:formula1>
            <xm:f>項目!C17:$HRK$65537</xm:f>
          </x14:formula1>
          <xm:sqref>HRS65543:HRS65566</xm:sqref>
        </x14:dataValidation>
        <x14:dataValidation type="list" allowBlank="1" showInputMessage="1" showErrorMessage="1" xr:uid="{2A647634-8829-4284-9E16-8F956EEA43AF}">
          <x14:formula1>
            <xm:f>項目!C17:$IBG$65537</xm:f>
          </x14:formula1>
          <xm:sqref>IBO65543:IBO65566</xm:sqref>
        </x14:dataValidation>
        <x14:dataValidation type="list" allowBlank="1" showInputMessage="1" showErrorMessage="1" xr:uid="{8C73B854-7945-4364-8D52-935850AFFD54}">
          <x14:formula1>
            <xm:f>項目!C17:$ILC$65537</xm:f>
          </x14:formula1>
          <xm:sqref>ILK65543:ILK65566</xm:sqref>
        </x14:dataValidation>
        <x14:dataValidation type="list" allowBlank="1" showInputMessage="1" showErrorMessage="1" xr:uid="{C8770824-BB4B-4013-92F6-CC1969E06026}">
          <x14:formula1>
            <xm:f>項目!C17:$IUY$65537</xm:f>
          </x14:formula1>
          <xm:sqref>IVG65543:IVG65566</xm:sqref>
        </x14:dataValidation>
        <x14:dataValidation type="list" allowBlank="1" showInputMessage="1" showErrorMessage="1" xr:uid="{10CEEC22-7D85-49EE-8C95-9FE34406B24E}">
          <x14:formula1>
            <xm:f>項目!C17:$JEU$65537</xm:f>
          </x14:formula1>
          <xm:sqref>JFC65543:JFC65566</xm:sqref>
        </x14:dataValidation>
        <x14:dataValidation type="list" allowBlank="1" showInputMessage="1" showErrorMessage="1" xr:uid="{DB0749B4-117D-40D7-B594-392EE9A0A40A}">
          <x14:formula1>
            <xm:f>項目!C17:$JOQ$65537</xm:f>
          </x14:formula1>
          <xm:sqref>JOY65543:JOY65566</xm:sqref>
        </x14:dataValidation>
        <x14:dataValidation type="list" allowBlank="1" showInputMessage="1" showErrorMessage="1" xr:uid="{8916FC9F-CEA1-4823-BF3F-837AF6EDA3A8}">
          <x14:formula1>
            <xm:f>項目!C17:$JYM$65537</xm:f>
          </x14:formula1>
          <xm:sqref>JYU65543:JYU65566</xm:sqref>
        </x14:dataValidation>
        <x14:dataValidation type="list" allowBlank="1" showInputMessage="1" showErrorMessage="1" xr:uid="{33A6B941-538E-4BF3-860C-07F1F0F3727C}">
          <x14:formula1>
            <xm:f>項目!C17:$KII$65537</xm:f>
          </x14:formula1>
          <xm:sqref>KIQ65543:KIQ65566</xm:sqref>
        </x14:dataValidation>
        <x14:dataValidation type="list" allowBlank="1" showInputMessage="1" showErrorMessage="1" xr:uid="{05ED33E2-C411-4558-80C3-4808305AB255}">
          <x14:formula1>
            <xm:f>項目!C17:$KSE$65537</xm:f>
          </x14:formula1>
          <xm:sqref>KSM65543:KSM65566</xm:sqref>
        </x14:dataValidation>
        <x14:dataValidation type="list" allowBlank="1" showInputMessage="1" showErrorMessage="1" xr:uid="{7712B001-1411-4973-A232-69152F1D0A68}">
          <x14:formula1>
            <xm:f>項目!C17:$LCA$65537</xm:f>
          </x14:formula1>
          <xm:sqref>LCI65543:LCI65566</xm:sqref>
        </x14:dataValidation>
        <x14:dataValidation type="list" allowBlank="1" showInputMessage="1" showErrorMessage="1" xr:uid="{4650F44E-DB75-4230-AB07-44B37AC7ACD0}">
          <x14:formula1>
            <xm:f>項目!C17:$LLW$65537</xm:f>
          </x14:formula1>
          <xm:sqref>LME65543:LME65566</xm:sqref>
        </x14:dataValidation>
        <x14:dataValidation type="list" allowBlank="1" showInputMessage="1" showErrorMessage="1" xr:uid="{E2E801F5-3B2C-491A-8129-8D62D04E12CF}">
          <x14:formula1>
            <xm:f>項目!C17:$LVS$65537</xm:f>
          </x14:formula1>
          <xm:sqref>LWA65543:LWA65566</xm:sqref>
        </x14:dataValidation>
        <x14:dataValidation type="list" allowBlank="1" showInputMessage="1" showErrorMessage="1" xr:uid="{0EC23980-DDA3-4E1D-B3EC-BE27F931A004}">
          <x14:formula1>
            <xm:f>項目!C17:$MFO$65537</xm:f>
          </x14:formula1>
          <xm:sqref>MFW65543:MFW65566</xm:sqref>
        </x14:dataValidation>
        <x14:dataValidation type="list" allowBlank="1" showInputMessage="1" showErrorMessage="1" xr:uid="{3CCFAD84-BD78-4979-BC2E-D9F701FF5FCB}">
          <x14:formula1>
            <xm:f>項目!C17:$MPK$65537</xm:f>
          </x14:formula1>
          <xm:sqref>MPS65543:MPS65566</xm:sqref>
        </x14:dataValidation>
        <x14:dataValidation type="list" allowBlank="1" showInputMessage="1" showErrorMessage="1" xr:uid="{8FC5474F-4AC0-42A9-A2DB-99479B0BC0DC}">
          <x14:formula1>
            <xm:f>項目!C17:$MZG$65537</xm:f>
          </x14:formula1>
          <xm:sqref>MZO65543:MZO65566</xm:sqref>
        </x14:dataValidation>
        <x14:dataValidation type="list" allowBlank="1" showInputMessage="1" showErrorMessage="1" xr:uid="{CCA9E8DD-7600-4212-9485-CD1415723053}">
          <x14:formula1>
            <xm:f>項目!C17:$NJC$65537</xm:f>
          </x14:formula1>
          <xm:sqref>NJK65543:NJK65566</xm:sqref>
        </x14:dataValidation>
        <x14:dataValidation type="list" allowBlank="1" showInputMessage="1" showErrorMessage="1" xr:uid="{389853B4-FF85-42B5-9376-E693DCDE10B6}">
          <x14:formula1>
            <xm:f>項目!C17:$NSY$65537</xm:f>
          </x14:formula1>
          <xm:sqref>NTG65543:NTG65566</xm:sqref>
        </x14:dataValidation>
        <x14:dataValidation type="list" allowBlank="1" showInputMessage="1" showErrorMessage="1" xr:uid="{671F3056-4F9D-4F11-B32D-44C1FE870032}">
          <x14:formula1>
            <xm:f>項目!C17:$OCU$65537</xm:f>
          </x14:formula1>
          <xm:sqref>ODC65543:ODC65566</xm:sqref>
        </x14:dataValidation>
        <x14:dataValidation type="list" allowBlank="1" showInputMessage="1" showErrorMessage="1" xr:uid="{0A4D2EDB-8786-45AB-A894-545E9B858942}">
          <x14:formula1>
            <xm:f>項目!C17:$OMQ$65537</xm:f>
          </x14:formula1>
          <xm:sqref>OMY65543:OMY65566</xm:sqref>
        </x14:dataValidation>
        <x14:dataValidation type="list" allowBlank="1" showInputMessage="1" showErrorMessage="1" xr:uid="{6DED21CC-0C05-450D-B5EB-031E1FFF9E55}">
          <x14:formula1>
            <xm:f>項目!C17:$OWM$65537</xm:f>
          </x14:formula1>
          <xm:sqref>OWU65543:OWU65566</xm:sqref>
        </x14:dataValidation>
        <x14:dataValidation type="list" allowBlank="1" showInputMessage="1" showErrorMessage="1" xr:uid="{2D88FB86-1838-4A3A-991A-2F5198F04965}">
          <x14:formula1>
            <xm:f>項目!C17:$PGI$65537</xm:f>
          </x14:formula1>
          <xm:sqref>PGQ65543:PGQ65566</xm:sqref>
        </x14:dataValidation>
        <x14:dataValidation type="list" allowBlank="1" showInputMessage="1" showErrorMessage="1" xr:uid="{0B9C0253-8A12-48BD-B743-00812532306B}">
          <x14:formula1>
            <xm:f>項目!C17:$PQE$65537</xm:f>
          </x14:formula1>
          <xm:sqref>PQM65543:PQM65566</xm:sqref>
        </x14:dataValidation>
        <x14:dataValidation type="list" allowBlank="1" showInputMessage="1" showErrorMessage="1" xr:uid="{AE7DF7C8-71D1-4411-97B2-2BD89F935880}">
          <x14:formula1>
            <xm:f>項目!C17:$QAA$65537</xm:f>
          </x14:formula1>
          <xm:sqref>QAI65543:QAI65566</xm:sqref>
        </x14:dataValidation>
        <x14:dataValidation type="list" allowBlank="1" showInputMessage="1" showErrorMessage="1" xr:uid="{847A3240-4A43-441E-BBA1-73DA17245F19}">
          <x14:formula1>
            <xm:f>項目!C17:$QJW$65537</xm:f>
          </x14:formula1>
          <xm:sqref>QKE65543:QKE65566</xm:sqref>
        </x14:dataValidation>
        <x14:dataValidation type="list" allowBlank="1" showInputMessage="1" showErrorMessage="1" xr:uid="{3D80DF9A-A4F7-4838-8CEC-FE95CA72CAE4}">
          <x14:formula1>
            <xm:f>項目!C17:$QTS$65537</xm:f>
          </x14:formula1>
          <xm:sqref>QUA65543:QUA65566</xm:sqref>
        </x14:dataValidation>
        <x14:dataValidation type="list" allowBlank="1" showInputMessage="1" showErrorMessage="1" xr:uid="{F038DB92-255B-4795-90FD-E9A8FB80C0B5}">
          <x14:formula1>
            <xm:f>項目!C17:$RDO$65537</xm:f>
          </x14:formula1>
          <xm:sqref>RDW65543:RDW65566</xm:sqref>
        </x14:dataValidation>
        <x14:dataValidation type="list" allowBlank="1" showInputMessage="1" showErrorMessage="1" xr:uid="{C5D4C165-B1C2-45D0-A375-CEC660EE882F}">
          <x14:formula1>
            <xm:f>項目!C17:$RNK$65537</xm:f>
          </x14:formula1>
          <xm:sqref>RNS65543:RNS65566</xm:sqref>
        </x14:dataValidation>
        <x14:dataValidation type="list" allowBlank="1" showInputMessage="1" showErrorMessage="1" xr:uid="{50549946-0AEA-4664-88F8-37506937D6B8}">
          <x14:formula1>
            <xm:f>項目!C17:$RXG$65537</xm:f>
          </x14:formula1>
          <xm:sqref>RXO65543:RXO65566</xm:sqref>
        </x14:dataValidation>
        <x14:dataValidation type="list" allowBlank="1" showInputMessage="1" showErrorMessage="1" xr:uid="{8FD9525B-8707-4553-9BAC-6671C00557AD}">
          <x14:formula1>
            <xm:f>項目!C17:$SHC$65537</xm:f>
          </x14:formula1>
          <xm:sqref>SHK65543:SHK65566</xm:sqref>
        </x14:dataValidation>
        <x14:dataValidation type="list" allowBlank="1" showInputMessage="1" showErrorMessage="1" xr:uid="{DEDDFAE5-6432-4DA0-8D69-6C4590D163EC}">
          <x14:formula1>
            <xm:f>項目!C17:$SQY$65537</xm:f>
          </x14:formula1>
          <xm:sqref>SRG65543:SRG65566</xm:sqref>
        </x14:dataValidation>
        <x14:dataValidation type="list" allowBlank="1" showInputMessage="1" showErrorMessage="1" xr:uid="{D4C2FEE6-CBAE-49B9-8E53-11410B3AEC81}">
          <x14:formula1>
            <xm:f>項目!C17:$TAU$65537</xm:f>
          </x14:formula1>
          <xm:sqref>TBC65543:TBC65566</xm:sqref>
        </x14:dataValidation>
        <x14:dataValidation type="list" allowBlank="1" showInputMessage="1" showErrorMessage="1" xr:uid="{A96E8EEA-7151-430C-89AD-A03E2D7FC0F6}">
          <x14:formula1>
            <xm:f>項目!C17:$TKQ$65537</xm:f>
          </x14:formula1>
          <xm:sqref>TKY65543:TKY65566</xm:sqref>
        </x14:dataValidation>
        <x14:dataValidation type="list" allowBlank="1" showInputMessage="1" showErrorMessage="1" xr:uid="{237E66B9-E963-4475-9203-3177BAAF6ABF}">
          <x14:formula1>
            <xm:f>項目!C17:$TUM$65537</xm:f>
          </x14:formula1>
          <xm:sqref>TUU65543:TUU65566</xm:sqref>
        </x14:dataValidation>
        <x14:dataValidation type="list" allowBlank="1" showInputMessage="1" showErrorMessage="1" xr:uid="{565CEEEA-E083-4AD2-AD15-8C055A628D74}">
          <x14:formula1>
            <xm:f>項目!C17:$UEI$65537</xm:f>
          </x14:formula1>
          <xm:sqref>UEQ65543:UEQ65566</xm:sqref>
        </x14:dataValidation>
        <x14:dataValidation type="list" allowBlank="1" showInputMessage="1" showErrorMessage="1" xr:uid="{B3F9C5F1-9E02-4A4F-BEFC-7F838F9FC1AC}">
          <x14:formula1>
            <xm:f>項目!C17:$UOE$65537</xm:f>
          </x14:formula1>
          <xm:sqref>UOM65543:UOM65566</xm:sqref>
        </x14:dataValidation>
        <x14:dataValidation type="list" allowBlank="1" showInputMessage="1" showErrorMessage="1" xr:uid="{7C82BA4E-726C-4DEB-B4DD-72D3A6311C49}">
          <x14:formula1>
            <xm:f>項目!C17:$UYA$65537</xm:f>
          </x14:formula1>
          <xm:sqref>UYI65543:UYI65566</xm:sqref>
        </x14:dataValidation>
        <x14:dataValidation type="list" allowBlank="1" showInputMessage="1" showErrorMessage="1" xr:uid="{9BF25562-DFE7-419D-BF5F-AE598637FB6F}">
          <x14:formula1>
            <xm:f>項目!C17:$VHW$65537</xm:f>
          </x14:formula1>
          <xm:sqref>VIE65543:VIE65566</xm:sqref>
        </x14:dataValidation>
        <x14:dataValidation type="list" allowBlank="1" showInputMessage="1" showErrorMessage="1" xr:uid="{0A0DD7E7-DB50-4E17-9AA2-4C1344D3D45D}">
          <x14:formula1>
            <xm:f>項目!C17:$VRS$65537</xm:f>
          </x14:formula1>
          <xm:sqref>VSA65543:VSA65566</xm:sqref>
        </x14:dataValidation>
        <x14:dataValidation type="list" allowBlank="1" showInputMessage="1" showErrorMessage="1" xr:uid="{6E335B42-578E-4F57-8955-3380933EA11D}">
          <x14:formula1>
            <xm:f>項目!C17:$WBO$65537</xm:f>
          </x14:formula1>
          <xm:sqref>WBW65543:WBW65566</xm:sqref>
        </x14:dataValidation>
        <x14:dataValidation type="list" allowBlank="1" showInputMessage="1" showErrorMessage="1" xr:uid="{140488FD-12D1-486E-8E8C-272DBC9DC85B}">
          <x14:formula1>
            <xm:f>項目!C17:$WLK$65537</xm:f>
          </x14:formula1>
          <xm:sqref>WLS65543:WLS65566</xm:sqref>
        </x14:dataValidation>
        <x14:dataValidation type="list" allowBlank="1" showInputMessage="1" showErrorMessage="1" xr:uid="{877CB0C5-0198-4766-B1A0-9EC67858E8ED}">
          <x14:formula1>
            <xm:f>項目!C17:$WVG$65537</xm:f>
          </x14:formula1>
          <xm:sqref>WVO65543:WVO65566</xm:sqref>
        </x14:dataValidation>
        <x14:dataValidation type="list" allowBlank="1" showInputMessage="1" showErrorMessage="1" xr:uid="{8F45228C-78E6-4F46-9BC3-E96EFE7C384A}">
          <x14:formula1>
            <xm:f>項目!C17:$IU$131073</xm:f>
          </x14:formula1>
          <xm:sqref>JC131079:JC131102</xm:sqref>
        </x14:dataValidation>
        <x14:dataValidation type="list" allowBlank="1" showInputMessage="1" showErrorMessage="1" xr:uid="{7D56EA14-95A8-40E2-869B-D30C322F9646}">
          <x14:formula1>
            <xm:f>項目!C17:$SQ$131073</xm:f>
          </x14:formula1>
          <xm:sqref>SY131079:SY131102</xm:sqref>
        </x14:dataValidation>
        <x14:dataValidation type="list" allowBlank="1" showInputMessage="1" showErrorMessage="1" xr:uid="{B30C6D9C-25CE-473A-B999-6358D78AC4CF}">
          <x14:formula1>
            <xm:f>項目!C17:$ACM$131073</xm:f>
          </x14:formula1>
          <xm:sqref>ACU131079:ACU131102</xm:sqref>
        </x14:dataValidation>
        <x14:dataValidation type="list" allowBlank="1" showInputMessage="1" showErrorMessage="1" xr:uid="{E8499BF6-C87E-4B26-B283-7EFF276FB0CE}">
          <x14:formula1>
            <xm:f>項目!C17:$AMI$131073</xm:f>
          </x14:formula1>
          <xm:sqref>AMQ131079:AMQ131102</xm:sqref>
        </x14:dataValidation>
        <x14:dataValidation type="list" allowBlank="1" showInputMessage="1" showErrorMessage="1" xr:uid="{4F5E0812-1F29-42CE-8A84-42B60A228349}">
          <x14:formula1>
            <xm:f>項目!C17:$AWE$131073</xm:f>
          </x14:formula1>
          <xm:sqref>AWM131079:AWM131102</xm:sqref>
        </x14:dataValidation>
        <x14:dataValidation type="list" allowBlank="1" showInputMessage="1" showErrorMessage="1" xr:uid="{A894AAFD-1F84-4E95-952C-8FD251CCA9D3}">
          <x14:formula1>
            <xm:f>項目!C17:$BGA$131073</xm:f>
          </x14:formula1>
          <xm:sqref>BGI131079:BGI131102</xm:sqref>
        </x14:dataValidation>
        <x14:dataValidation type="list" allowBlank="1" showInputMessage="1" showErrorMessage="1" xr:uid="{7C50AFED-E9B3-47B9-A523-5CBED2EE5AAA}">
          <x14:formula1>
            <xm:f>項目!C17:$BPW$131073</xm:f>
          </x14:formula1>
          <xm:sqref>BQE131079:BQE131102</xm:sqref>
        </x14:dataValidation>
        <x14:dataValidation type="list" allowBlank="1" showInputMessage="1" showErrorMessage="1" xr:uid="{5FD47DB2-68BC-469B-8F81-51818E5CC433}">
          <x14:formula1>
            <xm:f>項目!C17:$BZS$131073</xm:f>
          </x14:formula1>
          <xm:sqref>CAA131079:CAA131102</xm:sqref>
        </x14:dataValidation>
        <x14:dataValidation type="list" allowBlank="1" showInputMessage="1" showErrorMessage="1" xr:uid="{8EB3E785-E7F3-4DDA-93D6-FEC4C0D7544E}">
          <x14:formula1>
            <xm:f>項目!C17:$CJO$131073</xm:f>
          </x14:formula1>
          <xm:sqref>CJW131079:CJW131102</xm:sqref>
        </x14:dataValidation>
        <x14:dataValidation type="list" allowBlank="1" showInputMessage="1" showErrorMessage="1" xr:uid="{00E59945-BF00-4A92-9E75-C5C4118DEF45}">
          <x14:formula1>
            <xm:f>項目!C17:$CTK$131073</xm:f>
          </x14:formula1>
          <xm:sqref>CTS131079:CTS131102</xm:sqref>
        </x14:dataValidation>
        <x14:dataValidation type="list" allowBlank="1" showInputMessage="1" showErrorMessage="1" xr:uid="{628DC5D6-147E-44C0-9BC5-7629D2843214}">
          <x14:formula1>
            <xm:f>項目!C17:$DDG$131073</xm:f>
          </x14:formula1>
          <xm:sqref>DDO131079:DDO131102</xm:sqref>
        </x14:dataValidation>
        <x14:dataValidation type="list" allowBlank="1" showInputMessage="1" showErrorMessage="1" xr:uid="{9C6B0A06-2B09-4E06-92A6-8E89D8E49EAB}">
          <x14:formula1>
            <xm:f>項目!C17:$DNC$131073</xm:f>
          </x14:formula1>
          <xm:sqref>DNK131079:DNK131102</xm:sqref>
        </x14:dataValidation>
        <x14:dataValidation type="list" allowBlank="1" showInputMessage="1" showErrorMessage="1" xr:uid="{EBACB14C-E607-44A9-A599-7FEF8A95DCF7}">
          <x14:formula1>
            <xm:f>項目!C17:$DWY$131073</xm:f>
          </x14:formula1>
          <xm:sqref>DXG131079:DXG131102</xm:sqref>
        </x14:dataValidation>
        <x14:dataValidation type="list" allowBlank="1" showInputMessage="1" showErrorMessage="1" xr:uid="{836D96C9-734C-41D0-B8B9-A8446A9F39D6}">
          <x14:formula1>
            <xm:f>項目!C17:$EGU$131073</xm:f>
          </x14:formula1>
          <xm:sqref>EHC131079:EHC131102</xm:sqref>
        </x14:dataValidation>
        <x14:dataValidation type="list" allowBlank="1" showInputMessage="1" showErrorMessage="1" xr:uid="{129AEA76-73F3-442D-9CB0-75694195799C}">
          <x14:formula1>
            <xm:f>項目!C17:$EQQ$131073</xm:f>
          </x14:formula1>
          <xm:sqref>EQY131079:EQY131102</xm:sqref>
        </x14:dataValidation>
        <x14:dataValidation type="list" allowBlank="1" showInputMessage="1" showErrorMessage="1" xr:uid="{72F2495F-43AD-49E8-8C63-E41EB7D93931}">
          <x14:formula1>
            <xm:f>項目!C17:$FAM$131073</xm:f>
          </x14:formula1>
          <xm:sqref>FAU131079:FAU131102</xm:sqref>
        </x14:dataValidation>
        <x14:dataValidation type="list" allowBlank="1" showInputMessage="1" showErrorMessage="1" xr:uid="{F3B7C837-C688-4490-8DE7-B1F266AD4C3C}">
          <x14:formula1>
            <xm:f>項目!C17:$FKI$131073</xm:f>
          </x14:formula1>
          <xm:sqref>FKQ131079:FKQ131102</xm:sqref>
        </x14:dataValidation>
        <x14:dataValidation type="list" allowBlank="1" showInputMessage="1" showErrorMessage="1" xr:uid="{58CD91E4-B636-4AC9-9576-789EFFEBAF7B}">
          <x14:formula1>
            <xm:f>項目!C17:$FUE$131073</xm:f>
          </x14:formula1>
          <xm:sqref>FUM131079:FUM131102</xm:sqref>
        </x14:dataValidation>
        <x14:dataValidation type="list" allowBlank="1" showInputMessage="1" showErrorMessage="1" xr:uid="{1C3CFAFB-8473-4971-A1D9-26D4024FBD6E}">
          <x14:formula1>
            <xm:f>項目!C17:$GEA$131073</xm:f>
          </x14:formula1>
          <xm:sqref>GEI131079:GEI131102</xm:sqref>
        </x14:dataValidation>
        <x14:dataValidation type="list" allowBlank="1" showInputMessage="1" showErrorMessage="1" xr:uid="{F8364B6D-92E1-47B8-97DB-B7E7F77FB5AC}">
          <x14:formula1>
            <xm:f>項目!C17:$GNW$131073</xm:f>
          </x14:formula1>
          <xm:sqref>GOE131079:GOE131102</xm:sqref>
        </x14:dataValidation>
        <x14:dataValidation type="list" allowBlank="1" showInputMessage="1" showErrorMessage="1" xr:uid="{CDF3497E-2501-4BA9-B597-372AA7F29D13}">
          <x14:formula1>
            <xm:f>項目!C17:$GXS$131073</xm:f>
          </x14:formula1>
          <xm:sqref>GYA131079:GYA131102</xm:sqref>
        </x14:dataValidation>
        <x14:dataValidation type="list" allowBlank="1" showInputMessage="1" showErrorMessage="1" xr:uid="{747BA357-78BF-4328-95C7-FDA256C5D0C9}">
          <x14:formula1>
            <xm:f>項目!C17:$HHO$131073</xm:f>
          </x14:formula1>
          <xm:sqref>HHW131079:HHW131102</xm:sqref>
        </x14:dataValidation>
        <x14:dataValidation type="list" allowBlank="1" showInputMessage="1" showErrorMessage="1" xr:uid="{5F9CB6B5-1056-4BA5-88D0-527964D75BA3}">
          <x14:formula1>
            <xm:f>項目!C17:$HRK$131073</xm:f>
          </x14:formula1>
          <xm:sqref>HRS131079:HRS131102</xm:sqref>
        </x14:dataValidation>
        <x14:dataValidation type="list" allowBlank="1" showInputMessage="1" showErrorMessage="1" xr:uid="{AB960988-8DE1-4B33-BBD7-F573A06F565D}">
          <x14:formula1>
            <xm:f>項目!C17:$IBG$131073</xm:f>
          </x14:formula1>
          <xm:sqref>IBO131079:IBO131102</xm:sqref>
        </x14:dataValidation>
        <x14:dataValidation type="list" allowBlank="1" showInputMessage="1" showErrorMessage="1" xr:uid="{9012D01E-2988-4B2B-BAB4-5FC487E70CDB}">
          <x14:formula1>
            <xm:f>項目!C17:$ILC$131073</xm:f>
          </x14:formula1>
          <xm:sqref>ILK131079:ILK131102</xm:sqref>
        </x14:dataValidation>
        <x14:dataValidation type="list" allowBlank="1" showInputMessage="1" showErrorMessage="1" xr:uid="{5F8369FB-4E5C-4485-9D47-69E62534B63A}">
          <x14:formula1>
            <xm:f>項目!C17:$IUY$131073</xm:f>
          </x14:formula1>
          <xm:sqref>IVG131079:IVG131102</xm:sqref>
        </x14:dataValidation>
        <x14:dataValidation type="list" allowBlank="1" showInputMessage="1" showErrorMessage="1" xr:uid="{299AA775-6F4C-431A-A345-FFEE60A172FD}">
          <x14:formula1>
            <xm:f>項目!C17:$JEU$131073</xm:f>
          </x14:formula1>
          <xm:sqref>JFC131079:JFC131102</xm:sqref>
        </x14:dataValidation>
        <x14:dataValidation type="list" allowBlank="1" showInputMessage="1" showErrorMessage="1" xr:uid="{23968F69-A5D6-4358-AB4D-84AFEA096763}">
          <x14:formula1>
            <xm:f>項目!C17:$JOQ$131073</xm:f>
          </x14:formula1>
          <xm:sqref>JOY131079:JOY131102</xm:sqref>
        </x14:dataValidation>
        <x14:dataValidation type="list" allowBlank="1" showInputMessage="1" showErrorMessage="1" xr:uid="{637045B0-4139-434C-ADFD-2EE7C117E8F8}">
          <x14:formula1>
            <xm:f>項目!C17:$JYM$131073</xm:f>
          </x14:formula1>
          <xm:sqref>JYU131079:JYU131102</xm:sqref>
        </x14:dataValidation>
        <x14:dataValidation type="list" allowBlank="1" showInputMessage="1" showErrorMessage="1" xr:uid="{AB889974-82DA-4626-BFDB-5C550D950014}">
          <x14:formula1>
            <xm:f>項目!C17:$KII$131073</xm:f>
          </x14:formula1>
          <xm:sqref>KIQ131079:KIQ131102</xm:sqref>
        </x14:dataValidation>
        <x14:dataValidation type="list" allowBlank="1" showInputMessage="1" showErrorMessage="1" xr:uid="{6ACDBD57-DBAE-4D5F-8219-E5E7C42B5196}">
          <x14:formula1>
            <xm:f>項目!C17:$KSE$131073</xm:f>
          </x14:formula1>
          <xm:sqref>KSM131079:KSM131102</xm:sqref>
        </x14:dataValidation>
        <x14:dataValidation type="list" allowBlank="1" showInputMessage="1" showErrorMessage="1" xr:uid="{AD050D5C-D978-43A2-A754-9F66BF1B6226}">
          <x14:formula1>
            <xm:f>項目!C17:$LCA$131073</xm:f>
          </x14:formula1>
          <xm:sqref>LCI131079:LCI131102</xm:sqref>
        </x14:dataValidation>
        <x14:dataValidation type="list" allowBlank="1" showInputMessage="1" showErrorMessage="1" xr:uid="{E74D1E29-2D34-481C-9080-77D14D836060}">
          <x14:formula1>
            <xm:f>項目!C17:$LLW$131073</xm:f>
          </x14:formula1>
          <xm:sqref>LME131079:LME131102</xm:sqref>
        </x14:dataValidation>
        <x14:dataValidation type="list" allowBlank="1" showInputMessage="1" showErrorMessage="1" xr:uid="{26821499-8C42-4570-80CC-7AE884A9CF2F}">
          <x14:formula1>
            <xm:f>項目!C17:$LVS$131073</xm:f>
          </x14:formula1>
          <xm:sqref>LWA131079:LWA131102</xm:sqref>
        </x14:dataValidation>
        <x14:dataValidation type="list" allowBlank="1" showInputMessage="1" showErrorMessage="1" xr:uid="{5EA222EC-8C6E-4C3C-A51E-A853B3087FBD}">
          <x14:formula1>
            <xm:f>項目!C17:$MFO$131073</xm:f>
          </x14:formula1>
          <xm:sqref>MFW131079:MFW131102</xm:sqref>
        </x14:dataValidation>
        <x14:dataValidation type="list" allowBlank="1" showInputMessage="1" showErrorMessage="1" xr:uid="{77C3DE58-2A68-40F6-8F48-4957A6036C8C}">
          <x14:formula1>
            <xm:f>項目!C17:$MPK$131073</xm:f>
          </x14:formula1>
          <xm:sqref>MPS131079:MPS131102</xm:sqref>
        </x14:dataValidation>
        <x14:dataValidation type="list" allowBlank="1" showInputMessage="1" showErrorMessage="1" xr:uid="{F996FC30-942C-4956-949F-9D8223EE556D}">
          <x14:formula1>
            <xm:f>項目!C17:$MZG$131073</xm:f>
          </x14:formula1>
          <xm:sqref>MZO131079:MZO131102</xm:sqref>
        </x14:dataValidation>
        <x14:dataValidation type="list" allowBlank="1" showInputMessage="1" showErrorMessage="1" xr:uid="{91259619-DC4B-4380-870A-E38EDEE196E6}">
          <x14:formula1>
            <xm:f>項目!C17:$NJC$131073</xm:f>
          </x14:formula1>
          <xm:sqref>NJK131079:NJK131102</xm:sqref>
        </x14:dataValidation>
        <x14:dataValidation type="list" allowBlank="1" showInputMessage="1" showErrorMessage="1" xr:uid="{8A7F8B66-5B38-4673-8AA7-BA8546D60195}">
          <x14:formula1>
            <xm:f>項目!C17:$NSY$131073</xm:f>
          </x14:formula1>
          <xm:sqref>NTG131079:NTG131102</xm:sqref>
        </x14:dataValidation>
        <x14:dataValidation type="list" allowBlank="1" showInputMessage="1" showErrorMessage="1" xr:uid="{A5EB0A61-E128-4EE3-9D6F-7D05921FC4F4}">
          <x14:formula1>
            <xm:f>項目!C17:$OCU$131073</xm:f>
          </x14:formula1>
          <xm:sqref>ODC131079:ODC131102</xm:sqref>
        </x14:dataValidation>
        <x14:dataValidation type="list" allowBlank="1" showInputMessage="1" showErrorMessage="1" xr:uid="{AE28E87D-6870-4AA1-BAD3-0A1B97201160}">
          <x14:formula1>
            <xm:f>項目!C17:$OMQ$131073</xm:f>
          </x14:formula1>
          <xm:sqref>OMY131079:OMY131102</xm:sqref>
        </x14:dataValidation>
        <x14:dataValidation type="list" allowBlank="1" showInputMessage="1" showErrorMessage="1" xr:uid="{75DBCD57-834D-4C05-82F9-905CFF828651}">
          <x14:formula1>
            <xm:f>項目!C17:$OWM$131073</xm:f>
          </x14:formula1>
          <xm:sqref>OWU131079:OWU131102</xm:sqref>
        </x14:dataValidation>
        <x14:dataValidation type="list" allowBlank="1" showInputMessage="1" showErrorMessage="1" xr:uid="{888F3FD2-AFDC-47BC-B7C5-324835C58747}">
          <x14:formula1>
            <xm:f>項目!C17:$PGI$131073</xm:f>
          </x14:formula1>
          <xm:sqref>PGQ131079:PGQ131102</xm:sqref>
        </x14:dataValidation>
        <x14:dataValidation type="list" allowBlank="1" showInputMessage="1" showErrorMessage="1" xr:uid="{408387F3-7789-4906-A79D-B2C4C493E313}">
          <x14:formula1>
            <xm:f>項目!C17:$PQE$131073</xm:f>
          </x14:formula1>
          <xm:sqref>PQM131079:PQM131102</xm:sqref>
        </x14:dataValidation>
        <x14:dataValidation type="list" allowBlank="1" showInputMessage="1" showErrorMessage="1" xr:uid="{5F16C67B-814A-4D87-90EF-B6F0F4140016}">
          <x14:formula1>
            <xm:f>項目!C17:$QAA$131073</xm:f>
          </x14:formula1>
          <xm:sqref>QAI131079:QAI131102</xm:sqref>
        </x14:dataValidation>
        <x14:dataValidation type="list" allowBlank="1" showInputMessage="1" showErrorMessage="1" xr:uid="{9E83AFDE-E699-4D36-97E0-C77F2FA26331}">
          <x14:formula1>
            <xm:f>項目!C17:$QJW$131073</xm:f>
          </x14:formula1>
          <xm:sqref>QKE131079:QKE131102</xm:sqref>
        </x14:dataValidation>
        <x14:dataValidation type="list" allowBlank="1" showInputMessage="1" showErrorMessage="1" xr:uid="{1AA5572F-C600-4100-8161-E4FD89B152D0}">
          <x14:formula1>
            <xm:f>項目!C17:$QTS$131073</xm:f>
          </x14:formula1>
          <xm:sqref>QUA131079:QUA131102</xm:sqref>
        </x14:dataValidation>
        <x14:dataValidation type="list" allowBlank="1" showInputMessage="1" showErrorMessage="1" xr:uid="{93AA658D-D402-480A-9036-6F9E3A06CA85}">
          <x14:formula1>
            <xm:f>項目!C17:$RDO$131073</xm:f>
          </x14:formula1>
          <xm:sqref>RDW131079:RDW131102</xm:sqref>
        </x14:dataValidation>
        <x14:dataValidation type="list" allowBlank="1" showInputMessage="1" showErrorMessage="1" xr:uid="{15D523F7-496E-46FE-A271-A50178CFD96E}">
          <x14:formula1>
            <xm:f>項目!C17:$RNK$131073</xm:f>
          </x14:formula1>
          <xm:sqref>RNS131079:RNS131102</xm:sqref>
        </x14:dataValidation>
        <x14:dataValidation type="list" allowBlank="1" showInputMessage="1" showErrorMessage="1" xr:uid="{8BA1FD1E-A1B2-49D6-8452-E0EF79D35961}">
          <x14:formula1>
            <xm:f>項目!C17:$RXG$131073</xm:f>
          </x14:formula1>
          <xm:sqref>RXO131079:RXO131102</xm:sqref>
        </x14:dataValidation>
        <x14:dataValidation type="list" allowBlank="1" showInputMessage="1" showErrorMessage="1" xr:uid="{C613B360-1138-4C2D-BFA5-846D277D0225}">
          <x14:formula1>
            <xm:f>項目!C17:$SHC$131073</xm:f>
          </x14:formula1>
          <xm:sqref>SHK131079:SHK131102</xm:sqref>
        </x14:dataValidation>
        <x14:dataValidation type="list" allowBlank="1" showInputMessage="1" showErrorMessage="1" xr:uid="{C12C9309-4CA1-4E53-A1DB-69605C3E5A47}">
          <x14:formula1>
            <xm:f>項目!C17:$SQY$131073</xm:f>
          </x14:formula1>
          <xm:sqref>SRG131079:SRG131102</xm:sqref>
        </x14:dataValidation>
        <x14:dataValidation type="list" allowBlank="1" showInputMessage="1" showErrorMessage="1" xr:uid="{E086470C-94FE-4128-97D2-BBEA4C21818C}">
          <x14:formula1>
            <xm:f>項目!C17:$TAU$131073</xm:f>
          </x14:formula1>
          <xm:sqref>TBC131079:TBC131102</xm:sqref>
        </x14:dataValidation>
        <x14:dataValidation type="list" allowBlank="1" showInputMessage="1" showErrorMessage="1" xr:uid="{5D992463-6A78-4DA2-AA4B-2EBD0A7987B5}">
          <x14:formula1>
            <xm:f>項目!C17:$TKQ$131073</xm:f>
          </x14:formula1>
          <xm:sqref>TKY131079:TKY131102</xm:sqref>
        </x14:dataValidation>
        <x14:dataValidation type="list" allowBlank="1" showInputMessage="1" showErrorMessage="1" xr:uid="{4255D098-B13C-4AEF-92DF-B8304D2F6038}">
          <x14:formula1>
            <xm:f>項目!C17:$TUM$131073</xm:f>
          </x14:formula1>
          <xm:sqref>TUU131079:TUU131102</xm:sqref>
        </x14:dataValidation>
        <x14:dataValidation type="list" allowBlank="1" showInputMessage="1" showErrorMessage="1" xr:uid="{D1D9AC47-9C3B-4660-AA00-87F0E27D4B62}">
          <x14:formula1>
            <xm:f>項目!C17:$UEI$131073</xm:f>
          </x14:formula1>
          <xm:sqref>UEQ131079:UEQ131102</xm:sqref>
        </x14:dataValidation>
        <x14:dataValidation type="list" allowBlank="1" showInputMessage="1" showErrorMessage="1" xr:uid="{AFFF6FB9-DEAD-4D87-AAA4-3359CEAA0899}">
          <x14:formula1>
            <xm:f>項目!C17:$UOE$131073</xm:f>
          </x14:formula1>
          <xm:sqref>UOM131079:UOM131102</xm:sqref>
        </x14:dataValidation>
        <x14:dataValidation type="list" allowBlank="1" showInputMessage="1" showErrorMessage="1" xr:uid="{A939F05D-3FBE-4E6A-A641-5D7FA920D5F2}">
          <x14:formula1>
            <xm:f>項目!C17:$UYA$131073</xm:f>
          </x14:formula1>
          <xm:sqref>UYI131079:UYI131102</xm:sqref>
        </x14:dataValidation>
        <x14:dataValidation type="list" allowBlank="1" showInputMessage="1" showErrorMessage="1" xr:uid="{40028F2D-15DD-4285-8F71-0767E3EE0BF0}">
          <x14:formula1>
            <xm:f>項目!C17:$VHW$131073</xm:f>
          </x14:formula1>
          <xm:sqref>VIE131079:VIE131102</xm:sqref>
        </x14:dataValidation>
        <x14:dataValidation type="list" allowBlank="1" showInputMessage="1" showErrorMessage="1" xr:uid="{B7EA2A3C-F3A0-4E0E-A223-C409723B118B}">
          <x14:formula1>
            <xm:f>項目!C17:$VRS$131073</xm:f>
          </x14:formula1>
          <xm:sqref>VSA131079:VSA131102</xm:sqref>
        </x14:dataValidation>
        <x14:dataValidation type="list" allowBlank="1" showInputMessage="1" showErrorMessage="1" xr:uid="{01513EFD-69EB-4A78-96D2-B19E00941E62}">
          <x14:formula1>
            <xm:f>項目!C17:$WBO$131073</xm:f>
          </x14:formula1>
          <xm:sqref>WBW131079:WBW131102</xm:sqref>
        </x14:dataValidation>
        <x14:dataValidation type="list" allowBlank="1" showInputMessage="1" showErrorMessage="1" xr:uid="{585ED49C-7688-4C32-AD0D-348193FB3E20}">
          <x14:formula1>
            <xm:f>項目!C17:$WLK$131073</xm:f>
          </x14:formula1>
          <xm:sqref>WLS131079:WLS131102</xm:sqref>
        </x14:dataValidation>
        <x14:dataValidation type="list" allowBlank="1" showInputMessage="1" showErrorMessage="1" xr:uid="{584C67C8-D25C-4D2C-B63D-3CCB321771D6}">
          <x14:formula1>
            <xm:f>項目!C17:$WVG$131073</xm:f>
          </x14:formula1>
          <xm:sqref>WVO131079:WVO131102</xm:sqref>
        </x14:dataValidation>
        <x14:dataValidation type="list" allowBlank="1" showInputMessage="1" showErrorMessage="1" xr:uid="{6DA23F4A-EF64-49F9-887B-F588EBB17567}">
          <x14:formula1>
            <xm:f>項目!C17:$IU$196609</xm:f>
          </x14:formula1>
          <xm:sqref>JC196615:JC196638</xm:sqref>
        </x14:dataValidation>
        <x14:dataValidation type="list" allowBlank="1" showInputMessage="1" showErrorMessage="1" xr:uid="{6906DAA1-2800-41D4-80C5-7B1A61D7E546}">
          <x14:formula1>
            <xm:f>項目!C17:$SQ$196609</xm:f>
          </x14:formula1>
          <xm:sqref>SY196615:SY196638</xm:sqref>
        </x14:dataValidation>
        <x14:dataValidation type="list" allowBlank="1" showInputMessage="1" showErrorMessage="1" xr:uid="{96CDF9B3-293F-4F94-8606-1AE31B706873}">
          <x14:formula1>
            <xm:f>項目!C17:$ACM$196609</xm:f>
          </x14:formula1>
          <xm:sqref>ACU196615:ACU196638</xm:sqref>
        </x14:dataValidation>
        <x14:dataValidation type="list" allowBlank="1" showInputMessage="1" showErrorMessage="1" xr:uid="{AEC43155-C297-460B-B3C0-0ED13E76D636}">
          <x14:formula1>
            <xm:f>項目!C17:$AMI$196609</xm:f>
          </x14:formula1>
          <xm:sqref>AMQ196615:AMQ196638</xm:sqref>
        </x14:dataValidation>
        <x14:dataValidation type="list" allowBlank="1" showInputMessage="1" showErrorMessage="1" xr:uid="{A3E8FA39-A5F1-49F5-9FE1-F44B42E875F1}">
          <x14:formula1>
            <xm:f>項目!C17:$AWE$196609</xm:f>
          </x14:formula1>
          <xm:sqref>AWM196615:AWM196638</xm:sqref>
        </x14:dataValidation>
        <x14:dataValidation type="list" allowBlank="1" showInputMessage="1" showErrorMessage="1" xr:uid="{20AB91A2-B5FC-43ED-87BB-ED793610DFDC}">
          <x14:formula1>
            <xm:f>項目!C17:$BGA$196609</xm:f>
          </x14:formula1>
          <xm:sqref>BGI196615:BGI196638</xm:sqref>
        </x14:dataValidation>
        <x14:dataValidation type="list" allowBlank="1" showInputMessage="1" showErrorMessage="1" xr:uid="{1E67D7C9-2F8A-42B3-A6E6-EC3D9E97C78E}">
          <x14:formula1>
            <xm:f>項目!C17:$BPW$196609</xm:f>
          </x14:formula1>
          <xm:sqref>BQE196615:BQE196638</xm:sqref>
        </x14:dataValidation>
        <x14:dataValidation type="list" allowBlank="1" showInputMessage="1" showErrorMessage="1" xr:uid="{5BE06A28-3472-431F-99C8-770384CEA246}">
          <x14:formula1>
            <xm:f>項目!C17:$BZS$196609</xm:f>
          </x14:formula1>
          <xm:sqref>CAA196615:CAA196638</xm:sqref>
        </x14:dataValidation>
        <x14:dataValidation type="list" allowBlank="1" showInputMessage="1" showErrorMessage="1" xr:uid="{DAD9ED85-4435-49CB-9A5C-2956F6E31605}">
          <x14:formula1>
            <xm:f>項目!C17:$CJO$196609</xm:f>
          </x14:formula1>
          <xm:sqref>CJW196615:CJW196638</xm:sqref>
        </x14:dataValidation>
        <x14:dataValidation type="list" allowBlank="1" showInputMessage="1" showErrorMessage="1" xr:uid="{4E28B670-AF1A-4612-9536-4C4F0D65960A}">
          <x14:formula1>
            <xm:f>項目!C17:$CTK$196609</xm:f>
          </x14:formula1>
          <xm:sqref>CTS196615:CTS196638</xm:sqref>
        </x14:dataValidation>
        <x14:dataValidation type="list" allowBlank="1" showInputMessage="1" showErrorMessage="1" xr:uid="{4B63219C-6ED2-4310-9C8F-C6B0772488DE}">
          <x14:formula1>
            <xm:f>項目!C17:$DDG$196609</xm:f>
          </x14:formula1>
          <xm:sqref>DDO196615:DDO196638</xm:sqref>
        </x14:dataValidation>
        <x14:dataValidation type="list" allowBlank="1" showInputMessage="1" showErrorMessage="1" xr:uid="{5ED43814-15DA-47AA-AB46-CAF0EAD643A1}">
          <x14:formula1>
            <xm:f>項目!C17:$DNC$196609</xm:f>
          </x14:formula1>
          <xm:sqref>DNK196615:DNK196638</xm:sqref>
        </x14:dataValidation>
        <x14:dataValidation type="list" allowBlank="1" showInputMessage="1" showErrorMessage="1" xr:uid="{6ECE719C-E8D0-4DE4-BEE0-20BA415029D9}">
          <x14:formula1>
            <xm:f>項目!C17:$DWY$196609</xm:f>
          </x14:formula1>
          <xm:sqref>DXG196615:DXG196638</xm:sqref>
        </x14:dataValidation>
        <x14:dataValidation type="list" allowBlank="1" showInputMessage="1" showErrorMessage="1" xr:uid="{87E61F61-9D60-4617-A2C5-EA33BA7882EB}">
          <x14:formula1>
            <xm:f>項目!C17:$EGU$196609</xm:f>
          </x14:formula1>
          <xm:sqref>EHC196615:EHC196638</xm:sqref>
        </x14:dataValidation>
        <x14:dataValidation type="list" allowBlank="1" showInputMessage="1" showErrorMessage="1" xr:uid="{D355E468-904B-48AC-B3D2-D6356E067F4A}">
          <x14:formula1>
            <xm:f>項目!C17:$EQQ$196609</xm:f>
          </x14:formula1>
          <xm:sqref>EQY196615:EQY196638</xm:sqref>
        </x14:dataValidation>
        <x14:dataValidation type="list" allowBlank="1" showInputMessage="1" showErrorMessage="1" xr:uid="{9C6B23D9-EBB0-45EA-86B9-9B4F3D18195A}">
          <x14:formula1>
            <xm:f>項目!C17:$FAM$196609</xm:f>
          </x14:formula1>
          <xm:sqref>FAU196615:FAU196638</xm:sqref>
        </x14:dataValidation>
        <x14:dataValidation type="list" allowBlank="1" showInputMessage="1" showErrorMessage="1" xr:uid="{57BBF65D-A0DD-4CBC-891C-357909BD3D57}">
          <x14:formula1>
            <xm:f>項目!C17:$FKI$196609</xm:f>
          </x14:formula1>
          <xm:sqref>FKQ196615:FKQ196638</xm:sqref>
        </x14:dataValidation>
        <x14:dataValidation type="list" allowBlank="1" showInputMessage="1" showErrorMessage="1" xr:uid="{EAB8C35B-7E21-4A4F-92BE-B5B295205531}">
          <x14:formula1>
            <xm:f>項目!C17:$FUE$196609</xm:f>
          </x14:formula1>
          <xm:sqref>FUM196615:FUM196638</xm:sqref>
        </x14:dataValidation>
        <x14:dataValidation type="list" allowBlank="1" showInputMessage="1" showErrorMessage="1" xr:uid="{D2C981BF-FA63-4CDF-B57E-326C7C3CE53B}">
          <x14:formula1>
            <xm:f>項目!C17:$GEA$196609</xm:f>
          </x14:formula1>
          <xm:sqref>GEI196615:GEI196638</xm:sqref>
        </x14:dataValidation>
        <x14:dataValidation type="list" allowBlank="1" showInputMessage="1" showErrorMessage="1" xr:uid="{0546FD7E-FAF9-494C-A744-FBBFC7193DED}">
          <x14:formula1>
            <xm:f>項目!C17:$GNW$196609</xm:f>
          </x14:formula1>
          <xm:sqref>GOE196615:GOE196638</xm:sqref>
        </x14:dataValidation>
        <x14:dataValidation type="list" allowBlank="1" showInputMessage="1" showErrorMessage="1" xr:uid="{4124CB6C-54A0-498D-9978-13FD86341948}">
          <x14:formula1>
            <xm:f>項目!C17:$GXS$196609</xm:f>
          </x14:formula1>
          <xm:sqref>GYA196615:GYA196638</xm:sqref>
        </x14:dataValidation>
        <x14:dataValidation type="list" allowBlank="1" showInputMessage="1" showErrorMessage="1" xr:uid="{64421F88-703A-44B9-A62F-1CC1E1B74577}">
          <x14:formula1>
            <xm:f>項目!C17:$HHO$196609</xm:f>
          </x14:formula1>
          <xm:sqref>HHW196615:HHW196638</xm:sqref>
        </x14:dataValidation>
        <x14:dataValidation type="list" allowBlank="1" showInputMessage="1" showErrorMessage="1" xr:uid="{2D02F46A-B0F3-44F7-AF95-2B04C0A27DF6}">
          <x14:formula1>
            <xm:f>項目!C17:$HRK$196609</xm:f>
          </x14:formula1>
          <xm:sqref>HRS196615:HRS196638</xm:sqref>
        </x14:dataValidation>
        <x14:dataValidation type="list" allowBlank="1" showInputMessage="1" showErrorMessage="1" xr:uid="{8FEB28D2-2A8D-49B3-A025-E7140F382629}">
          <x14:formula1>
            <xm:f>項目!C17:$IBG$196609</xm:f>
          </x14:formula1>
          <xm:sqref>IBO196615:IBO196638</xm:sqref>
        </x14:dataValidation>
        <x14:dataValidation type="list" allowBlank="1" showInputMessage="1" showErrorMessage="1" xr:uid="{367B7A15-C83F-4B48-B191-18D44991D5F1}">
          <x14:formula1>
            <xm:f>項目!C17:$ILC$196609</xm:f>
          </x14:formula1>
          <xm:sqref>ILK196615:ILK196638</xm:sqref>
        </x14:dataValidation>
        <x14:dataValidation type="list" allowBlank="1" showInputMessage="1" showErrorMessage="1" xr:uid="{DDE5FF23-AD39-4CA8-8C0B-5B2EA2A6B020}">
          <x14:formula1>
            <xm:f>項目!C17:$IUY$196609</xm:f>
          </x14:formula1>
          <xm:sqref>IVG196615:IVG196638</xm:sqref>
        </x14:dataValidation>
        <x14:dataValidation type="list" allowBlank="1" showInputMessage="1" showErrorMessage="1" xr:uid="{D1ECEEBE-101F-4E8A-91C6-3CD2D94B8DD6}">
          <x14:formula1>
            <xm:f>項目!C17:$JEU$196609</xm:f>
          </x14:formula1>
          <xm:sqref>JFC196615:JFC196638</xm:sqref>
        </x14:dataValidation>
        <x14:dataValidation type="list" allowBlank="1" showInputMessage="1" showErrorMessage="1" xr:uid="{DF3EEF5B-8ABB-412B-BE93-24918580AB33}">
          <x14:formula1>
            <xm:f>項目!C17:$JOQ$196609</xm:f>
          </x14:formula1>
          <xm:sqref>JOY196615:JOY196638</xm:sqref>
        </x14:dataValidation>
        <x14:dataValidation type="list" allowBlank="1" showInputMessage="1" showErrorMessage="1" xr:uid="{90E8B2E4-F4CD-408B-961D-547127AA0CC1}">
          <x14:formula1>
            <xm:f>項目!C17:$JYM$196609</xm:f>
          </x14:formula1>
          <xm:sqref>JYU196615:JYU196638</xm:sqref>
        </x14:dataValidation>
        <x14:dataValidation type="list" allowBlank="1" showInputMessage="1" showErrorMessage="1" xr:uid="{6976542C-8D33-4527-8B4A-C93785CF6B87}">
          <x14:formula1>
            <xm:f>項目!C17:$KII$196609</xm:f>
          </x14:formula1>
          <xm:sqref>KIQ196615:KIQ196638</xm:sqref>
        </x14:dataValidation>
        <x14:dataValidation type="list" allowBlank="1" showInputMessage="1" showErrorMessage="1" xr:uid="{A2DA9F31-26C3-4DF7-8859-FF964A251D27}">
          <x14:formula1>
            <xm:f>項目!C17:$KSE$196609</xm:f>
          </x14:formula1>
          <xm:sqref>KSM196615:KSM196638</xm:sqref>
        </x14:dataValidation>
        <x14:dataValidation type="list" allowBlank="1" showInputMessage="1" showErrorMessage="1" xr:uid="{351986D2-E19D-4349-B52F-F5B4474FBB11}">
          <x14:formula1>
            <xm:f>項目!C17:$LCA$196609</xm:f>
          </x14:formula1>
          <xm:sqref>LCI196615:LCI196638</xm:sqref>
        </x14:dataValidation>
        <x14:dataValidation type="list" allowBlank="1" showInputMessage="1" showErrorMessage="1" xr:uid="{23117FA5-DC3E-4A96-A9E2-61E57FD93308}">
          <x14:formula1>
            <xm:f>項目!C17:$LLW$196609</xm:f>
          </x14:formula1>
          <xm:sqref>LME196615:LME196638</xm:sqref>
        </x14:dataValidation>
        <x14:dataValidation type="list" allowBlank="1" showInputMessage="1" showErrorMessage="1" xr:uid="{61A390CC-D826-497F-B022-B7F352165986}">
          <x14:formula1>
            <xm:f>項目!C17:$LVS$196609</xm:f>
          </x14:formula1>
          <xm:sqref>LWA196615:LWA196638</xm:sqref>
        </x14:dataValidation>
        <x14:dataValidation type="list" allowBlank="1" showInputMessage="1" showErrorMessage="1" xr:uid="{BA12F01A-9082-46DE-9D04-BF2A7D48F41B}">
          <x14:formula1>
            <xm:f>項目!C17:$MFO$196609</xm:f>
          </x14:formula1>
          <xm:sqref>MFW196615:MFW196638</xm:sqref>
        </x14:dataValidation>
        <x14:dataValidation type="list" allowBlank="1" showInputMessage="1" showErrorMessage="1" xr:uid="{935F9873-E2FA-4DEF-898B-E304C2BD7E8B}">
          <x14:formula1>
            <xm:f>項目!C17:$MPK$196609</xm:f>
          </x14:formula1>
          <xm:sqref>MPS196615:MPS196638</xm:sqref>
        </x14:dataValidation>
        <x14:dataValidation type="list" allowBlank="1" showInputMessage="1" showErrorMessage="1" xr:uid="{2EFA74F3-6198-4409-929A-081950A71DB9}">
          <x14:formula1>
            <xm:f>項目!C17:$MZG$196609</xm:f>
          </x14:formula1>
          <xm:sqref>MZO196615:MZO196638</xm:sqref>
        </x14:dataValidation>
        <x14:dataValidation type="list" allowBlank="1" showInputMessage="1" showErrorMessage="1" xr:uid="{BC3E1E4D-9B53-43FB-A424-7765A0943F9F}">
          <x14:formula1>
            <xm:f>項目!C17:$NJC$196609</xm:f>
          </x14:formula1>
          <xm:sqref>NJK196615:NJK196638</xm:sqref>
        </x14:dataValidation>
        <x14:dataValidation type="list" allowBlank="1" showInputMessage="1" showErrorMessage="1" xr:uid="{C4C4E35B-63A7-44F2-B1A5-445B7AAD01FD}">
          <x14:formula1>
            <xm:f>項目!C17:$NSY$196609</xm:f>
          </x14:formula1>
          <xm:sqref>NTG196615:NTG196638</xm:sqref>
        </x14:dataValidation>
        <x14:dataValidation type="list" allowBlank="1" showInputMessage="1" showErrorMessage="1" xr:uid="{6885A971-F7E7-4A45-82F0-2AF677A70F23}">
          <x14:formula1>
            <xm:f>項目!C17:$OCU$196609</xm:f>
          </x14:formula1>
          <xm:sqref>ODC196615:ODC196638</xm:sqref>
        </x14:dataValidation>
        <x14:dataValidation type="list" allowBlank="1" showInputMessage="1" showErrorMessage="1" xr:uid="{5A7F3233-0256-4342-B248-C904B02BB8C1}">
          <x14:formula1>
            <xm:f>項目!C17:$OMQ$196609</xm:f>
          </x14:formula1>
          <xm:sqref>OMY196615:OMY196638</xm:sqref>
        </x14:dataValidation>
        <x14:dataValidation type="list" allowBlank="1" showInputMessage="1" showErrorMessage="1" xr:uid="{92D99E4B-011F-49B6-BB5D-2F777B7CD36D}">
          <x14:formula1>
            <xm:f>項目!C17:$OWM$196609</xm:f>
          </x14:formula1>
          <xm:sqref>OWU196615:OWU196638</xm:sqref>
        </x14:dataValidation>
        <x14:dataValidation type="list" allowBlank="1" showInputMessage="1" showErrorMessage="1" xr:uid="{669ACEE9-1046-4F91-A0AE-DB9DB5C9DD59}">
          <x14:formula1>
            <xm:f>項目!C17:$PGI$196609</xm:f>
          </x14:formula1>
          <xm:sqref>PGQ196615:PGQ196638</xm:sqref>
        </x14:dataValidation>
        <x14:dataValidation type="list" allowBlank="1" showInputMessage="1" showErrorMessage="1" xr:uid="{8A32A6D4-882E-4A15-91C9-F36CA4F3FF78}">
          <x14:formula1>
            <xm:f>項目!C17:$PQE$196609</xm:f>
          </x14:formula1>
          <xm:sqref>PQM196615:PQM196638</xm:sqref>
        </x14:dataValidation>
        <x14:dataValidation type="list" allowBlank="1" showInputMessage="1" showErrorMessage="1" xr:uid="{53546556-BDF5-4076-8AEF-EB6FDEBD5C0A}">
          <x14:formula1>
            <xm:f>項目!C17:$QAA$196609</xm:f>
          </x14:formula1>
          <xm:sqref>QAI196615:QAI196638</xm:sqref>
        </x14:dataValidation>
        <x14:dataValidation type="list" allowBlank="1" showInputMessage="1" showErrorMessage="1" xr:uid="{BB945AD3-0C2B-4F09-BD14-F6B2AB1F39C1}">
          <x14:formula1>
            <xm:f>項目!C17:$QJW$196609</xm:f>
          </x14:formula1>
          <xm:sqref>QKE196615:QKE196638</xm:sqref>
        </x14:dataValidation>
        <x14:dataValidation type="list" allowBlank="1" showInputMessage="1" showErrorMessage="1" xr:uid="{9D2E3978-FF70-471D-B190-0AC50FB41ABC}">
          <x14:formula1>
            <xm:f>項目!C17:$QTS$196609</xm:f>
          </x14:formula1>
          <xm:sqref>QUA196615:QUA196638</xm:sqref>
        </x14:dataValidation>
        <x14:dataValidation type="list" allowBlank="1" showInputMessage="1" showErrorMessage="1" xr:uid="{D4CB0946-0751-49EF-AC44-10A0975C5113}">
          <x14:formula1>
            <xm:f>項目!C17:$RDO$196609</xm:f>
          </x14:formula1>
          <xm:sqref>RDW196615:RDW196638</xm:sqref>
        </x14:dataValidation>
        <x14:dataValidation type="list" allowBlank="1" showInputMessage="1" showErrorMessage="1" xr:uid="{031E2614-8D8F-4537-9B34-B67B82545C3B}">
          <x14:formula1>
            <xm:f>項目!C17:$RNK$196609</xm:f>
          </x14:formula1>
          <xm:sqref>RNS196615:RNS196638</xm:sqref>
        </x14:dataValidation>
        <x14:dataValidation type="list" allowBlank="1" showInputMessage="1" showErrorMessage="1" xr:uid="{41B765AB-EA10-405D-8238-DD4DA70FE08B}">
          <x14:formula1>
            <xm:f>項目!C17:$RXG$196609</xm:f>
          </x14:formula1>
          <xm:sqref>RXO196615:RXO196638</xm:sqref>
        </x14:dataValidation>
        <x14:dataValidation type="list" allowBlank="1" showInputMessage="1" showErrorMessage="1" xr:uid="{8CD08E1C-FAFC-4E65-AAE9-A99D62C55563}">
          <x14:formula1>
            <xm:f>項目!C17:$SHC$196609</xm:f>
          </x14:formula1>
          <xm:sqref>SHK196615:SHK196638</xm:sqref>
        </x14:dataValidation>
        <x14:dataValidation type="list" allowBlank="1" showInputMessage="1" showErrorMessage="1" xr:uid="{D0D96997-90C0-4E13-A444-E8EE60C9EDF8}">
          <x14:formula1>
            <xm:f>項目!C17:$SQY$196609</xm:f>
          </x14:formula1>
          <xm:sqref>SRG196615:SRG196638</xm:sqref>
        </x14:dataValidation>
        <x14:dataValidation type="list" allowBlank="1" showInputMessage="1" showErrorMessage="1" xr:uid="{B48C3824-98BF-4622-8A8D-F4B32807EA3C}">
          <x14:formula1>
            <xm:f>項目!C17:$TAU$196609</xm:f>
          </x14:formula1>
          <xm:sqref>TBC196615:TBC196638</xm:sqref>
        </x14:dataValidation>
        <x14:dataValidation type="list" allowBlank="1" showInputMessage="1" showErrorMessage="1" xr:uid="{6F5A6D65-FAC7-4770-9F59-C79FD9E288C6}">
          <x14:formula1>
            <xm:f>項目!C17:$TKQ$196609</xm:f>
          </x14:formula1>
          <xm:sqref>TKY196615:TKY196638</xm:sqref>
        </x14:dataValidation>
        <x14:dataValidation type="list" allowBlank="1" showInputMessage="1" showErrorMessage="1" xr:uid="{427793C2-BA27-466C-8A2C-43C5334A3FE9}">
          <x14:formula1>
            <xm:f>項目!C17:$TUM$196609</xm:f>
          </x14:formula1>
          <xm:sqref>TUU196615:TUU196638</xm:sqref>
        </x14:dataValidation>
        <x14:dataValidation type="list" allowBlank="1" showInputMessage="1" showErrorMessage="1" xr:uid="{71199461-6BB5-45EE-B678-ABB5F27D93B4}">
          <x14:formula1>
            <xm:f>項目!C17:$UEI$196609</xm:f>
          </x14:formula1>
          <xm:sqref>UEQ196615:UEQ196638</xm:sqref>
        </x14:dataValidation>
        <x14:dataValidation type="list" allowBlank="1" showInputMessage="1" showErrorMessage="1" xr:uid="{35BB21EC-D451-4777-AA6F-539B6DC3F84A}">
          <x14:formula1>
            <xm:f>項目!C17:$UOE$196609</xm:f>
          </x14:formula1>
          <xm:sqref>UOM196615:UOM196638</xm:sqref>
        </x14:dataValidation>
        <x14:dataValidation type="list" allowBlank="1" showInputMessage="1" showErrorMessage="1" xr:uid="{FFFA2C1A-A2A5-4C89-B7A0-7747047349B9}">
          <x14:formula1>
            <xm:f>項目!C17:$UYA$196609</xm:f>
          </x14:formula1>
          <xm:sqref>UYI196615:UYI196638</xm:sqref>
        </x14:dataValidation>
        <x14:dataValidation type="list" allowBlank="1" showInputMessage="1" showErrorMessage="1" xr:uid="{01EA6A31-410A-4964-A3CD-0A232CB5A250}">
          <x14:formula1>
            <xm:f>項目!C17:$VHW$196609</xm:f>
          </x14:formula1>
          <xm:sqref>VIE196615:VIE196638</xm:sqref>
        </x14:dataValidation>
        <x14:dataValidation type="list" allowBlank="1" showInputMessage="1" showErrorMessage="1" xr:uid="{57B46FE1-647B-4285-9F78-CED004F3763D}">
          <x14:formula1>
            <xm:f>項目!C17:$VRS$196609</xm:f>
          </x14:formula1>
          <xm:sqref>VSA196615:VSA196638</xm:sqref>
        </x14:dataValidation>
        <x14:dataValidation type="list" allowBlank="1" showInputMessage="1" showErrorMessage="1" xr:uid="{667418C6-B5B9-4704-816C-2B5F2FFE5F99}">
          <x14:formula1>
            <xm:f>項目!C17:$WBO$196609</xm:f>
          </x14:formula1>
          <xm:sqref>WBW196615:WBW196638</xm:sqref>
        </x14:dataValidation>
        <x14:dataValidation type="list" allowBlank="1" showInputMessage="1" showErrorMessage="1" xr:uid="{BDA09FC6-7E36-4267-881E-E66F5B2416D1}">
          <x14:formula1>
            <xm:f>項目!C17:$WLK$196609</xm:f>
          </x14:formula1>
          <xm:sqref>WLS196615:WLS196638</xm:sqref>
        </x14:dataValidation>
        <x14:dataValidation type="list" allowBlank="1" showInputMessage="1" showErrorMessage="1" xr:uid="{748E886F-5BCD-4EC5-BDB8-ACD276642445}">
          <x14:formula1>
            <xm:f>項目!C17:$WVG$196609</xm:f>
          </x14:formula1>
          <xm:sqref>WVO196615:WVO196638</xm:sqref>
        </x14:dataValidation>
        <x14:dataValidation type="list" allowBlank="1" showInputMessage="1" showErrorMessage="1" xr:uid="{920D88E6-3454-4BB6-90ED-928FCEB7EBE6}">
          <x14:formula1>
            <xm:f>項目!C17:$IU$262145</xm:f>
          </x14:formula1>
          <xm:sqref>JC262151:JC262174</xm:sqref>
        </x14:dataValidation>
        <x14:dataValidation type="list" allowBlank="1" showInputMessage="1" showErrorMessage="1" xr:uid="{FA62D557-A53E-4973-959A-A7F4DF6939A9}">
          <x14:formula1>
            <xm:f>項目!C17:$SQ$262145</xm:f>
          </x14:formula1>
          <xm:sqref>SY262151:SY262174</xm:sqref>
        </x14:dataValidation>
        <x14:dataValidation type="list" allowBlank="1" showInputMessage="1" showErrorMessage="1" xr:uid="{8AFE27FF-E8F4-4308-BC4D-FCECB683E4E6}">
          <x14:formula1>
            <xm:f>項目!C17:$ACM$262145</xm:f>
          </x14:formula1>
          <xm:sqref>ACU262151:ACU262174</xm:sqref>
        </x14:dataValidation>
        <x14:dataValidation type="list" allowBlank="1" showInputMessage="1" showErrorMessage="1" xr:uid="{428CAEDF-F8D0-4F8C-A688-6E49F678BBAB}">
          <x14:formula1>
            <xm:f>項目!C17:$AMI$262145</xm:f>
          </x14:formula1>
          <xm:sqref>AMQ262151:AMQ262174</xm:sqref>
        </x14:dataValidation>
        <x14:dataValidation type="list" allowBlank="1" showInputMessage="1" showErrorMessage="1" xr:uid="{45009841-194E-47BF-9D23-7698078EDCF9}">
          <x14:formula1>
            <xm:f>項目!C17:$AWE$262145</xm:f>
          </x14:formula1>
          <xm:sqref>AWM262151:AWM262174</xm:sqref>
        </x14:dataValidation>
        <x14:dataValidation type="list" allowBlank="1" showInputMessage="1" showErrorMessage="1" xr:uid="{6D77A5EA-9031-4247-B98E-074A29C52306}">
          <x14:formula1>
            <xm:f>項目!C17:$BGA$262145</xm:f>
          </x14:formula1>
          <xm:sqref>BGI262151:BGI262174</xm:sqref>
        </x14:dataValidation>
        <x14:dataValidation type="list" allowBlank="1" showInputMessage="1" showErrorMessage="1" xr:uid="{30F924D1-AD44-4AD6-948C-142669B07A57}">
          <x14:formula1>
            <xm:f>項目!C17:$BPW$262145</xm:f>
          </x14:formula1>
          <xm:sqref>BQE262151:BQE262174</xm:sqref>
        </x14:dataValidation>
        <x14:dataValidation type="list" allowBlank="1" showInputMessage="1" showErrorMessage="1" xr:uid="{03ABFC14-BCF9-41F3-AD21-583A77CD1000}">
          <x14:formula1>
            <xm:f>項目!C17:$BZS$262145</xm:f>
          </x14:formula1>
          <xm:sqref>CAA262151:CAA262174</xm:sqref>
        </x14:dataValidation>
        <x14:dataValidation type="list" allowBlank="1" showInputMessage="1" showErrorMessage="1" xr:uid="{D84F9008-7E73-452A-8DCF-18E0C208E577}">
          <x14:formula1>
            <xm:f>項目!C17:$CJO$262145</xm:f>
          </x14:formula1>
          <xm:sqref>CJW262151:CJW262174</xm:sqref>
        </x14:dataValidation>
        <x14:dataValidation type="list" allowBlank="1" showInputMessage="1" showErrorMessage="1" xr:uid="{54C5158F-760D-4243-B3E4-76D666266140}">
          <x14:formula1>
            <xm:f>項目!C17:$CTK$262145</xm:f>
          </x14:formula1>
          <xm:sqref>CTS262151:CTS262174</xm:sqref>
        </x14:dataValidation>
        <x14:dataValidation type="list" allowBlank="1" showInputMessage="1" showErrorMessage="1" xr:uid="{E7B23B18-2BB0-4F16-A008-72E3ED2E1F31}">
          <x14:formula1>
            <xm:f>項目!C17:$DDG$262145</xm:f>
          </x14:formula1>
          <xm:sqref>DDO262151:DDO262174</xm:sqref>
        </x14:dataValidation>
        <x14:dataValidation type="list" allowBlank="1" showInputMessage="1" showErrorMessage="1" xr:uid="{9786C360-4D1A-47F6-8870-4D55C81A637A}">
          <x14:formula1>
            <xm:f>項目!C17:$DNC$262145</xm:f>
          </x14:formula1>
          <xm:sqref>DNK262151:DNK262174</xm:sqref>
        </x14:dataValidation>
        <x14:dataValidation type="list" allowBlank="1" showInputMessage="1" showErrorMessage="1" xr:uid="{1FA58098-ADD1-46C9-AF03-29521BDF3BC6}">
          <x14:formula1>
            <xm:f>項目!C17:$DWY$262145</xm:f>
          </x14:formula1>
          <xm:sqref>DXG262151:DXG262174</xm:sqref>
        </x14:dataValidation>
        <x14:dataValidation type="list" allowBlank="1" showInputMessage="1" showErrorMessage="1" xr:uid="{C6ACADF5-EBE9-4EE4-87B4-689578AE5145}">
          <x14:formula1>
            <xm:f>項目!C17:$EGU$262145</xm:f>
          </x14:formula1>
          <xm:sqref>EHC262151:EHC262174</xm:sqref>
        </x14:dataValidation>
        <x14:dataValidation type="list" allowBlank="1" showInputMessage="1" showErrorMessage="1" xr:uid="{C6A6616E-9581-42F2-8072-F92B33C75980}">
          <x14:formula1>
            <xm:f>項目!C17:$EQQ$262145</xm:f>
          </x14:formula1>
          <xm:sqref>EQY262151:EQY262174</xm:sqref>
        </x14:dataValidation>
        <x14:dataValidation type="list" allowBlank="1" showInputMessage="1" showErrorMessage="1" xr:uid="{8C31A8F9-0D78-433E-9946-E84560295DB8}">
          <x14:formula1>
            <xm:f>項目!C17:$FAM$262145</xm:f>
          </x14:formula1>
          <xm:sqref>FAU262151:FAU262174</xm:sqref>
        </x14:dataValidation>
        <x14:dataValidation type="list" allowBlank="1" showInputMessage="1" showErrorMessage="1" xr:uid="{7D558D21-9BCA-4A8A-B2DE-E8CBB8D76A6B}">
          <x14:formula1>
            <xm:f>項目!C17:$FKI$262145</xm:f>
          </x14:formula1>
          <xm:sqref>FKQ262151:FKQ262174</xm:sqref>
        </x14:dataValidation>
        <x14:dataValidation type="list" allowBlank="1" showInputMessage="1" showErrorMessage="1" xr:uid="{05715B45-2B30-4C7B-9FC8-2F70289FC3A3}">
          <x14:formula1>
            <xm:f>項目!C17:$FUE$262145</xm:f>
          </x14:formula1>
          <xm:sqref>FUM262151:FUM262174</xm:sqref>
        </x14:dataValidation>
        <x14:dataValidation type="list" allowBlank="1" showInputMessage="1" showErrorMessage="1" xr:uid="{CAC17DFA-EF18-433B-B287-587F881EA0AF}">
          <x14:formula1>
            <xm:f>項目!C17:$GEA$262145</xm:f>
          </x14:formula1>
          <xm:sqref>GEI262151:GEI262174</xm:sqref>
        </x14:dataValidation>
        <x14:dataValidation type="list" allowBlank="1" showInputMessage="1" showErrorMessage="1" xr:uid="{F5A82EE0-0AD6-4F40-B282-324EE6868D29}">
          <x14:formula1>
            <xm:f>項目!C17:$GNW$262145</xm:f>
          </x14:formula1>
          <xm:sqref>GOE262151:GOE262174</xm:sqref>
        </x14:dataValidation>
        <x14:dataValidation type="list" allowBlank="1" showInputMessage="1" showErrorMessage="1" xr:uid="{10C3CE83-4DDD-414C-8089-D53E7B89F7B2}">
          <x14:formula1>
            <xm:f>項目!C17:$GXS$262145</xm:f>
          </x14:formula1>
          <xm:sqref>GYA262151:GYA262174</xm:sqref>
        </x14:dataValidation>
        <x14:dataValidation type="list" allowBlank="1" showInputMessage="1" showErrorMessage="1" xr:uid="{0F0C6625-C7EF-4094-B422-B861B601C132}">
          <x14:formula1>
            <xm:f>項目!C17:$HHO$262145</xm:f>
          </x14:formula1>
          <xm:sqref>HHW262151:HHW262174</xm:sqref>
        </x14:dataValidation>
        <x14:dataValidation type="list" allowBlank="1" showInputMessage="1" showErrorMessage="1" xr:uid="{91DC9259-3E21-4B92-8316-B62CED468726}">
          <x14:formula1>
            <xm:f>項目!C17:$HRK$262145</xm:f>
          </x14:formula1>
          <xm:sqref>HRS262151:HRS262174</xm:sqref>
        </x14:dataValidation>
        <x14:dataValidation type="list" allowBlank="1" showInputMessage="1" showErrorMessage="1" xr:uid="{AAEDA6AC-97C3-4885-A6C1-CA5241236B03}">
          <x14:formula1>
            <xm:f>項目!C17:$IBG$262145</xm:f>
          </x14:formula1>
          <xm:sqref>IBO262151:IBO262174</xm:sqref>
        </x14:dataValidation>
        <x14:dataValidation type="list" allowBlank="1" showInputMessage="1" showErrorMessage="1" xr:uid="{94D0453E-7226-452B-8A9B-A3FE68D3BF86}">
          <x14:formula1>
            <xm:f>項目!C17:$ILC$262145</xm:f>
          </x14:formula1>
          <xm:sqref>ILK262151:ILK262174</xm:sqref>
        </x14:dataValidation>
        <x14:dataValidation type="list" allowBlank="1" showInputMessage="1" showErrorMessage="1" xr:uid="{29F51A9A-5BCC-4588-AB65-ED8ED3759844}">
          <x14:formula1>
            <xm:f>項目!C17:$IUY$262145</xm:f>
          </x14:formula1>
          <xm:sqref>IVG262151:IVG262174</xm:sqref>
        </x14:dataValidation>
        <x14:dataValidation type="list" allowBlank="1" showInputMessage="1" showErrorMessage="1" xr:uid="{47931FCB-F96A-4B2E-A92E-764D62930106}">
          <x14:formula1>
            <xm:f>項目!C17:$JEU$262145</xm:f>
          </x14:formula1>
          <xm:sqref>JFC262151:JFC262174</xm:sqref>
        </x14:dataValidation>
        <x14:dataValidation type="list" allowBlank="1" showInputMessage="1" showErrorMessage="1" xr:uid="{0B9302BA-5C03-4370-8D3A-1038661CE330}">
          <x14:formula1>
            <xm:f>項目!C17:$JOQ$262145</xm:f>
          </x14:formula1>
          <xm:sqref>JOY262151:JOY262174</xm:sqref>
        </x14:dataValidation>
        <x14:dataValidation type="list" allowBlank="1" showInputMessage="1" showErrorMessage="1" xr:uid="{6D027127-2D03-490E-9889-BB26BC2E95B9}">
          <x14:formula1>
            <xm:f>項目!C17:$JYM$262145</xm:f>
          </x14:formula1>
          <xm:sqref>JYU262151:JYU262174</xm:sqref>
        </x14:dataValidation>
        <x14:dataValidation type="list" allowBlank="1" showInputMessage="1" showErrorMessage="1" xr:uid="{88DB41C6-3406-4281-9EA2-B5BEFBF25E45}">
          <x14:formula1>
            <xm:f>項目!C17:$KII$262145</xm:f>
          </x14:formula1>
          <xm:sqref>KIQ262151:KIQ262174</xm:sqref>
        </x14:dataValidation>
        <x14:dataValidation type="list" allowBlank="1" showInputMessage="1" showErrorMessage="1" xr:uid="{E33AC9CA-9CFF-41D7-B24D-C80AFB652095}">
          <x14:formula1>
            <xm:f>項目!C17:$KSE$262145</xm:f>
          </x14:formula1>
          <xm:sqref>KSM262151:KSM262174</xm:sqref>
        </x14:dataValidation>
        <x14:dataValidation type="list" allowBlank="1" showInputMessage="1" showErrorMessage="1" xr:uid="{5B4EC9D9-8A43-464D-86DD-AEA312150654}">
          <x14:formula1>
            <xm:f>項目!C17:$LCA$262145</xm:f>
          </x14:formula1>
          <xm:sqref>LCI262151:LCI262174</xm:sqref>
        </x14:dataValidation>
        <x14:dataValidation type="list" allowBlank="1" showInputMessage="1" showErrorMessage="1" xr:uid="{EDE14E56-692F-4CD3-82ED-7B0EF03ECB4B}">
          <x14:formula1>
            <xm:f>項目!C17:$LLW$262145</xm:f>
          </x14:formula1>
          <xm:sqref>LME262151:LME262174</xm:sqref>
        </x14:dataValidation>
        <x14:dataValidation type="list" allowBlank="1" showInputMessage="1" showErrorMessage="1" xr:uid="{0B13AEC9-323E-4B99-90F4-CC38CEDC6273}">
          <x14:formula1>
            <xm:f>項目!C17:$LVS$262145</xm:f>
          </x14:formula1>
          <xm:sqref>LWA262151:LWA262174</xm:sqref>
        </x14:dataValidation>
        <x14:dataValidation type="list" allowBlank="1" showInputMessage="1" showErrorMessage="1" xr:uid="{07D8CFF3-CBB5-4F28-A6D3-547793677877}">
          <x14:formula1>
            <xm:f>項目!C17:$MFO$262145</xm:f>
          </x14:formula1>
          <xm:sqref>MFW262151:MFW262174</xm:sqref>
        </x14:dataValidation>
        <x14:dataValidation type="list" allowBlank="1" showInputMessage="1" showErrorMessage="1" xr:uid="{DDE4F411-5835-4DE7-A7DC-9988A07E7418}">
          <x14:formula1>
            <xm:f>項目!C17:$MPK$262145</xm:f>
          </x14:formula1>
          <xm:sqref>MPS262151:MPS262174</xm:sqref>
        </x14:dataValidation>
        <x14:dataValidation type="list" allowBlank="1" showInputMessage="1" showErrorMessage="1" xr:uid="{79F01CC4-B0BE-4908-9AFA-59C8980B7B04}">
          <x14:formula1>
            <xm:f>項目!C17:$MZG$262145</xm:f>
          </x14:formula1>
          <xm:sqref>MZO262151:MZO262174</xm:sqref>
        </x14:dataValidation>
        <x14:dataValidation type="list" allowBlank="1" showInputMessage="1" showErrorMessage="1" xr:uid="{17044028-D1DE-462F-80E5-054552BE0E61}">
          <x14:formula1>
            <xm:f>項目!C17:$NJC$262145</xm:f>
          </x14:formula1>
          <xm:sqref>NJK262151:NJK262174</xm:sqref>
        </x14:dataValidation>
        <x14:dataValidation type="list" allowBlank="1" showInputMessage="1" showErrorMessage="1" xr:uid="{AE7116F1-8EB1-4344-83EB-0D239D0E078D}">
          <x14:formula1>
            <xm:f>項目!C17:$NSY$262145</xm:f>
          </x14:formula1>
          <xm:sqref>NTG262151:NTG262174</xm:sqref>
        </x14:dataValidation>
        <x14:dataValidation type="list" allowBlank="1" showInputMessage="1" showErrorMessage="1" xr:uid="{DD19459D-9E3A-436C-A206-A5B90D9A6A77}">
          <x14:formula1>
            <xm:f>項目!C17:$OCU$262145</xm:f>
          </x14:formula1>
          <xm:sqref>ODC262151:ODC262174</xm:sqref>
        </x14:dataValidation>
        <x14:dataValidation type="list" allowBlank="1" showInputMessage="1" showErrorMessage="1" xr:uid="{EA19AAA0-69D9-48FA-868E-46DA45C53259}">
          <x14:formula1>
            <xm:f>項目!C17:$OMQ$262145</xm:f>
          </x14:formula1>
          <xm:sqref>OMY262151:OMY262174</xm:sqref>
        </x14:dataValidation>
        <x14:dataValidation type="list" allowBlank="1" showInputMessage="1" showErrorMessage="1" xr:uid="{56C0728A-8A87-4E54-AD0E-6240D3F0F145}">
          <x14:formula1>
            <xm:f>項目!C17:$OWM$262145</xm:f>
          </x14:formula1>
          <xm:sqref>OWU262151:OWU262174</xm:sqref>
        </x14:dataValidation>
        <x14:dataValidation type="list" allowBlank="1" showInputMessage="1" showErrorMessage="1" xr:uid="{536F01B0-940B-46FB-BC21-75492900988E}">
          <x14:formula1>
            <xm:f>項目!C17:$PGI$262145</xm:f>
          </x14:formula1>
          <xm:sqref>PGQ262151:PGQ262174</xm:sqref>
        </x14:dataValidation>
        <x14:dataValidation type="list" allowBlank="1" showInputMessage="1" showErrorMessage="1" xr:uid="{DD6E7425-3284-4E3B-BA69-A8F28F54F9B3}">
          <x14:formula1>
            <xm:f>項目!C17:$PQE$262145</xm:f>
          </x14:formula1>
          <xm:sqref>PQM262151:PQM262174</xm:sqref>
        </x14:dataValidation>
        <x14:dataValidation type="list" allowBlank="1" showInputMessage="1" showErrorMessage="1" xr:uid="{D4D9C195-0D07-405C-9E43-BD52E1305850}">
          <x14:formula1>
            <xm:f>項目!C17:$QAA$262145</xm:f>
          </x14:formula1>
          <xm:sqref>QAI262151:QAI262174</xm:sqref>
        </x14:dataValidation>
        <x14:dataValidation type="list" allowBlank="1" showInputMessage="1" showErrorMessage="1" xr:uid="{1EFDD208-0E90-437A-ACE3-08E4CF8D09E2}">
          <x14:formula1>
            <xm:f>項目!C17:$QJW$262145</xm:f>
          </x14:formula1>
          <xm:sqref>QKE262151:QKE262174</xm:sqref>
        </x14:dataValidation>
        <x14:dataValidation type="list" allowBlank="1" showInputMessage="1" showErrorMessage="1" xr:uid="{17FC741E-B9BF-411A-BD76-E206C8AA0FB2}">
          <x14:formula1>
            <xm:f>項目!C17:$QTS$262145</xm:f>
          </x14:formula1>
          <xm:sqref>QUA262151:QUA262174</xm:sqref>
        </x14:dataValidation>
        <x14:dataValidation type="list" allowBlank="1" showInputMessage="1" showErrorMessage="1" xr:uid="{72769960-4BE7-423E-9055-A807DCB56428}">
          <x14:formula1>
            <xm:f>項目!C17:$RDO$262145</xm:f>
          </x14:formula1>
          <xm:sqref>RDW262151:RDW262174</xm:sqref>
        </x14:dataValidation>
        <x14:dataValidation type="list" allowBlank="1" showInputMessage="1" showErrorMessage="1" xr:uid="{9BC358AB-F0FC-464F-BB89-D1D1035CF7A2}">
          <x14:formula1>
            <xm:f>項目!C17:$RNK$262145</xm:f>
          </x14:formula1>
          <xm:sqref>RNS262151:RNS262174</xm:sqref>
        </x14:dataValidation>
        <x14:dataValidation type="list" allowBlank="1" showInputMessage="1" showErrorMessage="1" xr:uid="{0C3D3613-8EFE-4A83-BDF9-399D63BAD183}">
          <x14:formula1>
            <xm:f>項目!C17:$RXG$262145</xm:f>
          </x14:formula1>
          <xm:sqref>RXO262151:RXO262174</xm:sqref>
        </x14:dataValidation>
        <x14:dataValidation type="list" allowBlank="1" showInputMessage="1" showErrorMessage="1" xr:uid="{FD917C65-0FFE-4FDB-AEC9-394354436AA6}">
          <x14:formula1>
            <xm:f>項目!C17:$SHC$262145</xm:f>
          </x14:formula1>
          <xm:sqref>SHK262151:SHK262174</xm:sqref>
        </x14:dataValidation>
        <x14:dataValidation type="list" allowBlank="1" showInputMessage="1" showErrorMessage="1" xr:uid="{477DDFA5-D4D5-4111-B8DE-7034574E1C0B}">
          <x14:formula1>
            <xm:f>項目!C17:$SQY$262145</xm:f>
          </x14:formula1>
          <xm:sqref>SRG262151:SRG262174</xm:sqref>
        </x14:dataValidation>
        <x14:dataValidation type="list" allowBlank="1" showInputMessage="1" showErrorMessage="1" xr:uid="{4DF829C2-1888-4CE3-9124-81861CAC00CB}">
          <x14:formula1>
            <xm:f>項目!C17:$TAU$262145</xm:f>
          </x14:formula1>
          <xm:sqref>TBC262151:TBC262174</xm:sqref>
        </x14:dataValidation>
        <x14:dataValidation type="list" allowBlank="1" showInputMessage="1" showErrorMessage="1" xr:uid="{46079A21-5984-4306-9908-EAAB35CF0B77}">
          <x14:formula1>
            <xm:f>項目!C17:$TKQ$262145</xm:f>
          </x14:formula1>
          <xm:sqref>TKY262151:TKY262174</xm:sqref>
        </x14:dataValidation>
        <x14:dataValidation type="list" allowBlank="1" showInputMessage="1" showErrorMessage="1" xr:uid="{ADE0C348-FEF3-462A-90CE-FCFB50110C50}">
          <x14:formula1>
            <xm:f>項目!C17:$TUM$262145</xm:f>
          </x14:formula1>
          <xm:sqref>TUU262151:TUU262174</xm:sqref>
        </x14:dataValidation>
        <x14:dataValidation type="list" allowBlank="1" showInputMessage="1" showErrorMessage="1" xr:uid="{0EC8F9C3-F6B2-481D-9BBA-00CF9D3D22B4}">
          <x14:formula1>
            <xm:f>項目!C17:$UEI$262145</xm:f>
          </x14:formula1>
          <xm:sqref>UEQ262151:UEQ262174</xm:sqref>
        </x14:dataValidation>
        <x14:dataValidation type="list" allowBlank="1" showInputMessage="1" showErrorMessage="1" xr:uid="{77DD10E1-7252-4B22-A8E3-A3A75596307C}">
          <x14:formula1>
            <xm:f>項目!C17:$UOE$262145</xm:f>
          </x14:formula1>
          <xm:sqref>UOM262151:UOM262174</xm:sqref>
        </x14:dataValidation>
        <x14:dataValidation type="list" allowBlank="1" showInputMessage="1" showErrorMessage="1" xr:uid="{7407B0F4-7AC6-489C-917D-9AE1D5114BF6}">
          <x14:formula1>
            <xm:f>項目!C17:$UYA$262145</xm:f>
          </x14:formula1>
          <xm:sqref>UYI262151:UYI262174</xm:sqref>
        </x14:dataValidation>
        <x14:dataValidation type="list" allowBlank="1" showInputMessage="1" showErrorMessage="1" xr:uid="{9D981FED-F34F-4B98-BC2F-A6CB9EE1F3BD}">
          <x14:formula1>
            <xm:f>項目!C17:$VHW$262145</xm:f>
          </x14:formula1>
          <xm:sqref>VIE262151:VIE262174</xm:sqref>
        </x14:dataValidation>
        <x14:dataValidation type="list" allowBlank="1" showInputMessage="1" showErrorMessage="1" xr:uid="{2DF051E6-7584-4FC9-BC3A-C0175DB3E8F1}">
          <x14:formula1>
            <xm:f>項目!C17:$VRS$262145</xm:f>
          </x14:formula1>
          <xm:sqref>VSA262151:VSA262174</xm:sqref>
        </x14:dataValidation>
        <x14:dataValidation type="list" allowBlank="1" showInputMessage="1" showErrorMessage="1" xr:uid="{104FD88F-FE68-4DC8-B348-5F9FF7CB54AD}">
          <x14:formula1>
            <xm:f>項目!C17:$WBO$262145</xm:f>
          </x14:formula1>
          <xm:sqref>WBW262151:WBW262174</xm:sqref>
        </x14:dataValidation>
        <x14:dataValidation type="list" allowBlank="1" showInputMessage="1" showErrorMessage="1" xr:uid="{01A813A4-0460-42F6-8507-48C410D3A92C}">
          <x14:formula1>
            <xm:f>項目!C17:$WLK$262145</xm:f>
          </x14:formula1>
          <xm:sqref>WLS262151:WLS262174</xm:sqref>
        </x14:dataValidation>
        <x14:dataValidation type="list" allowBlank="1" showInputMessage="1" showErrorMessage="1" xr:uid="{37691556-431E-43D5-98C1-701FC6F44F5A}">
          <x14:formula1>
            <xm:f>項目!C17:$WVG$262145</xm:f>
          </x14:formula1>
          <xm:sqref>WVO262151:WVO262174</xm:sqref>
        </x14:dataValidation>
        <x14:dataValidation type="list" allowBlank="1" showInputMessage="1" showErrorMessage="1" xr:uid="{F97C999C-8838-4EE6-85A4-20EE216E4DAB}">
          <x14:formula1>
            <xm:f>項目!C17:$IU$327681</xm:f>
          </x14:formula1>
          <xm:sqref>JC327687:JC327710</xm:sqref>
        </x14:dataValidation>
        <x14:dataValidation type="list" allowBlank="1" showInputMessage="1" showErrorMessage="1" xr:uid="{ABC44D05-D11D-4EA5-91CF-CCA361A2930D}">
          <x14:formula1>
            <xm:f>項目!C17:$SQ$327681</xm:f>
          </x14:formula1>
          <xm:sqref>SY327687:SY327710</xm:sqref>
        </x14:dataValidation>
        <x14:dataValidation type="list" allowBlank="1" showInputMessage="1" showErrorMessage="1" xr:uid="{70790385-4594-47C2-BA98-7CA6B8E4262E}">
          <x14:formula1>
            <xm:f>項目!C17:$ACM$327681</xm:f>
          </x14:formula1>
          <xm:sqref>ACU327687:ACU327710</xm:sqref>
        </x14:dataValidation>
        <x14:dataValidation type="list" allowBlank="1" showInputMessage="1" showErrorMessage="1" xr:uid="{342488A6-F40D-439B-BE53-EFEA4BE82EF6}">
          <x14:formula1>
            <xm:f>項目!C17:$AMI$327681</xm:f>
          </x14:formula1>
          <xm:sqref>AMQ327687:AMQ327710</xm:sqref>
        </x14:dataValidation>
        <x14:dataValidation type="list" allowBlank="1" showInputMessage="1" showErrorMessage="1" xr:uid="{BDFC55F0-0681-4C5A-A8F2-E02E4E0023D2}">
          <x14:formula1>
            <xm:f>項目!C17:$AWE$327681</xm:f>
          </x14:formula1>
          <xm:sqref>AWM327687:AWM327710</xm:sqref>
        </x14:dataValidation>
        <x14:dataValidation type="list" allowBlank="1" showInputMessage="1" showErrorMessage="1" xr:uid="{A46A5DD2-CE43-4BDC-9DBE-B835A525F14A}">
          <x14:formula1>
            <xm:f>項目!C17:$BGA$327681</xm:f>
          </x14:formula1>
          <xm:sqref>BGI327687:BGI327710</xm:sqref>
        </x14:dataValidation>
        <x14:dataValidation type="list" allowBlank="1" showInputMessage="1" showErrorMessage="1" xr:uid="{2A39E974-0A29-4BF0-BEC7-C9DF85E8A162}">
          <x14:formula1>
            <xm:f>項目!C17:$BPW$327681</xm:f>
          </x14:formula1>
          <xm:sqref>BQE327687:BQE327710</xm:sqref>
        </x14:dataValidation>
        <x14:dataValidation type="list" allowBlank="1" showInputMessage="1" showErrorMessage="1" xr:uid="{A4196EAF-D330-414E-88EB-0980170048C3}">
          <x14:formula1>
            <xm:f>項目!C17:$BZS$327681</xm:f>
          </x14:formula1>
          <xm:sqref>CAA327687:CAA327710</xm:sqref>
        </x14:dataValidation>
        <x14:dataValidation type="list" allowBlank="1" showInputMessage="1" showErrorMessage="1" xr:uid="{1A8CE0BE-E784-4437-849E-DE08B28B5A4B}">
          <x14:formula1>
            <xm:f>項目!C17:$CJO$327681</xm:f>
          </x14:formula1>
          <xm:sqref>CJW327687:CJW327710</xm:sqref>
        </x14:dataValidation>
        <x14:dataValidation type="list" allowBlank="1" showInputMessage="1" showErrorMessage="1" xr:uid="{A24B42FD-9B1C-4A8C-9B31-A27966021E19}">
          <x14:formula1>
            <xm:f>項目!C17:$CTK$327681</xm:f>
          </x14:formula1>
          <xm:sqref>CTS327687:CTS327710</xm:sqref>
        </x14:dataValidation>
        <x14:dataValidation type="list" allowBlank="1" showInputMessage="1" showErrorMessage="1" xr:uid="{A2C10FD3-59B7-4BA4-8D53-C8EC6FF3F1C7}">
          <x14:formula1>
            <xm:f>項目!C17:$DDG$327681</xm:f>
          </x14:formula1>
          <xm:sqref>DDO327687:DDO327710</xm:sqref>
        </x14:dataValidation>
        <x14:dataValidation type="list" allowBlank="1" showInputMessage="1" showErrorMessage="1" xr:uid="{16A65E93-221C-44CC-BF30-25B0941046CB}">
          <x14:formula1>
            <xm:f>項目!C17:$DNC$327681</xm:f>
          </x14:formula1>
          <xm:sqref>DNK327687:DNK327710</xm:sqref>
        </x14:dataValidation>
        <x14:dataValidation type="list" allowBlank="1" showInputMessage="1" showErrorMessage="1" xr:uid="{EBBA4A2C-6C4D-4890-9809-F2AC9D52E29D}">
          <x14:formula1>
            <xm:f>項目!C17:$DWY$327681</xm:f>
          </x14:formula1>
          <xm:sqref>DXG327687:DXG327710</xm:sqref>
        </x14:dataValidation>
        <x14:dataValidation type="list" allowBlank="1" showInputMessage="1" showErrorMessage="1" xr:uid="{EB7D1947-0012-48F9-AFE8-2C459C8A6694}">
          <x14:formula1>
            <xm:f>項目!C17:$EGU$327681</xm:f>
          </x14:formula1>
          <xm:sqref>EHC327687:EHC327710</xm:sqref>
        </x14:dataValidation>
        <x14:dataValidation type="list" allowBlank="1" showInputMessage="1" showErrorMessage="1" xr:uid="{573238B0-32F6-4A72-BB9A-261876E9D3CD}">
          <x14:formula1>
            <xm:f>項目!C17:$EQQ$327681</xm:f>
          </x14:formula1>
          <xm:sqref>EQY327687:EQY327710</xm:sqref>
        </x14:dataValidation>
        <x14:dataValidation type="list" allowBlank="1" showInputMessage="1" showErrorMessage="1" xr:uid="{0A18C344-F455-47A8-A2B8-DF31B8557867}">
          <x14:formula1>
            <xm:f>項目!C17:$FAM$327681</xm:f>
          </x14:formula1>
          <xm:sqref>FAU327687:FAU327710</xm:sqref>
        </x14:dataValidation>
        <x14:dataValidation type="list" allowBlank="1" showInputMessage="1" showErrorMessage="1" xr:uid="{D7992DD1-2E2F-44AD-B142-275B47AFDFF0}">
          <x14:formula1>
            <xm:f>項目!C17:$FKI$327681</xm:f>
          </x14:formula1>
          <xm:sqref>FKQ327687:FKQ327710</xm:sqref>
        </x14:dataValidation>
        <x14:dataValidation type="list" allowBlank="1" showInputMessage="1" showErrorMessage="1" xr:uid="{1FEC5DAD-F623-4F29-8876-B7D48BF6F223}">
          <x14:formula1>
            <xm:f>項目!C17:$FUE$327681</xm:f>
          </x14:formula1>
          <xm:sqref>FUM327687:FUM327710</xm:sqref>
        </x14:dataValidation>
        <x14:dataValidation type="list" allowBlank="1" showInputMessage="1" showErrorMessage="1" xr:uid="{26AA9BAE-EC75-4615-ADF1-787564E714D5}">
          <x14:formula1>
            <xm:f>項目!C17:$GEA$327681</xm:f>
          </x14:formula1>
          <xm:sqref>GEI327687:GEI327710</xm:sqref>
        </x14:dataValidation>
        <x14:dataValidation type="list" allowBlank="1" showInputMessage="1" showErrorMessage="1" xr:uid="{78009680-26AE-4D25-8630-BAD73A8ED04A}">
          <x14:formula1>
            <xm:f>項目!C17:$GNW$327681</xm:f>
          </x14:formula1>
          <xm:sqref>GOE327687:GOE327710</xm:sqref>
        </x14:dataValidation>
        <x14:dataValidation type="list" allowBlank="1" showInputMessage="1" showErrorMessage="1" xr:uid="{07B6A8B6-C60F-46AE-83DA-03A779E66D16}">
          <x14:formula1>
            <xm:f>項目!C17:$GXS$327681</xm:f>
          </x14:formula1>
          <xm:sqref>GYA327687:GYA327710</xm:sqref>
        </x14:dataValidation>
        <x14:dataValidation type="list" allowBlank="1" showInputMessage="1" showErrorMessage="1" xr:uid="{692E7799-9F5A-4B67-9ACA-F8AF74C032C7}">
          <x14:formula1>
            <xm:f>項目!C17:$HHO$327681</xm:f>
          </x14:formula1>
          <xm:sqref>HHW327687:HHW327710</xm:sqref>
        </x14:dataValidation>
        <x14:dataValidation type="list" allowBlank="1" showInputMessage="1" showErrorMessage="1" xr:uid="{A008834E-A673-4F28-9603-7933E9BB1BE1}">
          <x14:formula1>
            <xm:f>項目!C17:$HRK$327681</xm:f>
          </x14:formula1>
          <xm:sqref>HRS327687:HRS327710</xm:sqref>
        </x14:dataValidation>
        <x14:dataValidation type="list" allowBlank="1" showInputMessage="1" showErrorMessage="1" xr:uid="{C31D68C4-8047-4E25-98F5-CF8BB3870B51}">
          <x14:formula1>
            <xm:f>項目!C17:$IBG$327681</xm:f>
          </x14:formula1>
          <xm:sqref>IBO327687:IBO327710</xm:sqref>
        </x14:dataValidation>
        <x14:dataValidation type="list" allowBlank="1" showInputMessage="1" showErrorMessage="1" xr:uid="{0B1EF29A-2987-4CF7-AADA-6BE2A9E1805A}">
          <x14:formula1>
            <xm:f>項目!C17:$ILC$327681</xm:f>
          </x14:formula1>
          <xm:sqref>ILK327687:ILK327710</xm:sqref>
        </x14:dataValidation>
        <x14:dataValidation type="list" allowBlank="1" showInputMessage="1" showErrorMessage="1" xr:uid="{B8CE5981-3740-41D5-9255-CB4777D4CC66}">
          <x14:formula1>
            <xm:f>項目!C17:$IUY$327681</xm:f>
          </x14:formula1>
          <xm:sqref>IVG327687:IVG327710</xm:sqref>
        </x14:dataValidation>
        <x14:dataValidation type="list" allowBlank="1" showInputMessage="1" showErrorMessage="1" xr:uid="{5A59F826-178B-4BAC-8FFF-F850D3A7591E}">
          <x14:formula1>
            <xm:f>項目!C17:$JEU$327681</xm:f>
          </x14:formula1>
          <xm:sqref>JFC327687:JFC327710</xm:sqref>
        </x14:dataValidation>
        <x14:dataValidation type="list" allowBlank="1" showInputMessage="1" showErrorMessage="1" xr:uid="{B86FE656-81FD-45CB-87F0-4CE3AB5B1D9A}">
          <x14:formula1>
            <xm:f>項目!C17:$JOQ$327681</xm:f>
          </x14:formula1>
          <xm:sqref>JOY327687:JOY327710</xm:sqref>
        </x14:dataValidation>
        <x14:dataValidation type="list" allowBlank="1" showInputMessage="1" showErrorMessage="1" xr:uid="{B4CB1A91-FBFB-41F4-8A0F-E42A2B58D433}">
          <x14:formula1>
            <xm:f>項目!C17:$JYM$327681</xm:f>
          </x14:formula1>
          <xm:sqref>JYU327687:JYU327710</xm:sqref>
        </x14:dataValidation>
        <x14:dataValidation type="list" allowBlank="1" showInputMessage="1" showErrorMessage="1" xr:uid="{7766F12C-0AAB-4E5C-AB07-E522D67023AF}">
          <x14:formula1>
            <xm:f>項目!C17:$KII$327681</xm:f>
          </x14:formula1>
          <xm:sqref>KIQ327687:KIQ327710</xm:sqref>
        </x14:dataValidation>
        <x14:dataValidation type="list" allowBlank="1" showInputMessage="1" showErrorMessage="1" xr:uid="{26338660-A84C-4404-B151-F063ED9C35E1}">
          <x14:formula1>
            <xm:f>項目!C17:$KSE$327681</xm:f>
          </x14:formula1>
          <xm:sqref>KSM327687:KSM327710</xm:sqref>
        </x14:dataValidation>
        <x14:dataValidation type="list" allowBlank="1" showInputMessage="1" showErrorMessage="1" xr:uid="{A8531D8C-3E5A-442B-9586-6B3FAFD514B9}">
          <x14:formula1>
            <xm:f>項目!C17:$LCA$327681</xm:f>
          </x14:formula1>
          <xm:sqref>LCI327687:LCI327710</xm:sqref>
        </x14:dataValidation>
        <x14:dataValidation type="list" allowBlank="1" showInputMessage="1" showErrorMessage="1" xr:uid="{AD325CEA-08DE-4BDC-969D-F855F81F2624}">
          <x14:formula1>
            <xm:f>項目!C17:$LLW$327681</xm:f>
          </x14:formula1>
          <xm:sqref>LME327687:LME327710</xm:sqref>
        </x14:dataValidation>
        <x14:dataValidation type="list" allowBlank="1" showInputMessage="1" showErrorMessage="1" xr:uid="{37FB1729-6F06-4E08-BA0E-850B58C35486}">
          <x14:formula1>
            <xm:f>項目!C17:$LVS$327681</xm:f>
          </x14:formula1>
          <xm:sqref>LWA327687:LWA327710</xm:sqref>
        </x14:dataValidation>
        <x14:dataValidation type="list" allowBlank="1" showInputMessage="1" showErrorMessage="1" xr:uid="{E91D385B-1972-4634-A03E-A8EDDF31BDA5}">
          <x14:formula1>
            <xm:f>項目!C17:$MFO$327681</xm:f>
          </x14:formula1>
          <xm:sqref>MFW327687:MFW327710</xm:sqref>
        </x14:dataValidation>
        <x14:dataValidation type="list" allowBlank="1" showInputMessage="1" showErrorMessage="1" xr:uid="{421E775D-4F69-47AC-9B1E-AC6EBBC288CB}">
          <x14:formula1>
            <xm:f>項目!C17:$MPK$327681</xm:f>
          </x14:formula1>
          <xm:sqref>MPS327687:MPS327710</xm:sqref>
        </x14:dataValidation>
        <x14:dataValidation type="list" allowBlank="1" showInputMessage="1" showErrorMessage="1" xr:uid="{A3CC48CD-A402-4D5E-BAE2-A9A4D1AA8137}">
          <x14:formula1>
            <xm:f>項目!C17:$MZG$327681</xm:f>
          </x14:formula1>
          <xm:sqref>MZO327687:MZO327710</xm:sqref>
        </x14:dataValidation>
        <x14:dataValidation type="list" allowBlank="1" showInputMessage="1" showErrorMessage="1" xr:uid="{CF5AA681-B3FD-452D-AA51-78C656399795}">
          <x14:formula1>
            <xm:f>項目!C17:$NJC$327681</xm:f>
          </x14:formula1>
          <xm:sqref>NJK327687:NJK327710</xm:sqref>
        </x14:dataValidation>
        <x14:dataValidation type="list" allowBlank="1" showInputMessage="1" showErrorMessage="1" xr:uid="{8D54B482-EFAF-4C82-9C0B-8BCFA6A1357D}">
          <x14:formula1>
            <xm:f>項目!C17:$NSY$327681</xm:f>
          </x14:formula1>
          <xm:sqref>NTG327687:NTG327710</xm:sqref>
        </x14:dataValidation>
        <x14:dataValidation type="list" allowBlank="1" showInputMessage="1" showErrorMessage="1" xr:uid="{BE10C827-5A51-4F50-8B2E-07A812AE5BA8}">
          <x14:formula1>
            <xm:f>項目!C17:$OCU$327681</xm:f>
          </x14:formula1>
          <xm:sqref>ODC327687:ODC327710</xm:sqref>
        </x14:dataValidation>
        <x14:dataValidation type="list" allowBlank="1" showInputMessage="1" showErrorMessage="1" xr:uid="{58C953DF-9C6E-48A1-9281-260293307082}">
          <x14:formula1>
            <xm:f>項目!C17:$OMQ$327681</xm:f>
          </x14:formula1>
          <xm:sqref>OMY327687:OMY327710</xm:sqref>
        </x14:dataValidation>
        <x14:dataValidation type="list" allowBlank="1" showInputMessage="1" showErrorMessage="1" xr:uid="{5CA739F1-0EEB-4B4F-BE1E-852416DDADD1}">
          <x14:formula1>
            <xm:f>項目!C17:$OWM$327681</xm:f>
          </x14:formula1>
          <xm:sqref>OWU327687:OWU327710</xm:sqref>
        </x14:dataValidation>
        <x14:dataValidation type="list" allowBlank="1" showInputMessage="1" showErrorMessage="1" xr:uid="{A9851E0D-0414-447C-8EF7-041DCD0C9800}">
          <x14:formula1>
            <xm:f>項目!C17:$PGI$327681</xm:f>
          </x14:formula1>
          <xm:sqref>PGQ327687:PGQ327710</xm:sqref>
        </x14:dataValidation>
        <x14:dataValidation type="list" allowBlank="1" showInputMessage="1" showErrorMessage="1" xr:uid="{76592D0B-D3C6-4254-9436-96257C90BE22}">
          <x14:formula1>
            <xm:f>項目!C17:$PQE$327681</xm:f>
          </x14:formula1>
          <xm:sqref>PQM327687:PQM327710</xm:sqref>
        </x14:dataValidation>
        <x14:dataValidation type="list" allowBlank="1" showInputMessage="1" showErrorMessage="1" xr:uid="{488AD556-52B4-4B11-95D9-81B612878A9D}">
          <x14:formula1>
            <xm:f>項目!C17:$QAA$327681</xm:f>
          </x14:formula1>
          <xm:sqref>QAI327687:QAI327710</xm:sqref>
        </x14:dataValidation>
        <x14:dataValidation type="list" allowBlank="1" showInputMessage="1" showErrorMessage="1" xr:uid="{9E944D27-B057-4F73-9BDC-FD23AC60D529}">
          <x14:formula1>
            <xm:f>項目!C17:$QJW$327681</xm:f>
          </x14:formula1>
          <xm:sqref>QKE327687:QKE327710</xm:sqref>
        </x14:dataValidation>
        <x14:dataValidation type="list" allowBlank="1" showInputMessage="1" showErrorMessage="1" xr:uid="{60905093-4F07-49DE-9764-334DDB2EB669}">
          <x14:formula1>
            <xm:f>項目!C17:$QTS$327681</xm:f>
          </x14:formula1>
          <xm:sqref>QUA327687:QUA327710</xm:sqref>
        </x14:dataValidation>
        <x14:dataValidation type="list" allowBlank="1" showInputMessage="1" showErrorMessage="1" xr:uid="{708AF80B-92C2-49C1-818A-7648E9ED18E2}">
          <x14:formula1>
            <xm:f>項目!C17:$RDO$327681</xm:f>
          </x14:formula1>
          <xm:sqref>RDW327687:RDW327710</xm:sqref>
        </x14:dataValidation>
        <x14:dataValidation type="list" allowBlank="1" showInputMessage="1" showErrorMessage="1" xr:uid="{100ECF2B-9EC8-4310-80CC-E49327B9D36D}">
          <x14:formula1>
            <xm:f>項目!C17:$RNK$327681</xm:f>
          </x14:formula1>
          <xm:sqref>RNS327687:RNS327710</xm:sqref>
        </x14:dataValidation>
        <x14:dataValidation type="list" allowBlank="1" showInputMessage="1" showErrorMessage="1" xr:uid="{3C2E8EA4-93FB-43A8-BDFE-9AF4CB3A538B}">
          <x14:formula1>
            <xm:f>項目!C17:$RXG$327681</xm:f>
          </x14:formula1>
          <xm:sqref>RXO327687:RXO327710</xm:sqref>
        </x14:dataValidation>
        <x14:dataValidation type="list" allowBlank="1" showInputMessage="1" showErrorMessage="1" xr:uid="{699B3BC6-1882-4D3D-83F3-AE8F63C1917A}">
          <x14:formula1>
            <xm:f>項目!C17:$SHC$327681</xm:f>
          </x14:formula1>
          <xm:sqref>SHK327687:SHK327710</xm:sqref>
        </x14:dataValidation>
        <x14:dataValidation type="list" allowBlank="1" showInputMessage="1" showErrorMessage="1" xr:uid="{AA7CE78C-7F12-421C-A985-7C1040FF0ACC}">
          <x14:formula1>
            <xm:f>項目!C17:$SQY$327681</xm:f>
          </x14:formula1>
          <xm:sqref>SRG327687:SRG327710</xm:sqref>
        </x14:dataValidation>
        <x14:dataValidation type="list" allowBlank="1" showInputMessage="1" showErrorMessage="1" xr:uid="{4E08CC9E-5AC3-4A8D-A7FA-28C134591E13}">
          <x14:formula1>
            <xm:f>項目!C17:$TAU$327681</xm:f>
          </x14:formula1>
          <xm:sqref>TBC327687:TBC327710</xm:sqref>
        </x14:dataValidation>
        <x14:dataValidation type="list" allowBlank="1" showInputMessage="1" showErrorMessage="1" xr:uid="{FB8E7C8C-D8AF-4B77-ABEB-BB69C8A6CB18}">
          <x14:formula1>
            <xm:f>項目!C17:$TKQ$327681</xm:f>
          </x14:formula1>
          <xm:sqref>TKY327687:TKY327710</xm:sqref>
        </x14:dataValidation>
        <x14:dataValidation type="list" allowBlank="1" showInputMessage="1" showErrorMessage="1" xr:uid="{D1DC868F-BDC9-4AFB-BF4F-27E6A4DDDFBA}">
          <x14:formula1>
            <xm:f>項目!C17:$TUM$327681</xm:f>
          </x14:formula1>
          <xm:sqref>TUU327687:TUU327710</xm:sqref>
        </x14:dataValidation>
        <x14:dataValidation type="list" allowBlank="1" showInputMessage="1" showErrorMessage="1" xr:uid="{94C20AC6-8BE4-4096-90A9-6DCF69EA2358}">
          <x14:formula1>
            <xm:f>項目!C17:$UEI$327681</xm:f>
          </x14:formula1>
          <xm:sqref>UEQ327687:UEQ327710</xm:sqref>
        </x14:dataValidation>
        <x14:dataValidation type="list" allowBlank="1" showInputMessage="1" showErrorMessage="1" xr:uid="{A202A7E7-017A-4DAF-8F71-1DD673501855}">
          <x14:formula1>
            <xm:f>項目!C17:$UOE$327681</xm:f>
          </x14:formula1>
          <xm:sqref>UOM327687:UOM327710</xm:sqref>
        </x14:dataValidation>
        <x14:dataValidation type="list" allowBlank="1" showInputMessage="1" showErrorMessage="1" xr:uid="{50719058-953A-4314-9969-7C0BE0359FEC}">
          <x14:formula1>
            <xm:f>項目!C17:$UYA$327681</xm:f>
          </x14:formula1>
          <xm:sqref>UYI327687:UYI327710</xm:sqref>
        </x14:dataValidation>
        <x14:dataValidation type="list" allowBlank="1" showInputMessage="1" showErrorMessage="1" xr:uid="{58A12DF1-DEBB-418E-8B32-1B7B642BC4C6}">
          <x14:formula1>
            <xm:f>項目!C17:$VHW$327681</xm:f>
          </x14:formula1>
          <xm:sqref>VIE327687:VIE327710</xm:sqref>
        </x14:dataValidation>
        <x14:dataValidation type="list" allowBlank="1" showInputMessage="1" showErrorMessage="1" xr:uid="{0717FA90-8B4D-4218-8948-0EE0B9F3BE76}">
          <x14:formula1>
            <xm:f>項目!C17:$VRS$327681</xm:f>
          </x14:formula1>
          <xm:sqref>VSA327687:VSA327710</xm:sqref>
        </x14:dataValidation>
        <x14:dataValidation type="list" allowBlank="1" showInputMessage="1" showErrorMessage="1" xr:uid="{909C8F19-CC1D-48DD-8713-60FF4DDD0D74}">
          <x14:formula1>
            <xm:f>項目!C17:$WBO$327681</xm:f>
          </x14:formula1>
          <xm:sqref>WBW327687:WBW327710</xm:sqref>
        </x14:dataValidation>
        <x14:dataValidation type="list" allowBlank="1" showInputMessage="1" showErrorMessage="1" xr:uid="{CC19F3B1-6EB7-4EAD-9D9F-B4F03DF6C0BB}">
          <x14:formula1>
            <xm:f>項目!C17:$WLK$327681</xm:f>
          </x14:formula1>
          <xm:sqref>WLS327687:WLS327710</xm:sqref>
        </x14:dataValidation>
        <x14:dataValidation type="list" allowBlank="1" showInputMessage="1" showErrorMessage="1" xr:uid="{212545BA-2235-444E-B9E1-53C7D862368B}">
          <x14:formula1>
            <xm:f>項目!C17:$WVG$327681</xm:f>
          </x14:formula1>
          <xm:sqref>WVO327687:WVO327710</xm:sqref>
        </x14:dataValidation>
        <x14:dataValidation type="list" allowBlank="1" showInputMessage="1" showErrorMessage="1" xr:uid="{CA196A9D-6749-42EA-B738-92DC07118040}">
          <x14:formula1>
            <xm:f>項目!C17:$IU$393217</xm:f>
          </x14:formula1>
          <xm:sqref>JC393223:JC393246</xm:sqref>
        </x14:dataValidation>
        <x14:dataValidation type="list" allowBlank="1" showInputMessage="1" showErrorMessage="1" xr:uid="{9293BB5D-2FF5-4854-89F5-7145E812318E}">
          <x14:formula1>
            <xm:f>項目!C17:$SQ$393217</xm:f>
          </x14:formula1>
          <xm:sqref>SY393223:SY393246</xm:sqref>
        </x14:dataValidation>
        <x14:dataValidation type="list" allowBlank="1" showInputMessage="1" showErrorMessage="1" xr:uid="{915C8FDB-1B8E-440E-9F58-5C6FDB809EE3}">
          <x14:formula1>
            <xm:f>項目!C17:$ACM$393217</xm:f>
          </x14:formula1>
          <xm:sqref>ACU393223:ACU393246</xm:sqref>
        </x14:dataValidation>
        <x14:dataValidation type="list" allowBlank="1" showInputMessage="1" showErrorMessage="1" xr:uid="{CDF85D25-29D8-462D-95F2-6ED2C2FC81C7}">
          <x14:formula1>
            <xm:f>項目!C17:$AMI$393217</xm:f>
          </x14:formula1>
          <xm:sqref>AMQ393223:AMQ393246</xm:sqref>
        </x14:dataValidation>
        <x14:dataValidation type="list" allowBlank="1" showInputMessage="1" showErrorMessage="1" xr:uid="{25D7AB08-1FB1-4DB5-84A3-D72EB8018D9E}">
          <x14:formula1>
            <xm:f>項目!C17:$AWE$393217</xm:f>
          </x14:formula1>
          <xm:sqref>AWM393223:AWM393246</xm:sqref>
        </x14:dataValidation>
        <x14:dataValidation type="list" allowBlank="1" showInputMessage="1" showErrorMessage="1" xr:uid="{FA64D241-6BAC-4567-8DD1-93AEE8268884}">
          <x14:formula1>
            <xm:f>項目!C17:$BGA$393217</xm:f>
          </x14:formula1>
          <xm:sqref>BGI393223:BGI393246</xm:sqref>
        </x14:dataValidation>
        <x14:dataValidation type="list" allowBlank="1" showInputMessage="1" showErrorMessage="1" xr:uid="{E47AF76F-DB9E-4F29-A90E-65E283A361A2}">
          <x14:formula1>
            <xm:f>項目!C17:$BPW$393217</xm:f>
          </x14:formula1>
          <xm:sqref>BQE393223:BQE393246</xm:sqref>
        </x14:dataValidation>
        <x14:dataValidation type="list" allowBlank="1" showInputMessage="1" showErrorMessage="1" xr:uid="{AB7B125B-CA90-4B61-884A-F9802E87D7E0}">
          <x14:formula1>
            <xm:f>項目!C17:$BZS$393217</xm:f>
          </x14:formula1>
          <xm:sqref>CAA393223:CAA393246</xm:sqref>
        </x14:dataValidation>
        <x14:dataValidation type="list" allowBlank="1" showInputMessage="1" showErrorMessage="1" xr:uid="{BDBD2FAD-39A2-41DC-A10D-0BF37E5ECFBE}">
          <x14:formula1>
            <xm:f>項目!C17:$CJO$393217</xm:f>
          </x14:formula1>
          <xm:sqref>CJW393223:CJW393246</xm:sqref>
        </x14:dataValidation>
        <x14:dataValidation type="list" allowBlank="1" showInputMessage="1" showErrorMessage="1" xr:uid="{32FEA2F7-25C6-4DD6-87E3-C5F16540779D}">
          <x14:formula1>
            <xm:f>項目!C17:$CTK$393217</xm:f>
          </x14:formula1>
          <xm:sqref>CTS393223:CTS393246</xm:sqref>
        </x14:dataValidation>
        <x14:dataValidation type="list" allowBlank="1" showInputMessage="1" showErrorMessage="1" xr:uid="{48C4CB68-D174-4950-BE67-3947A7F15F89}">
          <x14:formula1>
            <xm:f>項目!C17:$DDG$393217</xm:f>
          </x14:formula1>
          <xm:sqref>DDO393223:DDO393246</xm:sqref>
        </x14:dataValidation>
        <x14:dataValidation type="list" allowBlank="1" showInputMessage="1" showErrorMessage="1" xr:uid="{F37D06AB-4775-4D48-AB0A-2F1AD9B77DCA}">
          <x14:formula1>
            <xm:f>項目!C17:$DNC$393217</xm:f>
          </x14:formula1>
          <xm:sqref>DNK393223:DNK393246</xm:sqref>
        </x14:dataValidation>
        <x14:dataValidation type="list" allowBlank="1" showInputMessage="1" showErrorMessage="1" xr:uid="{672F348B-7E90-416B-B8AB-38E21E1F262E}">
          <x14:formula1>
            <xm:f>項目!C17:$DWY$393217</xm:f>
          </x14:formula1>
          <xm:sqref>DXG393223:DXG393246</xm:sqref>
        </x14:dataValidation>
        <x14:dataValidation type="list" allowBlank="1" showInputMessage="1" showErrorMessage="1" xr:uid="{0B0F69DE-7B7A-4253-9230-1FB5DE61FFC6}">
          <x14:formula1>
            <xm:f>項目!C17:$EGU$393217</xm:f>
          </x14:formula1>
          <xm:sqref>EHC393223:EHC393246</xm:sqref>
        </x14:dataValidation>
        <x14:dataValidation type="list" allowBlank="1" showInputMessage="1" showErrorMessage="1" xr:uid="{8E246608-D350-4E0B-AA94-7627FBE473D2}">
          <x14:formula1>
            <xm:f>項目!C17:$EQQ$393217</xm:f>
          </x14:formula1>
          <xm:sqref>EQY393223:EQY393246</xm:sqref>
        </x14:dataValidation>
        <x14:dataValidation type="list" allowBlank="1" showInputMessage="1" showErrorMessage="1" xr:uid="{080A487A-0673-456A-B4EC-3D886B3CB916}">
          <x14:formula1>
            <xm:f>項目!C17:$FAM$393217</xm:f>
          </x14:formula1>
          <xm:sqref>FAU393223:FAU393246</xm:sqref>
        </x14:dataValidation>
        <x14:dataValidation type="list" allowBlank="1" showInputMessage="1" showErrorMessage="1" xr:uid="{DC76A89B-62EC-4B35-891C-F75D53504064}">
          <x14:formula1>
            <xm:f>項目!C17:$FKI$393217</xm:f>
          </x14:formula1>
          <xm:sqref>FKQ393223:FKQ393246</xm:sqref>
        </x14:dataValidation>
        <x14:dataValidation type="list" allowBlank="1" showInputMessage="1" showErrorMessage="1" xr:uid="{898C5B1B-DDBB-4AD0-8ABD-E50CDB13CD5F}">
          <x14:formula1>
            <xm:f>項目!C17:$FUE$393217</xm:f>
          </x14:formula1>
          <xm:sqref>FUM393223:FUM393246</xm:sqref>
        </x14:dataValidation>
        <x14:dataValidation type="list" allowBlank="1" showInputMessage="1" showErrorMessage="1" xr:uid="{4F1EE255-6781-4198-B25E-41C64EC24783}">
          <x14:formula1>
            <xm:f>項目!C17:$GEA$393217</xm:f>
          </x14:formula1>
          <xm:sqref>GEI393223:GEI393246</xm:sqref>
        </x14:dataValidation>
        <x14:dataValidation type="list" allowBlank="1" showInputMessage="1" showErrorMessage="1" xr:uid="{2CBC5AB3-AD3E-441D-AAC7-1CE80D405894}">
          <x14:formula1>
            <xm:f>項目!C17:$GNW$393217</xm:f>
          </x14:formula1>
          <xm:sqref>GOE393223:GOE393246</xm:sqref>
        </x14:dataValidation>
        <x14:dataValidation type="list" allowBlank="1" showInputMessage="1" showErrorMessage="1" xr:uid="{D70D2ECB-35AF-4FAC-BA59-F0B7B3DADADE}">
          <x14:formula1>
            <xm:f>項目!C17:$GXS$393217</xm:f>
          </x14:formula1>
          <xm:sqref>GYA393223:GYA393246</xm:sqref>
        </x14:dataValidation>
        <x14:dataValidation type="list" allowBlank="1" showInputMessage="1" showErrorMessage="1" xr:uid="{8138565D-3546-4223-8A31-9552EAA7BB3D}">
          <x14:formula1>
            <xm:f>項目!C17:$HHO$393217</xm:f>
          </x14:formula1>
          <xm:sqref>HHW393223:HHW393246</xm:sqref>
        </x14:dataValidation>
        <x14:dataValidation type="list" allowBlank="1" showInputMessage="1" showErrorMessage="1" xr:uid="{809F4E53-A20D-46C2-9125-04E8658A8969}">
          <x14:formula1>
            <xm:f>項目!C17:$HRK$393217</xm:f>
          </x14:formula1>
          <xm:sqref>HRS393223:HRS393246</xm:sqref>
        </x14:dataValidation>
        <x14:dataValidation type="list" allowBlank="1" showInputMessage="1" showErrorMessage="1" xr:uid="{06570A2C-9D34-4A79-B0FC-F8CAEF166CD4}">
          <x14:formula1>
            <xm:f>項目!C17:$IBG$393217</xm:f>
          </x14:formula1>
          <xm:sqref>IBO393223:IBO393246</xm:sqref>
        </x14:dataValidation>
        <x14:dataValidation type="list" allowBlank="1" showInputMessage="1" showErrorMessage="1" xr:uid="{682648E4-3D18-45A4-896F-39A9B1B918F5}">
          <x14:formula1>
            <xm:f>項目!C17:$ILC$393217</xm:f>
          </x14:formula1>
          <xm:sqref>ILK393223:ILK393246</xm:sqref>
        </x14:dataValidation>
        <x14:dataValidation type="list" allowBlank="1" showInputMessage="1" showErrorMessage="1" xr:uid="{56E83BE7-AC46-447B-8CC9-35DEDDBCD1B4}">
          <x14:formula1>
            <xm:f>項目!C17:$IUY$393217</xm:f>
          </x14:formula1>
          <xm:sqref>IVG393223:IVG393246</xm:sqref>
        </x14:dataValidation>
        <x14:dataValidation type="list" allowBlank="1" showInputMessage="1" showErrorMessage="1" xr:uid="{C6819A10-A143-448F-B1BB-4804C41B5B2D}">
          <x14:formula1>
            <xm:f>項目!C17:$JEU$393217</xm:f>
          </x14:formula1>
          <xm:sqref>JFC393223:JFC393246</xm:sqref>
        </x14:dataValidation>
        <x14:dataValidation type="list" allowBlank="1" showInputMessage="1" showErrorMessage="1" xr:uid="{E3AB4A74-D0B8-4DFE-BC8A-A895F6753C46}">
          <x14:formula1>
            <xm:f>項目!C17:$JOQ$393217</xm:f>
          </x14:formula1>
          <xm:sqref>JOY393223:JOY393246</xm:sqref>
        </x14:dataValidation>
        <x14:dataValidation type="list" allowBlank="1" showInputMessage="1" showErrorMessage="1" xr:uid="{9FA8A06E-052E-4E8A-ACFA-23F24521CD0A}">
          <x14:formula1>
            <xm:f>項目!C17:$JYM$393217</xm:f>
          </x14:formula1>
          <xm:sqref>JYU393223:JYU393246</xm:sqref>
        </x14:dataValidation>
        <x14:dataValidation type="list" allowBlank="1" showInputMessage="1" showErrorMessage="1" xr:uid="{00CF4DC9-657E-4A9D-96B9-3C3C2EBC0095}">
          <x14:formula1>
            <xm:f>項目!C17:$KII$393217</xm:f>
          </x14:formula1>
          <xm:sqref>KIQ393223:KIQ393246</xm:sqref>
        </x14:dataValidation>
        <x14:dataValidation type="list" allowBlank="1" showInputMessage="1" showErrorMessage="1" xr:uid="{E24AED00-A542-4FF0-ADD5-2D9148EA51CA}">
          <x14:formula1>
            <xm:f>項目!C17:$KSE$393217</xm:f>
          </x14:formula1>
          <xm:sqref>KSM393223:KSM393246</xm:sqref>
        </x14:dataValidation>
        <x14:dataValidation type="list" allowBlank="1" showInputMessage="1" showErrorMessage="1" xr:uid="{DE57C0FF-5174-4A50-8686-BF0443D6C3C6}">
          <x14:formula1>
            <xm:f>項目!C17:$LCA$393217</xm:f>
          </x14:formula1>
          <xm:sqref>LCI393223:LCI393246</xm:sqref>
        </x14:dataValidation>
        <x14:dataValidation type="list" allowBlank="1" showInputMessage="1" showErrorMessage="1" xr:uid="{7258B6B7-1EDD-48D6-82D7-D87D51AFAB46}">
          <x14:formula1>
            <xm:f>項目!C17:$LLW$393217</xm:f>
          </x14:formula1>
          <xm:sqref>LME393223:LME393246</xm:sqref>
        </x14:dataValidation>
        <x14:dataValidation type="list" allowBlank="1" showInputMessage="1" showErrorMessage="1" xr:uid="{F0123A52-A964-43F0-A60F-589E0C2E59FB}">
          <x14:formula1>
            <xm:f>項目!C17:$LVS$393217</xm:f>
          </x14:formula1>
          <xm:sqref>LWA393223:LWA393246</xm:sqref>
        </x14:dataValidation>
        <x14:dataValidation type="list" allowBlank="1" showInputMessage="1" showErrorMessage="1" xr:uid="{221FDC8A-461B-4031-AEF7-299F925BAE59}">
          <x14:formula1>
            <xm:f>項目!C17:$MFO$393217</xm:f>
          </x14:formula1>
          <xm:sqref>MFW393223:MFW393246</xm:sqref>
        </x14:dataValidation>
        <x14:dataValidation type="list" allowBlank="1" showInputMessage="1" showErrorMessage="1" xr:uid="{87BD08D3-DB0C-4CD8-B330-78F1AEC72299}">
          <x14:formula1>
            <xm:f>項目!C17:$MPK$393217</xm:f>
          </x14:formula1>
          <xm:sqref>MPS393223:MPS393246</xm:sqref>
        </x14:dataValidation>
        <x14:dataValidation type="list" allowBlank="1" showInputMessage="1" showErrorMessage="1" xr:uid="{5037AF48-60F0-4B57-8A9C-256CC64D23F0}">
          <x14:formula1>
            <xm:f>項目!C17:$MZG$393217</xm:f>
          </x14:formula1>
          <xm:sqref>MZO393223:MZO393246</xm:sqref>
        </x14:dataValidation>
        <x14:dataValidation type="list" allowBlank="1" showInputMessage="1" showErrorMessage="1" xr:uid="{1649CAC2-24EA-4023-A6B3-759D39017545}">
          <x14:formula1>
            <xm:f>項目!C17:$NJC$393217</xm:f>
          </x14:formula1>
          <xm:sqref>NJK393223:NJK393246</xm:sqref>
        </x14:dataValidation>
        <x14:dataValidation type="list" allowBlank="1" showInputMessage="1" showErrorMessage="1" xr:uid="{0FDF3907-F168-423C-A2FD-5497FDEE4855}">
          <x14:formula1>
            <xm:f>項目!C17:$NSY$393217</xm:f>
          </x14:formula1>
          <xm:sqref>NTG393223:NTG393246</xm:sqref>
        </x14:dataValidation>
        <x14:dataValidation type="list" allowBlank="1" showInputMessage="1" showErrorMessage="1" xr:uid="{81CA2E98-39E7-4F30-B583-79AADDBA6E17}">
          <x14:formula1>
            <xm:f>項目!C17:$OCU$393217</xm:f>
          </x14:formula1>
          <xm:sqref>ODC393223:ODC393246</xm:sqref>
        </x14:dataValidation>
        <x14:dataValidation type="list" allowBlank="1" showInputMessage="1" showErrorMessage="1" xr:uid="{ADA75E8F-FBA4-44BF-B2D0-E9E2F21A65FD}">
          <x14:formula1>
            <xm:f>項目!C17:$OMQ$393217</xm:f>
          </x14:formula1>
          <xm:sqref>OMY393223:OMY393246</xm:sqref>
        </x14:dataValidation>
        <x14:dataValidation type="list" allowBlank="1" showInputMessage="1" showErrorMessage="1" xr:uid="{4FD90C3F-BD30-462D-B4E2-7EE5CC20D562}">
          <x14:formula1>
            <xm:f>項目!C17:$OWM$393217</xm:f>
          </x14:formula1>
          <xm:sqref>OWU393223:OWU393246</xm:sqref>
        </x14:dataValidation>
        <x14:dataValidation type="list" allowBlank="1" showInputMessage="1" showErrorMessage="1" xr:uid="{31CE46F2-2698-47D2-8469-D67105F984D2}">
          <x14:formula1>
            <xm:f>項目!C17:$PGI$393217</xm:f>
          </x14:formula1>
          <xm:sqref>PGQ393223:PGQ393246</xm:sqref>
        </x14:dataValidation>
        <x14:dataValidation type="list" allowBlank="1" showInputMessage="1" showErrorMessage="1" xr:uid="{07E23D60-EA2A-4F94-9DE4-4A6C397C6D59}">
          <x14:formula1>
            <xm:f>項目!C17:$PQE$393217</xm:f>
          </x14:formula1>
          <xm:sqref>PQM393223:PQM393246</xm:sqref>
        </x14:dataValidation>
        <x14:dataValidation type="list" allowBlank="1" showInputMessage="1" showErrorMessage="1" xr:uid="{3981F026-77EB-46A5-ACC5-743F5F95EB9C}">
          <x14:formula1>
            <xm:f>項目!C17:$QAA$393217</xm:f>
          </x14:formula1>
          <xm:sqref>QAI393223:QAI393246</xm:sqref>
        </x14:dataValidation>
        <x14:dataValidation type="list" allowBlank="1" showInputMessage="1" showErrorMessage="1" xr:uid="{5D9635BF-DE96-4407-9E9C-C63563C675D7}">
          <x14:formula1>
            <xm:f>項目!C17:$QJW$393217</xm:f>
          </x14:formula1>
          <xm:sqref>QKE393223:QKE393246</xm:sqref>
        </x14:dataValidation>
        <x14:dataValidation type="list" allowBlank="1" showInputMessage="1" showErrorMessage="1" xr:uid="{EAA329FC-2EA4-4CEC-B8B4-2867FD329BF2}">
          <x14:formula1>
            <xm:f>項目!C17:$QTS$393217</xm:f>
          </x14:formula1>
          <xm:sqref>QUA393223:QUA393246</xm:sqref>
        </x14:dataValidation>
        <x14:dataValidation type="list" allowBlank="1" showInputMessage="1" showErrorMessage="1" xr:uid="{05B392E4-3A27-4DB6-A1E8-C94CE96BFC09}">
          <x14:formula1>
            <xm:f>項目!C17:$RDO$393217</xm:f>
          </x14:formula1>
          <xm:sqref>RDW393223:RDW393246</xm:sqref>
        </x14:dataValidation>
        <x14:dataValidation type="list" allowBlank="1" showInputMessage="1" showErrorMessage="1" xr:uid="{0713CCE6-A47B-4B7E-B98E-863E9D54BD76}">
          <x14:formula1>
            <xm:f>項目!C17:$RNK$393217</xm:f>
          </x14:formula1>
          <xm:sqref>RNS393223:RNS393246</xm:sqref>
        </x14:dataValidation>
        <x14:dataValidation type="list" allowBlank="1" showInputMessage="1" showErrorMessage="1" xr:uid="{04E5F305-C809-4230-945F-A1863D3C8D5E}">
          <x14:formula1>
            <xm:f>項目!C17:$RXG$393217</xm:f>
          </x14:formula1>
          <xm:sqref>RXO393223:RXO393246</xm:sqref>
        </x14:dataValidation>
        <x14:dataValidation type="list" allowBlank="1" showInputMessage="1" showErrorMessage="1" xr:uid="{F5CD4514-32E4-4C7F-8074-4E201D3645B3}">
          <x14:formula1>
            <xm:f>項目!C17:$SHC$393217</xm:f>
          </x14:formula1>
          <xm:sqref>SHK393223:SHK393246</xm:sqref>
        </x14:dataValidation>
        <x14:dataValidation type="list" allowBlank="1" showInputMessage="1" showErrorMessage="1" xr:uid="{39C15CB1-7523-4956-8290-B278E76729FF}">
          <x14:formula1>
            <xm:f>項目!C17:$SQY$393217</xm:f>
          </x14:formula1>
          <xm:sqref>SRG393223:SRG393246</xm:sqref>
        </x14:dataValidation>
        <x14:dataValidation type="list" allowBlank="1" showInputMessage="1" showErrorMessage="1" xr:uid="{746F45A0-7F02-4777-841A-0D9173DDBF17}">
          <x14:formula1>
            <xm:f>項目!C17:$TAU$393217</xm:f>
          </x14:formula1>
          <xm:sqref>TBC393223:TBC393246</xm:sqref>
        </x14:dataValidation>
        <x14:dataValidation type="list" allowBlank="1" showInputMessage="1" showErrorMessage="1" xr:uid="{7C3CD149-927D-4A29-978F-AC3373E08716}">
          <x14:formula1>
            <xm:f>項目!C17:$TKQ$393217</xm:f>
          </x14:formula1>
          <xm:sqref>TKY393223:TKY393246</xm:sqref>
        </x14:dataValidation>
        <x14:dataValidation type="list" allowBlank="1" showInputMessage="1" showErrorMessage="1" xr:uid="{F6A93F92-530B-4A5A-88E2-95DE21DBE9BC}">
          <x14:formula1>
            <xm:f>項目!C17:$TUM$393217</xm:f>
          </x14:formula1>
          <xm:sqref>TUU393223:TUU393246</xm:sqref>
        </x14:dataValidation>
        <x14:dataValidation type="list" allowBlank="1" showInputMessage="1" showErrorMessage="1" xr:uid="{FDF66346-8D19-469D-B914-4EAA9A6E96C8}">
          <x14:formula1>
            <xm:f>項目!C17:$UEI$393217</xm:f>
          </x14:formula1>
          <xm:sqref>UEQ393223:UEQ393246</xm:sqref>
        </x14:dataValidation>
        <x14:dataValidation type="list" allowBlank="1" showInputMessage="1" showErrorMessage="1" xr:uid="{8CC7B938-30B1-4892-8503-6803EF0ECBD0}">
          <x14:formula1>
            <xm:f>項目!C17:$UOE$393217</xm:f>
          </x14:formula1>
          <xm:sqref>UOM393223:UOM393246</xm:sqref>
        </x14:dataValidation>
        <x14:dataValidation type="list" allowBlank="1" showInputMessage="1" showErrorMessage="1" xr:uid="{B9B85743-B320-4FF3-B934-A16284B5FEBB}">
          <x14:formula1>
            <xm:f>項目!C17:$UYA$393217</xm:f>
          </x14:formula1>
          <xm:sqref>UYI393223:UYI393246</xm:sqref>
        </x14:dataValidation>
        <x14:dataValidation type="list" allowBlank="1" showInputMessage="1" showErrorMessage="1" xr:uid="{82211D19-C605-4A54-890F-F71FF218E76A}">
          <x14:formula1>
            <xm:f>項目!C17:$VHW$393217</xm:f>
          </x14:formula1>
          <xm:sqref>VIE393223:VIE393246</xm:sqref>
        </x14:dataValidation>
        <x14:dataValidation type="list" allowBlank="1" showInputMessage="1" showErrorMessage="1" xr:uid="{1C63492D-4D97-4F8B-AF69-20F2555CD342}">
          <x14:formula1>
            <xm:f>項目!C17:$VRS$393217</xm:f>
          </x14:formula1>
          <xm:sqref>VSA393223:VSA393246</xm:sqref>
        </x14:dataValidation>
        <x14:dataValidation type="list" allowBlank="1" showInputMessage="1" showErrorMessage="1" xr:uid="{4590066E-ABC7-4A4A-ADE7-25AF8CDAD649}">
          <x14:formula1>
            <xm:f>項目!C17:$WBO$393217</xm:f>
          </x14:formula1>
          <xm:sqref>WBW393223:WBW393246</xm:sqref>
        </x14:dataValidation>
        <x14:dataValidation type="list" allowBlank="1" showInputMessage="1" showErrorMessage="1" xr:uid="{15CD0ABF-D900-4324-B81D-83EAA2B89554}">
          <x14:formula1>
            <xm:f>項目!C17:$WLK$393217</xm:f>
          </x14:formula1>
          <xm:sqref>WLS393223:WLS393246</xm:sqref>
        </x14:dataValidation>
        <x14:dataValidation type="list" allowBlank="1" showInputMessage="1" showErrorMessage="1" xr:uid="{65AAB587-E5B3-413C-9640-BB1659382A74}">
          <x14:formula1>
            <xm:f>項目!C17:$WVG$393217</xm:f>
          </x14:formula1>
          <xm:sqref>WVO393223:WVO393246</xm:sqref>
        </x14:dataValidation>
        <x14:dataValidation type="list" allowBlank="1" showInputMessage="1" showErrorMessage="1" xr:uid="{38E3D0F4-0FEF-4E6A-8F91-2751AEAA16A8}">
          <x14:formula1>
            <xm:f>項目!C17:$IU$458753</xm:f>
          </x14:formula1>
          <xm:sqref>JC458759:JC458782</xm:sqref>
        </x14:dataValidation>
        <x14:dataValidation type="list" allowBlank="1" showInputMessage="1" showErrorMessage="1" xr:uid="{140760F6-03F1-4FE4-814C-6AF891D35BBC}">
          <x14:formula1>
            <xm:f>項目!C17:$SQ$458753</xm:f>
          </x14:formula1>
          <xm:sqref>SY458759:SY458782</xm:sqref>
        </x14:dataValidation>
        <x14:dataValidation type="list" allowBlank="1" showInputMessage="1" showErrorMessage="1" xr:uid="{B64D4B95-0A89-4C47-B554-C807A4EFA403}">
          <x14:formula1>
            <xm:f>項目!C17:$ACM$458753</xm:f>
          </x14:formula1>
          <xm:sqref>ACU458759:ACU458782</xm:sqref>
        </x14:dataValidation>
        <x14:dataValidation type="list" allowBlank="1" showInputMessage="1" showErrorMessage="1" xr:uid="{35EAA200-07AE-484D-B6D6-0B69FC714622}">
          <x14:formula1>
            <xm:f>項目!C17:$AMI$458753</xm:f>
          </x14:formula1>
          <xm:sqref>AMQ458759:AMQ458782</xm:sqref>
        </x14:dataValidation>
        <x14:dataValidation type="list" allowBlank="1" showInputMessage="1" showErrorMessage="1" xr:uid="{FCE3BAB0-7259-4901-B55B-1C45F0F6178D}">
          <x14:formula1>
            <xm:f>項目!C17:$AWE$458753</xm:f>
          </x14:formula1>
          <xm:sqref>AWM458759:AWM458782</xm:sqref>
        </x14:dataValidation>
        <x14:dataValidation type="list" allowBlank="1" showInputMessage="1" showErrorMessage="1" xr:uid="{6C06D2D4-924F-42C1-B958-9118BA0CDDEC}">
          <x14:formula1>
            <xm:f>項目!C17:$BGA$458753</xm:f>
          </x14:formula1>
          <xm:sqref>BGI458759:BGI458782</xm:sqref>
        </x14:dataValidation>
        <x14:dataValidation type="list" allowBlank="1" showInputMessage="1" showErrorMessage="1" xr:uid="{610C3CB8-1B43-4680-BE3C-8ED6C055215C}">
          <x14:formula1>
            <xm:f>項目!C17:$BPW$458753</xm:f>
          </x14:formula1>
          <xm:sqref>BQE458759:BQE458782</xm:sqref>
        </x14:dataValidation>
        <x14:dataValidation type="list" allowBlank="1" showInputMessage="1" showErrorMessage="1" xr:uid="{74A11283-5C13-4F7F-A04A-75686918B467}">
          <x14:formula1>
            <xm:f>項目!C17:$BZS$458753</xm:f>
          </x14:formula1>
          <xm:sqref>CAA458759:CAA458782</xm:sqref>
        </x14:dataValidation>
        <x14:dataValidation type="list" allowBlank="1" showInputMessage="1" showErrorMessage="1" xr:uid="{FA48712D-8231-4129-BD68-6EB8E58CBDA4}">
          <x14:formula1>
            <xm:f>項目!C17:$CJO$458753</xm:f>
          </x14:formula1>
          <xm:sqref>CJW458759:CJW458782</xm:sqref>
        </x14:dataValidation>
        <x14:dataValidation type="list" allowBlank="1" showInputMessage="1" showErrorMessage="1" xr:uid="{0929AE23-9198-4B6B-B1D7-769E92621BCB}">
          <x14:formula1>
            <xm:f>項目!C17:$CTK$458753</xm:f>
          </x14:formula1>
          <xm:sqref>CTS458759:CTS458782</xm:sqref>
        </x14:dataValidation>
        <x14:dataValidation type="list" allowBlank="1" showInputMessage="1" showErrorMessage="1" xr:uid="{2F1B7206-9BAD-4904-9D66-2ADEDA28FE3E}">
          <x14:formula1>
            <xm:f>項目!C17:$DDG$458753</xm:f>
          </x14:formula1>
          <xm:sqref>DDO458759:DDO458782</xm:sqref>
        </x14:dataValidation>
        <x14:dataValidation type="list" allowBlank="1" showInputMessage="1" showErrorMessage="1" xr:uid="{BCB58695-4EC2-4D73-871B-E5A4C43301A8}">
          <x14:formula1>
            <xm:f>項目!C17:$DNC$458753</xm:f>
          </x14:formula1>
          <xm:sqref>DNK458759:DNK458782</xm:sqref>
        </x14:dataValidation>
        <x14:dataValidation type="list" allowBlank="1" showInputMessage="1" showErrorMessage="1" xr:uid="{A89A48EA-E4E4-430D-8965-A04D1008B1B0}">
          <x14:formula1>
            <xm:f>項目!C17:$DWY$458753</xm:f>
          </x14:formula1>
          <xm:sqref>DXG458759:DXG458782</xm:sqref>
        </x14:dataValidation>
        <x14:dataValidation type="list" allowBlank="1" showInputMessage="1" showErrorMessage="1" xr:uid="{F740D427-635D-441A-B9D1-EEA478D6D12B}">
          <x14:formula1>
            <xm:f>項目!C17:$EGU$458753</xm:f>
          </x14:formula1>
          <xm:sqref>EHC458759:EHC458782</xm:sqref>
        </x14:dataValidation>
        <x14:dataValidation type="list" allowBlank="1" showInputMessage="1" showErrorMessage="1" xr:uid="{013E952C-4EE6-44FA-8820-F643FC8EE07D}">
          <x14:formula1>
            <xm:f>項目!C17:$EQQ$458753</xm:f>
          </x14:formula1>
          <xm:sqref>EQY458759:EQY458782</xm:sqref>
        </x14:dataValidation>
        <x14:dataValidation type="list" allowBlank="1" showInputMessage="1" showErrorMessage="1" xr:uid="{C9E9E577-DA76-4A6B-B278-5FDBF40745C8}">
          <x14:formula1>
            <xm:f>項目!C17:$FAM$458753</xm:f>
          </x14:formula1>
          <xm:sqref>FAU458759:FAU458782</xm:sqref>
        </x14:dataValidation>
        <x14:dataValidation type="list" allowBlank="1" showInputMessage="1" showErrorMessage="1" xr:uid="{74D76273-A9C4-422E-929A-6F0B9E8E74A8}">
          <x14:formula1>
            <xm:f>項目!C17:$FKI$458753</xm:f>
          </x14:formula1>
          <xm:sqref>FKQ458759:FKQ458782</xm:sqref>
        </x14:dataValidation>
        <x14:dataValidation type="list" allowBlank="1" showInputMessage="1" showErrorMessage="1" xr:uid="{B66B0936-65E2-4D71-9774-C2A00480B380}">
          <x14:formula1>
            <xm:f>項目!C17:$FUE$458753</xm:f>
          </x14:formula1>
          <xm:sqref>FUM458759:FUM458782</xm:sqref>
        </x14:dataValidation>
        <x14:dataValidation type="list" allowBlank="1" showInputMessage="1" showErrorMessage="1" xr:uid="{AA19CB04-E10D-4830-A2DE-2073669D4BC8}">
          <x14:formula1>
            <xm:f>項目!C17:$GEA$458753</xm:f>
          </x14:formula1>
          <xm:sqref>GEI458759:GEI458782</xm:sqref>
        </x14:dataValidation>
        <x14:dataValidation type="list" allowBlank="1" showInputMessage="1" showErrorMessage="1" xr:uid="{98FFC32C-7D4A-4465-88C7-020D358D47B4}">
          <x14:formula1>
            <xm:f>項目!C17:$GNW$458753</xm:f>
          </x14:formula1>
          <xm:sqref>GOE458759:GOE458782</xm:sqref>
        </x14:dataValidation>
        <x14:dataValidation type="list" allowBlank="1" showInputMessage="1" showErrorMessage="1" xr:uid="{B55993A7-76B5-4D1D-AD13-54FE562CB4C8}">
          <x14:formula1>
            <xm:f>項目!C17:$GXS$458753</xm:f>
          </x14:formula1>
          <xm:sqref>GYA458759:GYA458782</xm:sqref>
        </x14:dataValidation>
        <x14:dataValidation type="list" allowBlank="1" showInputMessage="1" showErrorMessage="1" xr:uid="{3E09302B-790A-4A5A-87A5-52319A387627}">
          <x14:formula1>
            <xm:f>項目!C17:$HHO$458753</xm:f>
          </x14:formula1>
          <xm:sqref>HHW458759:HHW458782</xm:sqref>
        </x14:dataValidation>
        <x14:dataValidation type="list" allowBlank="1" showInputMessage="1" showErrorMessage="1" xr:uid="{1E5800CF-C49D-4D1B-AD6F-9EDD46A6B5A1}">
          <x14:formula1>
            <xm:f>項目!C17:$HRK$458753</xm:f>
          </x14:formula1>
          <xm:sqref>HRS458759:HRS458782</xm:sqref>
        </x14:dataValidation>
        <x14:dataValidation type="list" allowBlank="1" showInputMessage="1" showErrorMessage="1" xr:uid="{73F981BE-93C3-459C-939A-F0CB98EF1853}">
          <x14:formula1>
            <xm:f>項目!C17:$IBG$458753</xm:f>
          </x14:formula1>
          <xm:sqref>IBO458759:IBO458782</xm:sqref>
        </x14:dataValidation>
        <x14:dataValidation type="list" allowBlank="1" showInputMessage="1" showErrorMessage="1" xr:uid="{833110F4-B1CC-4649-8C5D-A23D2CC91BBD}">
          <x14:formula1>
            <xm:f>項目!C17:$ILC$458753</xm:f>
          </x14:formula1>
          <xm:sqref>ILK458759:ILK458782</xm:sqref>
        </x14:dataValidation>
        <x14:dataValidation type="list" allowBlank="1" showInputMessage="1" showErrorMessage="1" xr:uid="{1C7F073D-18FC-4AB0-829C-A4609381347C}">
          <x14:formula1>
            <xm:f>項目!C17:$IUY$458753</xm:f>
          </x14:formula1>
          <xm:sqref>IVG458759:IVG458782</xm:sqref>
        </x14:dataValidation>
        <x14:dataValidation type="list" allowBlank="1" showInputMessage="1" showErrorMessage="1" xr:uid="{8744C515-78BB-4604-9CB8-5979B26F32D0}">
          <x14:formula1>
            <xm:f>項目!C17:$JEU$458753</xm:f>
          </x14:formula1>
          <xm:sqref>JFC458759:JFC458782</xm:sqref>
        </x14:dataValidation>
        <x14:dataValidation type="list" allowBlank="1" showInputMessage="1" showErrorMessage="1" xr:uid="{5C472D77-1B91-4AC8-9D54-241E93F1ACFF}">
          <x14:formula1>
            <xm:f>項目!C17:$JOQ$458753</xm:f>
          </x14:formula1>
          <xm:sqref>JOY458759:JOY458782</xm:sqref>
        </x14:dataValidation>
        <x14:dataValidation type="list" allowBlank="1" showInputMessage="1" showErrorMessage="1" xr:uid="{1D71C542-0D7C-48A4-AB98-285D4B87C8D0}">
          <x14:formula1>
            <xm:f>項目!C17:$JYM$458753</xm:f>
          </x14:formula1>
          <xm:sqref>JYU458759:JYU458782</xm:sqref>
        </x14:dataValidation>
        <x14:dataValidation type="list" allowBlank="1" showInputMessage="1" showErrorMessage="1" xr:uid="{0952F3DC-72E9-4706-A48C-98F894BCA1FA}">
          <x14:formula1>
            <xm:f>項目!C17:$KII$458753</xm:f>
          </x14:formula1>
          <xm:sqref>KIQ458759:KIQ458782</xm:sqref>
        </x14:dataValidation>
        <x14:dataValidation type="list" allowBlank="1" showInputMessage="1" showErrorMessage="1" xr:uid="{7AB1E38D-A802-4FD2-8E60-FB7F7FC0B5D6}">
          <x14:formula1>
            <xm:f>項目!C17:$KSE$458753</xm:f>
          </x14:formula1>
          <xm:sqref>KSM458759:KSM458782</xm:sqref>
        </x14:dataValidation>
        <x14:dataValidation type="list" allowBlank="1" showInputMessage="1" showErrorMessage="1" xr:uid="{95224643-A70A-414C-8ED0-064F7E96FB1D}">
          <x14:formula1>
            <xm:f>項目!C17:$LCA$458753</xm:f>
          </x14:formula1>
          <xm:sqref>LCI458759:LCI458782</xm:sqref>
        </x14:dataValidation>
        <x14:dataValidation type="list" allowBlank="1" showInputMessage="1" showErrorMessage="1" xr:uid="{1527203F-0963-4CE3-8187-A86A79C268A2}">
          <x14:formula1>
            <xm:f>項目!C17:$LLW$458753</xm:f>
          </x14:formula1>
          <xm:sqref>LME458759:LME458782</xm:sqref>
        </x14:dataValidation>
        <x14:dataValidation type="list" allowBlank="1" showInputMessage="1" showErrorMessage="1" xr:uid="{E2FDE530-9BCE-47E1-8356-D0A85266D013}">
          <x14:formula1>
            <xm:f>項目!C17:$LVS$458753</xm:f>
          </x14:formula1>
          <xm:sqref>LWA458759:LWA458782</xm:sqref>
        </x14:dataValidation>
        <x14:dataValidation type="list" allowBlank="1" showInputMessage="1" showErrorMessage="1" xr:uid="{32690088-92E0-474F-8A11-1C1C618FAB6C}">
          <x14:formula1>
            <xm:f>項目!C17:$MFO$458753</xm:f>
          </x14:formula1>
          <xm:sqref>MFW458759:MFW458782</xm:sqref>
        </x14:dataValidation>
        <x14:dataValidation type="list" allowBlank="1" showInputMessage="1" showErrorMessage="1" xr:uid="{6840F0E1-F39B-4D7B-8D7F-ED0C614A6E61}">
          <x14:formula1>
            <xm:f>項目!C17:$MPK$458753</xm:f>
          </x14:formula1>
          <xm:sqref>MPS458759:MPS458782</xm:sqref>
        </x14:dataValidation>
        <x14:dataValidation type="list" allowBlank="1" showInputMessage="1" showErrorMessage="1" xr:uid="{276E8279-EA42-4575-B39F-B985D73FDE59}">
          <x14:formula1>
            <xm:f>項目!C17:$MZG$458753</xm:f>
          </x14:formula1>
          <xm:sqref>MZO458759:MZO458782</xm:sqref>
        </x14:dataValidation>
        <x14:dataValidation type="list" allowBlank="1" showInputMessage="1" showErrorMessage="1" xr:uid="{86775D8E-58FB-410C-9453-073FB9B21E00}">
          <x14:formula1>
            <xm:f>項目!C17:$NJC$458753</xm:f>
          </x14:formula1>
          <xm:sqref>NJK458759:NJK458782</xm:sqref>
        </x14:dataValidation>
        <x14:dataValidation type="list" allowBlank="1" showInputMessage="1" showErrorMessage="1" xr:uid="{0D89E17D-14AD-42AE-A855-E289C1FCAB4F}">
          <x14:formula1>
            <xm:f>項目!C17:$NSY$458753</xm:f>
          </x14:formula1>
          <xm:sqref>NTG458759:NTG458782</xm:sqref>
        </x14:dataValidation>
        <x14:dataValidation type="list" allowBlank="1" showInputMessage="1" showErrorMessage="1" xr:uid="{9261802F-686C-42B0-92A0-1EF221528273}">
          <x14:formula1>
            <xm:f>項目!C17:$OCU$458753</xm:f>
          </x14:formula1>
          <xm:sqref>ODC458759:ODC458782</xm:sqref>
        </x14:dataValidation>
        <x14:dataValidation type="list" allowBlank="1" showInputMessage="1" showErrorMessage="1" xr:uid="{CE019D97-1919-425C-B3E3-907CDACAF3D9}">
          <x14:formula1>
            <xm:f>項目!C17:$OMQ$458753</xm:f>
          </x14:formula1>
          <xm:sqref>OMY458759:OMY458782</xm:sqref>
        </x14:dataValidation>
        <x14:dataValidation type="list" allowBlank="1" showInputMessage="1" showErrorMessage="1" xr:uid="{863A2A8F-5BFE-4AC9-91F1-5EA1581E8605}">
          <x14:formula1>
            <xm:f>項目!C17:$OWM$458753</xm:f>
          </x14:formula1>
          <xm:sqref>OWU458759:OWU458782</xm:sqref>
        </x14:dataValidation>
        <x14:dataValidation type="list" allowBlank="1" showInputMessage="1" showErrorMessage="1" xr:uid="{944E277B-9F6B-4DC4-93EF-3A37AFEDAAB0}">
          <x14:formula1>
            <xm:f>項目!C17:$PGI$458753</xm:f>
          </x14:formula1>
          <xm:sqref>PGQ458759:PGQ458782</xm:sqref>
        </x14:dataValidation>
        <x14:dataValidation type="list" allowBlank="1" showInputMessage="1" showErrorMessage="1" xr:uid="{BD7C21B9-3C88-40E0-A37F-259A5186B47F}">
          <x14:formula1>
            <xm:f>項目!C17:$PQE$458753</xm:f>
          </x14:formula1>
          <xm:sqref>PQM458759:PQM458782</xm:sqref>
        </x14:dataValidation>
        <x14:dataValidation type="list" allowBlank="1" showInputMessage="1" showErrorMessage="1" xr:uid="{E7B6B73C-6406-426A-BA9F-06566E52911E}">
          <x14:formula1>
            <xm:f>項目!C17:$QAA$458753</xm:f>
          </x14:formula1>
          <xm:sqref>QAI458759:QAI458782</xm:sqref>
        </x14:dataValidation>
        <x14:dataValidation type="list" allowBlank="1" showInputMessage="1" showErrorMessage="1" xr:uid="{CBA8930E-543D-492C-9CCB-F8E9F21AB047}">
          <x14:formula1>
            <xm:f>項目!C17:$QJW$458753</xm:f>
          </x14:formula1>
          <xm:sqref>QKE458759:QKE458782</xm:sqref>
        </x14:dataValidation>
        <x14:dataValidation type="list" allowBlank="1" showInputMessage="1" showErrorMessage="1" xr:uid="{2FFE9982-31DC-4160-8E88-C0FA780887D4}">
          <x14:formula1>
            <xm:f>項目!C17:$QTS$458753</xm:f>
          </x14:formula1>
          <xm:sqref>QUA458759:QUA458782</xm:sqref>
        </x14:dataValidation>
        <x14:dataValidation type="list" allowBlank="1" showInputMessage="1" showErrorMessage="1" xr:uid="{D7FE7DD9-BBD3-4F6F-B569-9714E98656A6}">
          <x14:formula1>
            <xm:f>項目!C17:$RDO$458753</xm:f>
          </x14:formula1>
          <xm:sqref>RDW458759:RDW458782</xm:sqref>
        </x14:dataValidation>
        <x14:dataValidation type="list" allowBlank="1" showInputMessage="1" showErrorMessage="1" xr:uid="{A6C8701D-7F62-49A3-8B09-FF75E99F6BCC}">
          <x14:formula1>
            <xm:f>項目!C17:$RNK$458753</xm:f>
          </x14:formula1>
          <xm:sqref>RNS458759:RNS458782</xm:sqref>
        </x14:dataValidation>
        <x14:dataValidation type="list" allowBlank="1" showInputMessage="1" showErrorMessage="1" xr:uid="{07DDA8D2-7CDE-4E66-BF96-89D339E70D60}">
          <x14:formula1>
            <xm:f>項目!C17:$RXG$458753</xm:f>
          </x14:formula1>
          <xm:sqref>RXO458759:RXO458782</xm:sqref>
        </x14:dataValidation>
        <x14:dataValidation type="list" allowBlank="1" showInputMessage="1" showErrorMessage="1" xr:uid="{892E13BD-B6EA-45EE-8ACD-BA359202AE70}">
          <x14:formula1>
            <xm:f>項目!C17:$SHC$458753</xm:f>
          </x14:formula1>
          <xm:sqref>SHK458759:SHK458782</xm:sqref>
        </x14:dataValidation>
        <x14:dataValidation type="list" allowBlank="1" showInputMessage="1" showErrorMessage="1" xr:uid="{FC73FF98-64EA-40A4-8D43-2B98A9B38F63}">
          <x14:formula1>
            <xm:f>項目!C17:$SQY$458753</xm:f>
          </x14:formula1>
          <xm:sqref>SRG458759:SRG458782</xm:sqref>
        </x14:dataValidation>
        <x14:dataValidation type="list" allowBlank="1" showInputMessage="1" showErrorMessage="1" xr:uid="{9DD3371A-642D-4227-97E9-27DF64D5354C}">
          <x14:formula1>
            <xm:f>項目!C17:$TAU$458753</xm:f>
          </x14:formula1>
          <xm:sqref>TBC458759:TBC458782</xm:sqref>
        </x14:dataValidation>
        <x14:dataValidation type="list" allowBlank="1" showInputMessage="1" showErrorMessage="1" xr:uid="{65B287AB-8B32-4668-9603-DB1837800DB6}">
          <x14:formula1>
            <xm:f>項目!C17:$TKQ$458753</xm:f>
          </x14:formula1>
          <xm:sqref>TKY458759:TKY458782</xm:sqref>
        </x14:dataValidation>
        <x14:dataValidation type="list" allowBlank="1" showInputMessage="1" showErrorMessage="1" xr:uid="{7B31CDB8-E2E9-4975-ACDA-9B86C7C87689}">
          <x14:formula1>
            <xm:f>項目!C17:$TUM$458753</xm:f>
          </x14:formula1>
          <xm:sqref>TUU458759:TUU458782</xm:sqref>
        </x14:dataValidation>
        <x14:dataValidation type="list" allowBlank="1" showInputMessage="1" showErrorMessage="1" xr:uid="{30436C28-D976-45C4-ACEA-4625DCE3AAA8}">
          <x14:formula1>
            <xm:f>項目!C17:$UEI$458753</xm:f>
          </x14:formula1>
          <xm:sqref>UEQ458759:UEQ458782</xm:sqref>
        </x14:dataValidation>
        <x14:dataValidation type="list" allowBlank="1" showInputMessage="1" showErrorMessage="1" xr:uid="{EF33051D-4C77-4467-9F93-E1E43F54FD0D}">
          <x14:formula1>
            <xm:f>項目!C17:$UOE$458753</xm:f>
          </x14:formula1>
          <xm:sqref>UOM458759:UOM458782</xm:sqref>
        </x14:dataValidation>
        <x14:dataValidation type="list" allowBlank="1" showInputMessage="1" showErrorMessage="1" xr:uid="{DC49EC30-7B87-44D5-9040-3E0A85CC5AF4}">
          <x14:formula1>
            <xm:f>項目!C17:$UYA$458753</xm:f>
          </x14:formula1>
          <xm:sqref>UYI458759:UYI458782</xm:sqref>
        </x14:dataValidation>
        <x14:dataValidation type="list" allowBlank="1" showInputMessage="1" showErrorMessage="1" xr:uid="{E3067BA9-05B2-453F-8799-0A8C3B3EC129}">
          <x14:formula1>
            <xm:f>項目!C17:$VHW$458753</xm:f>
          </x14:formula1>
          <xm:sqref>VIE458759:VIE458782</xm:sqref>
        </x14:dataValidation>
        <x14:dataValidation type="list" allowBlank="1" showInputMessage="1" showErrorMessage="1" xr:uid="{1F1C79B7-D0EF-46D4-99F6-E9769EB94312}">
          <x14:formula1>
            <xm:f>項目!C17:$VRS$458753</xm:f>
          </x14:formula1>
          <xm:sqref>VSA458759:VSA458782</xm:sqref>
        </x14:dataValidation>
        <x14:dataValidation type="list" allowBlank="1" showInputMessage="1" showErrorMessage="1" xr:uid="{8910BF1E-6640-4BEB-9860-67C4DAFF7D96}">
          <x14:formula1>
            <xm:f>項目!C17:$WBO$458753</xm:f>
          </x14:formula1>
          <xm:sqref>WBW458759:WBW458782</xm:sqref>
        </x14:dataValidation>
        <x14:dataValidation type="list" allowBlank="1" showInputMessage="1" showErrorMessage="1" xr:uid="{408762FD-AA21-4593-BBFF-1295E0649867}">
          <x14:formula1>
            <xm:f>項目!C17:$WLK$458753</xm:f>
          </x14:formula1>
          <xm:sqref>WLS458759:WLS458782</xm:sqref>
        </x14:dataValidation>
        <x14:dataValidation type="list" allowBlank="1" showInputMessage="1" showErrorMessage="1" xr:uid="{4A2CC76F-FF5A-4968-A312-7C7CD5514044}">
          <x14:formula1>
            <xm:f>項目!C17:$WVG$458753</xm:f>
          </x14:formula1>
          <xm:sqref>WVO458759:WVO458782</xm:sqref>
        </x14:dataValidation>
        <x14:dataValidation type="list" allowBlank="1" showInputMessage="1" showErrorMessage="1" xr:uid="{72DAAE00-F9A2-4904-84BF-F508185FDA71}">
          <x14:formula1>
            <xm:f>項目!C17:$IU$524289</xm:f>
          </x14:formula1>
          <xm:sqref>JC524295:JC524318</xm:sqref>
        </x14:dataValidation>
        <x14:dataValidation type="list" allowBlank="1" showInputMessage="1" showErrorMessage="1" xr:uid="{CB9858B7-7E8F-4A91-89E2-5E1DB963E5EB}">
          <x14:formula1>
            <xm:f>項目!C17:$SQ$524289</xm:f>
          </x14:formula1>
          <xm:sqref>SY524295:SY524318</xm:sqref>
        </x14:dataValidation>
        <x14:dataValidation type="list" allowBlank="1" showInputMessage="1" showErrorMessage="1" xr:uid="{DF3C44E6-56BF-4425-BDB1-442AB9A1B0FE}">
          <x14:formula1>
            <xm:f>項目!C17:$ACM$524289</xm:f>
          </x14:formula1>
          <xm:sqref>ACU524295:ACU524318</xm:sqref>
        </x14:dataValidation>
        <x14:dataValidation type="list" allowBlank="1" showInputMessage="1" showErrorMessage="1" xr:uid="{171FF7DE-26EC-49D8-9356-5A708B1E463C}">
          <x14:formula1>
            <xm:f>項目!C17:$AMI$524289</xm:f>
          </x14:formula1>
          <xm:sqref>AMQ524295:AMQ524318</xm:sqref>
        </x14:dataValidation>
        <x14:dataValidation type="list" allowBlank="1" showInputMessage="1" showErrorMessage="1" xr:uid="{9217ED8C-8851-4F7D-A171-3DBA2A8614FC}">
          <x14:formula1>
            <xm:f>項目!C17:$AWE$524289</xm:f>
          </x14:formula1>
          <xm:sqref>AWM524295:AWM524318</xm:sqref>
        </x14:dataValidation>
        <x14:dataValidation type="list" allowBlank="1" showInputMessage="1" showErrorMessage="1" xr:uid="{7BDEDECA-CD00-402E-A252-F6A6DF668340}">
          <x14:formula1>
            <xm:f>項目!C17:$BGA$524289</xm:f>
          </x14:formula1>
          <xm:sqref>BGI524295:BGI524318</xm:sqref>
        </x14:dataValidation>
        <x14:dataValidation type="list" allowBlank="1" showInputMessage="1" showErrorMessage="1" xr:uid="{6E318A2A-D065-49BE-82CF-181DBE372AA0}">
          <x14:formula1>
            <xm:f>項目!C17:$BPW$524289</xm:f>
          </x14:formula1>
          <xm:sqref>BQE524295:BQE524318</xm:sqref>
        </x14:dataValidation>
        <x14:dataValidation type="list" allowBlank="1" showInputMessage="1" showErrorMessage="1" xr:uid="{01FBC176-95E4-485D-8BBB-A974564ED122}">
          <x14:formula1>
            <xm:f>項目!C17:$BZS$524289</xm:f>
          </x14:formula1>
          <xm:sqref>CAA524295:CAA524318</xm:sqref>
        </x14:dataValidation>
        <x14:dataValidation type="list" allowBlank="1" showInputMessage="1" showErrorMessage="1" xr:uid="{80361047-D92B-4073-AA47-96B38FBA8900}">
          <x14:formula1>
            <xm:f>項目!C17:$CJO$524289</xm:f>
          </x14:formula1>
          <xm:sqref>CJW524295:CJW524318</xm:sqref>
        </x14:dataValidation>
        <x14:dataValidation type="list" allowBlank="1" showInputMessage="1" showErrorMessage="1" xr:uid="{E21C0E7C-968B-4E95-BD4A-A41D6837E65E}">
          <x14:formula1>
            <xm:f>項目!C17:$CTK$524289</xm:f>
          </x14:formula1>
          <xm:sqref>CTS524295:CTS524318</xm:sqref>
        </x14:dataValidation>
        <x14:dataValidation type="list" allowBlank="1" showInputMessage="1" showErrorMessage="1" xr:uid="{C38291DA-C0B2-4E3A-90C4-CBA8BDF2DB61}">
          <x14:formula1>
            <xm:f>項目!C17:$DDG$524289</xm:f>
          </x14:formula1>
          <xm:sqref>DDO524295:DDO524318</xm:sqref>
        </x14:dataValidation>
        <x14:dataValidation type="list" allowBlank="1" showInputMessage="1" showErrorMessage="1" xr:uid="{0EDC4AD0-8BD5-4E62-A35A-3DFD544FC6AB}">
          <x14:formula1>
            <xm:f>項目!C17:$DNC$524289</xm:f>
          </x14:formula1>
          <xm:sqref>DNK524295:DNK524318</xm:sqref>
        </x14:dataValidation>
        <x14:dataValidation type="list" allowBlank="1" showInputMessage="1" showErrorMessage="1" xr:uid="{BFB7D5B0-454A-4A22-9188-425FE91E3D30}">
          <x14:formula1>
            <xm:f>項目!C17:$DWY$524289</xm:f>
          </x14:formula1>
          <xm:sqref>DXG524295:DXG524318</xm:sqref>
        </x14:dataValidation>
        <x14:dataValidation type="list" allowBlank="1" showInputMessage="1" showErrorMessage="1" xr:uid="{2AF1E719-0BA8-4FB4-8CC9-3FCDC742325B}">
          <x14:formula1>
            <xm:f>項目!C17:$EGU$524289</xm:f>
          </x14:formula1>
          <xm:sqref>EHC524295:EHC524318</xm:sqref>
        </x14:dataValidation>
        <x14:dataValidation type="list" allowBlank="1" showInputMessage="1" showErrorMessage="1" xr:uid="{DFC16903-AC3D-4188-A690-27461C6877AE}">
          <x14:formula1>
            <xm:f>項目!C17:$EQQ$524289</xm:f>
          </x14:formula1>
          <xm:sqref>EQY524295:EQY524318</xm:sqref>
        </x14:dataValidation>
        <x14:dataValidation type="list" allowBlank="1" showInputMessage="1" showErrorMessage="1" xr:uid="{8F98C841-4F1E-4D5C-A676-0030F90BBB97}">
          <x14:formula1>
            <xm:f>項目!C17:$FAM$524289</xm:f>
          </x14:formula1>
          <xm:sqref>FAU524295:FAU524318</xm:sqref>
        </x14:dataValidation>
        <x14:dataValidation type="list" allowBlank="1" showInputMessage="1" showErrorMessage="1" xr:uid="{71292A00-D466-4023-8F74-D0B55DE426AE}">
          <x14:formula1>
            <xm:f>項目!C17:$FKI$524289</xm:f>
          </x14:formula1>
          <xm:sqref>FKQ524295:FKQ524318</xm:sqref>
        </x14:dataValidation>
        <x14:dataValidation type="list" allowBlank="1" showInputMessage="1" showErrorMessage="1" xr:uid="{67D9BFA4-426A-4621-B709-ABA03BA5C5F5}">
          <x14:formula1>
            <xm:f>項目!C17:$FUE$524289</xm:f>
          </x14:formula1>
          <xm:sqref>FUM524295:FUM524318</xm:sqref>
        </x14:dataValidation>
        <x14:dataValidation type="list" allowBlank="1" showInputMessage="1" showErrorMessage="1" xr:uid="{B05740B9-DB26-4620-9A4A-41FD4C10DD5D}">
          <x14:formula1>
            <xm:f>項目!C17:$GEA$524289</xm:f>
          </x14:formula1>
          <xm:sqref>GEI524295:GEI524318</xm:sqref>
        </x14:dataValidation>
        <x14:dataValidation type="list" allowBlank="1" showInputMessage="1" showErrorMessage="1" xr:uid="{44C620CD-66B1-46AA-A16E-2141B2A20603}">
          <x14:formula1>
            <xm:f>項目!C17:$GNW$524289</xm:f>
          </x14:formula1>
          <xm:sqref>GOE524295:GOE524318</xm:sqref>
        </x14:dataValidation>
        <x14:dataValidation type="list" allowBlank="1" showInputMessage="1" showErrorMessage="1" xr:uid="{8860765A-7CF4-4D1F-893D-6C6425D6EBD1}">
          <x14:formula1>
            <xm:f>項目!C17:$GXS$524289</xm:f>
          </x14:formula1>
          <xm:sqref>GYA524295:GYA524318</xm:sqref>
        </x14:dataValidation>
        <x14:dataValidation type="list" allowBlank="1" showInputMessage="1" showErrorMessage="1" xr:uid="{76ACD9D8-BEB9-4FD4-9414-EAD67DC26C16}">
          <x14:formula1>
            <xm:f>項目!C17:$HHO$524289</xm:f>
          </x14:formula1>
          <xm:sqref>HHW524295:HHW524318</xm:sqref>
        </x14:dataValidation>
        <x14:dataValidation type="list" allowBlank="1" showInputMessage="1" showErrorMessage="1" xr:uid="{CDB902EB-584C-4CAC-9E49-809DD6DB777C}">
          <x14:formula1>
            <xm:f>項目!C17:$HRK$524289</xm:f>
          </x14:formula1>
          <xm:sqref>HRS524295:HRS524318</xm:sqref>
        </x14:dataValidation>
        <x14:dataValidation type="list" allowBlank="1" showInputMessage="1" showErrorMessage="1" xr:uid="{39D3281A-522F-45DA-8885-A692AE658BE0}">
          <x14:formula1>
            <xm:f>項目!C17:$IBG$524289</xm:f>
          </x14:formula1>
          <xm:sqref>IBO524295:IBO524318</xm:sqref>
        </x14:dataValidation>
        <x14:dataValidation type="list" allowBlank="1" showInputMessage="1" showErrorMessage="1" xr:uid="{D5E78F47-6174-4176-9623-9ADF257CAB4B}">
          <x14:formula1>
            <xm:f>項目!C17:$ILC$524289</xm:f>
          </x14:formula1>
          <xm:sqref>ILK524295:ILK524318</xm:sqref>
        </x14:dataValidation>
        <x14:dataValidation type="list" allowBlank="1" showInputMessage="1" showErrorMessage="1" xr:uid="{24C72D03-D69B-49B2-9B57-6866FB2F04DE}">
          <x14:formula1>
            <xm:f>項目!C17:$IUY$524289</xm:f>
          </x14:formula1>
          <xm:sqref>IVG524295:IVG524318</xm:sqref>
        </x14:dataValidation>
        <x14:dataValidation type="list" allowBlank="1" showInputMessage="1" showErrorMessage="1" xr:uid="{C6938709-355D-48DF-973C-BEE2F6009BD2}">
          <x14:formula1>
            <xm:f>項目!C17:$JEU$524289</xm:f>
          </x14:formula1>
          <xm:sqref>JFC524295:JFC524318</xm:sqref>
        </x14:dataValidation>
        <x14:dataValidation type="list" allowBlank="1" showInputMessage="1" showErrorMessage="1" xr:uid="{E9323DBE-75A8-48D2-9AE8-B68CBBBC7045}">
          <x14:formula1>
            <xm:f>項目!C17:$JOQ$524289</xm:f>
          </x14:formula1>
          <xm:sqref>JOY524295:JOY524318</xm:sqref>
        </x14:dataValidation>
        <x14:dataValidation type="list" allowBlank="1" showInputMessage="1" showErrorMessage="1" xr:uid="{E6F4057C-6E8B-4F1C-A7F7-60A98945CC0C}">
          <x14:formula1>
            <xm:f>項目!C17:$JYM$524289</xm:f>
          </x14:formula1>
          <xm:sqref>JYU524295:JYU524318</xm:sqref>
        </x14:dataValidation>
        <x14:dataValidation type="list" allowBlank="1" showInputMessage="1" showErrorMessage="1" xr:uid="{04D13A2D-0F75-4822-94EF-BA9A716F195A}">
          <x14:formula1>
            <xm:f>項目!C17:$KII$524289</xm:f>
          </x14:formula1>
          <xm:sqref>KIQ524295:KIQ524318</xm:sqref>
        </x14:dataValidation>
        <x14:dataValidation type="list" allowBlank="1" showInputMessage="1" showErrorMessage="1" xr:uid="{FF1B9068-A93A-4341-944D-7C40EB292F75}">
          <x14:formula1>
            <xm:f>項目!C17:$KSE$524289</xm:f>
          </x14:formula1>
          <xm:sqref>KSM524295:KSM524318</xm:sqref>
        </x14:dataValidation>
        <x14:dataValidation type="list" allowBlank="1" showInputMessage="1" showErrorMessage="1" xr:uid="{B03EBAAF-9030-4AF3-BCDF-95ECF7D69AF5}">
          <x14:formula1>
            <xm:f>項目!C17:$LCA$524289</xm:f>
          </x14:formula1>
          <xm:sqref>LCI524295:LCI524318</xm:sqref>
        </x14:dataValidation>
        <x14:dataValidation type="list" allowBlank="1" showInputMessage="1" showErrorMessage="1" xr:uid="{A4CC0019-5670-4414-BBA3-A04693735778}">
          <x14:formula1>
            <xm:f>項目!C17:$LLW$524289</xm:f>
          </x14:formula1>
          <xm:sqref>LME524295:LME524318</xm:sqref>
        </x14:dataValidation>
        <x14:dataValidation type="list" allowBlank="1" showInputMessage="1" showErrorMessage="1" xr:uid="{EC5732BC-FB53-4AF8-A448-A55FA6A9157E}">
          <x14:formula1>
            <xm:f>項目!C17:$LVS$524289</xm:f>
          </x14:formula1>
          <xm:sqref>LWA524295:LWA524318</xm:sqref>
        </x14:dataValidation>
        <x14:dataValidation type="list" allowBlank="1" showInputMessage="1" showErrorMessage="1" xr:uid="{C7925394-1796-47CB-838A-45D5022B214E}">
          <x14:formula1>
            <xm:f>項目!C17:$MFO$524289</xm:f>
          </x14:formula1>
          <xm:sqref>MFW524295:MFW524318</xm:sqref>
        </x14:dataValidation>
        <x14:dataValidation type="list" allowBlank="1" showInputMessage="1" showErrorMessage="1" xr:uid="{84633D82-ADEE-4655-9B0D-3F8ECD8470DF}">
          <x14:formula1>
            <xm:f>項目!C17:$MPK$524289</xm:f>
          </x14:formula1>
          <xm:sqref>MPS524295:MPS524318</xm:sqref>
        </x14:dataValidation>
        <x14:dataValidation type="list" allowBlank="1" showInputMessage="1" showErrorMessage="1" xr:uid="{D27BE828-39B4-4920-AF9A-36D114FBD819}">
          <x14:formula1>
            <xm:f>項目!C17:$MZG$524289</xm:f>
          </x14:formula1>
          <xm:sqref>MZO524295:MZO524318</xm:sqref>
        </x14:dataValidation>
        <x14:dataValidation type="list" allowBlank="1" showInputMessage="1" showErrorMessage="1" xr:uid="{B82841F3-B773-453B-8EC8-F1CA5C43B33A}">
          <x14:formula1>
            <xm:f>項目!C17:$NJC$524289</xm:f>
          </x14:formula1>
          <xm:sqref>NJK524295:NJK524318</xm:sqref>
        </x14:dataValidation>
        <x14:dataValidation type="list" allowBlank="1" showInputMessage="1" showErrorMessage="1" xr:uid="{F24A0E0E-220C-476F-ADC3-29D770C3DCBF}">
          <x14:formula1>
            <xm:f>項目!C17:$NSY$524289</xm:f>
          </x14:formula1>
          <xm:sqref>NTG524295:NTG524318</xm:sqref>
        </x14:dataValidation>
        <x14:dataValidation type="list" allowBlank="1" showInputMessage="1" showErrorMessage="1" xr:uid="{2272EC01-D6D9-405F-B22B-14C945F1864B}">
          <x14:formula1>
            <xm:f>項目!C17:$OCU$524289</xm:f>
          </x14:formula1>
          <xm:sqref>ODC524295:ODC524318</xm:sqref>
        </x14:dataValidation>
        <x14:dataValidation type="list" allowBlank="1" showInputMessage="1" showErrorMessage="1" xr:uid="{1D8A8E39-467F-493B-BCB7-C57F527C97B9}">
          <x14:formula1>
            <xm:f>項目!C17:$OMQ$524289</xm:f>
          </x14:formula1>
          <xm:sqref>OMY524295:OMY524318</xm:sqref>
        </x14:dataValidation>
        <x14:dataValidation type="list" allowBlank="1" showInputMessage="1" showErrorMessage="1" xr:uid="{09652967-965D-40D7-B023-2522052F51E3}">
          <x14:formula1>
            <xm:f>項目!C17:$OWM$524289</xm:f>
          </x14:formula1>
          <xm:sqref>OWU524295:OWU524318</xm:sqref>
        </x14:dataValidation>
        <x14:dataValidation type="list" allowBlank="1" showInputMessage="1" showErrorMessage="1" xr:uid="{B7C6BAA5-E328-4A95-B2E4-E6E3D983C1FB}">
          <x14:formula1>
            <xm:f>項目!C17:$PGI$524289</xm:f>
          </x14:formula1>
          <xm:sqref>PGQ524295:PGQ524318</xm:sqref>
        </x14:dataValidation>
        <x14:dataValidation type="list" allowBlank="1" showInputMessage="1" showErrorMessage="1" xr:uid="{9ACC2631-2E87-4586-BDAF-3DB04CD5B506}">
          <x14:formula1>
            <xm:f>項目!C17:$PQE$524289</xm:f>
          </x14:formula1>
          <xm:sqref>PQM524295:PQM524318</xm:sqref>
        </x14:dataValidation>
        <x14:dataValidation type="list" allowBlank="1" showInputMessage="1" showErrorMessage="1" xr:uid="{CFC07D67-6E6F-4E5A-BD5C-6B1B05D11BFF}">
          <x14:formula1>
            <xm:f>項目!C17:$QAA$524289</xm:f>
          </x14:formula1>
          <xm:sqref>QAI524295:QAI524318</xm:sqref>
        </x14:dataValidation>
        <x14:dataValidation type="list" allowBlank="1" showInputMessage="1" showErrorMessage="1" xr:uid="{1484F111-B243-4D92-B6F5-DE3B32C446A2}">
          <x14:formula1>
            <xm:f>項目!C17:$QJW$524289</xm:f>
          </x14:formula1>
          <xm:sqref>QKE524295:QKE524318</xm:sqref>
        </x14:dataValidation>
        <x14:dataValidation type="list" allowBlank="1" showInputMessage="1" showErrorMessage="1" xr:uid="{FFC22F50-D225-455C-AC27-39DCB86B0F17}">
          <x14:formula1>
            <xm:f>項目!C17:$QTS$524289</xm:f>
          </x14:formula1>
          <xm:sqref>QUA524295:QUA524318</xm:sqref>
        </x14:dataValidation>
        <x14:dataValidation type="list" allowBlank="1" showInputMessage="1" showErrorMessage="1" xr:uid="{348FE1CE-2D7B-40FE-9193-C4CB6C74538C}">
          <x14:formula1>
            <xm:f>項目!C17:$RDO$524289</xm:f>
          </x14:formula1>
          <xm:sqref>RDW524295:RDW524318</xm:sqref>
        </x14:dataValidation>
        <x14:dataValidation type="list" allowBlank="1" showInputMessage="1" showErrorMessage="1" xr:uid="{1D9D8225-E4DE-49AE-B986-78A68BC3D8D8}">
          <x14:formula1>
            <xm:f>項目!C17:$RNK$524289</xm:f>
          </x14:formula1>
          <xm:sqref>RNS524295:RNS524318</xm:sqref>
        </x14:dataValidation>
        <x14:dataValidation type="list" allowBlank="1" showInputMessage="1" showErrorMessage="1" xr:uid="{BBB350AA-01DE-44A0-A6E6-D96371657161}">
          <x14:formula1>
            <xm:f>項目!C17:$RXG$524289</xm:f>
          </x14:formula1>
          <xm:sqref>RXO524295:RXO524318</xm:sqref>
        </x14:dataValidation>
        <x14:dataValidation type="list" allowBlank="1" showInputMessage="1" showErrorMessage="1" xr:uid="{BD7623CB-D7A1-4A63-A2FD-64E88B36EAB3}">
          <x14:formula1>
            <xm:f>項目!C17:$SHC$524289</xm:f>
          </x14:formula1>
          <xm:sqref>SHK524295:SHK524318</xm:sqref>
        </x14:dataValidation>
        <x14:dataValidation type="list" allowBlank="1" showInputMessage="1" showErrorMessage="1" xr:uid="{87882BBD-3303-44C5-8D1C-6D82A1C56CC3}">
          <x14:formula1>
            <xm:f>項目!C17:$SQY$524289</xm:f>
          </x14:formula1>
          <xm:sqref>SRG524295:SRG524318</xm:sqref>
        </x14:dataValidation>
        <x14:dataValidation type="list" allowBlank="1" showInputMessage="1" showErrorMessage="1" xr:uid="{0CAF9123-D8B3-4268-BBF2-980AE24301AD}">
          <x14:formula1>
            <xm:f>項目!C17:$TAU$524289</xm:f>
          </x14:formula1>
          <xm:sqref>TBC524295:TBC524318</xm:sqref>
        </x14:dataValidation>
        <x14:dataValidation type="list" allowBlank="1" showInputMessage="1" showErrorMessage="1" xr:uid="{C297DA82-9FEE-436A-AC72-25465C0460C3}">
          <x14:formula1>
            <xm:f>項目!C17:$TKQ$524289</xm:f>
          </x14:formula1>
          <xm:sqref>TKY524295:TKY524318</xm:sqref>
        </x14:dataValidation>
        <x14:dataValidation type="list" allowBlank="1" showInputMessage="1" showErrorMessage="1" xr:uid="{4E3F81DD-4ADE-4943-A7BB-E73F74742A39}">
          <x14:formula1>
            <xm:f>項目!C17:$TUM$524289</xm:f>
          </x14:formula1>
          <xm:sqref>TUU524295:TUU524318</xm:sqref>
        </x14:dataValidation>
        <x14:dataValidation type="list" allowBlank="1" showInputMessage="1" showErrorMessage="1" xr:uid="{48EC87A8-A1CF-457A-8E49-7CC48E7169B3}">
          <x14:formula1>
            <xm:f>項目!C17:$UEI$524289</xm:f>
          </x14:formula1>
          <xm:sqref>UEQ524295:UEQ524318</xm:sqref>
        </x14:dataValidation>
        <x14:dataValidation type="list" allowBlank="1" showInputMessage="1" showErrorMessage="1" xr:uid="{B7AA94E8-3118-4CCC-AB72-03570C4AB330}">
          <x14:formula1>
            <xm:f>項目!C17:$UOE$524289</xm:f>
          </x14:formula1>
          <xm:sqref>UOM524295:UOM524318</xm:sqref>
        </x14:dataValidation>
        <x14:dataValidation type="list" allowBlank="1" showInputMessage="1" showErrorMessage="1" xr:uid="{03740B7E-FE51-4613-9482-8AC5FD90164D}">
          <x14:formula1>
            <xm:f>項目!C17:$UYA$524289</xm:f>
          </x14:formula1>
          <xm:sqref>UYI524295:UYI524318</xm:sqref>
        </x14:dataValidation>
        <x14:dataValidation type="list" allowBlank="1" showInputMessage="1" showErrorMessage="1" xr:uid="{9E110EE7-A03F-4745-9792-0D8AC53607D4}">
          <x14:formula1>
            <xm:f>項目!C17:$VHW$524289</xm:f>
          </x14:formula1>
          <xm:sqref>VIE524295:VIE524318</xm:sqref>
        </x14:dataValidation>
        <x14:dataValidation type="list" allowBlank="1" showInputMessage="1" showErrorMessage="1" xr:uid="{D0A63D55-7B6A-4A3D-BA2B-30C46E7DD755}">
          <x14:formula1>
            <xm:f>項目!C17:$VRS$524289</xm:f>
          </x14:formula1>
          <xm:sqref>VSA524295:VSA524318</xm:sqref>
        </x14:dataValidation>
        <x14:dataValidation type="list" allowBlank="1" showInputMessage="1" showErrorMessage="1" xr:uid="{28954006-2BC3-4C3A-AC78-796E5D60B1D9}">
          <x14:formula1>
            <xm:f>項目!C17:$WBO$524289</xm:f>
          </x14:formula1>
          <xm:sqref>WBW524295:WBW524318</xm:sqref>
        </x14:dataValidation>
        <x14:dataValidation type="list" allowBlank="1" showInputMessage="1" showErrorMessage="1" xr:uid="{4C3AFFBC-DC91-47B4-9856-AC44E8B411A2}">
          <x14:formula1>
            <xm:f>項目!C17:$WLK$524289</xm:f>
          </x14:formula1>
          <xm:sqref>WLS524295:WLS524318</xm:sqref>
        </x14:dataValidation>
        <x14:dataValidation type="list" allowBlank="1" showInputMessage="1" showErrorMessage="1" xr:uid="{7BB5B62A-C626-4735-98FB-495C5EEB8201}">
          <x14:formula1>
            <xm:f>項目!C17:$WVG$524289</xm:f>
          </x14:formula1>
          <xm:sqref>WVO524295:WVO524318</xm:sqref>
        </x14:dataValidation>
        <x14:dataValidation type="list" allowBlank="1" showInputMessage="1" showErrorMessage="1" xr:uid="{8064B892-1F25-456A-92EC-49364F38F408}">
          <x14:formula1>
            <xm:f>項目!C17:$IU$589825</xm:f>
          </x14:formula1>
          <xm:sqref>JC589831:JC589854</xm:sqref>
        </x14:dataValidation>
        <x14:dataValidation type="list" allowBlank="1" showInputMessage="1" showErrorMessage="1" xr:uid="{B1470DD2-0584-4659-8E45-F3B1E46E9AEE}">
          <x14:formula1>
            <xm:f>項目!C17:$SQ$589825</xm:f>
          </x14:formula1>
          <xm:sqref>SY589831:SY589854</xm:sqref>
        </x14:dataValidation>
        <x14:dataValidation type="list" allowBlank="1" showInputMessage="1" showErrorMessage="1" xr:uid="{5C4947C7-0713-4A77-973F-DC35111B0E29}">
          <x14:formula1>
            <xm:f>項目!C17:$ACM$589825</xm:f>
          </x14:formula1>
          <xm:sqref>ACU589831:ACU589854</xm:sqref>
        </x14:dataValidation>
        <x14:dataValidation type="list" allowBlank="1" showInputMessage="1" showErrorMessage="1" xr:uid="{761D0436-B8C6-4FE2-B6A9-56A6F2B2BD90}">
          <x14:formula1>
            <xm:f>項目!C17:$AMI$589825</xm:f>
          </x14:formula1>
          <xm:sqref>AMQ589831:AMQ589854</xm:sqref>
        </x14:dataValidation>
        <x14:dataValidation type="list" allowBlank="1" showInputMessage="1" showErrorMessage="1" xr:uid="{345EA540-82AB-49FC-9875-91EBF8213BD6}">
          <x14:formula1>
            <xm:f>項目!C17:$AWE$589825</xm:f>
          </x14:formula1>
          <xm:sqref>AWM589831:AWM589854</xm:sqref>
        </x14:dataValidation>
        <x14:dataValidation type="list" allowBlank="1" showInputMessage="1" showErrorMessage="1" xr:uid="{DF48ABEA-21CF-42C3-BC76-CF87316972C4}">
          <x14:formula1>
            <xm:f>項目!C17:$BGA$589825</xm:f>
          </x14:formula1>
          <xm:sqref>BGI589831:BGI589854</xm:sqref>
        </x14:dataValidation>
        <x14:dataValidation type="list" allowBlank="1" showInputMessage="1" showErrorMessage="1" xr:uid="{4AEC7A6C-B95D-4B2E-831C-65F5399AE983}">
          <x14:formula1>
            <xm:f>項目!C17:$BPW$589825</xm:f>
          </x14:formula1>
          <xm:sqref>BQE589831:BQE589854</xm:sqref>
        </x14:dataValidation>
        <x14:dataValidation type="list" allowBlank="1" showInputMessage="1" showErrorMessage="1" xr:uid="{BDB36B6C-175D-479F-82A9-9BE2D088D0DC}">
          <x14:formula1>
            <xm:f>項目!C17:$BZS$589825</xm:f>
          </x14:formula1>
          <xm:sqref>CAA589831:CAA589854</xm:sqref>
        </x14:dataValidation>
        <x14:dataValidation type="list" allowBlank="1" showInputMessage="1" showErrorMessage="1" xr:uid="{9A80C394-35A0-4F27-B262-8CAB2680AAE2}">
          <x14:formula1>
            <xm:f>項目!C17:$CJO$589825</xm:f>
          </x14:formula1>
          <xm:sqref>CJW589831:CJW589854</xm:sqref>
        </x14:dataValidation>
        <x14:dataValidation type="list" allowBlank="1" showInputMessage="1" showErrorMessage="1" xr:uid="{BAC2777F-6C1F-41F7-92C8-287B6376E237}">
          <x14:formula1>
            <xm:f>項目!C17:$CTK$589825</xm:f>
          </x14:formula1>
          <xm:sqref>CTS589831:CTS589854</xm:sqref>
        </x14:dataValidation>
        <x14:dataValidation type="list" allowBlank="1" showInputMessage="1" showErrorMessage="1" xr:uid="{2BC3EA21-03C6-426C-A5A0-295F2EB6CD1D}">
          <x14:formula1>
            <xm:f>項目!C17:$DDG$589825</xm:f>
          </x14:formula1>
          <xm:sqref>DDO589831:DDO589854</xm:sqref>
        </x14:dataValidation>
        <x14:dataValidation type="list" allowBlank="1" showInputMessage="1" showErrorMessage="1" xr:uid="{5B57C74C-8D3F-4F02-94A7-40854084A4A7}">
          <x14:formula1>
            <xm:f>項目!C17:$DNC$589825</xm:f>
          </x14:formula1>
          <xm:sqref>DNK589831:DNK589854</xm:sqref>
        </x14:dataValidation>
        <x14:dataValidation type="list" allowBlank="1" showInputMessage="1" showErrorMessage="1" xr:uid="{0010FB39-567C-4A76-9919-5BCA11FD484E}">
          <x14:formula1>
            <xm:f>項目!C17:$DWY$589825</xm:f>
          </x14:formula1>
          <xm:sqref>DXG589831:DXG589854</xm:sqref>
        </x14:dataValidation>
        <x14:dataValidation type="list" allowBlank="1" showInputMessage="1" showErrorMessage="1" xr:uid="{8C6A7C45-387C-49E8-8975-F0D376105F72}">
          <x14:formula1>
            <xm:f>項目!C17:$EGU$589825</xm:f>
          </x14:formula1>
          <xm:sqref>EHC589831:EHC589854</xm:sqref>
        </x14:dataValidation>
        <x14:dataValidation type="list" allowBlank="1" showInputMessage="1" showErrorMessage="1" xr:uid="{4527B425-ABBF-448E-8A9F-F42A0CAA582D}">
          <x14:formula1>
            <xm:f>項目!C17:$EQQ$589825</xm:f>
          </x14:formula1>
          <xm:sqref>EQY589831:EQY589854</xm:sqref>
        </x14:dataValidation>
        <x14:dataValidation type="list" allowBlank="1" showInputMessage="1" showErrorMessage="1" xr:uid="{AF990DB5-00B8-4A53-B1AE-45E10EE1345B}">
          <x14:formula1>
            <xm:f>項目!C17:$FAM$589825</xm:f>
          </x14:formula1>
          <xm:sqref>FAU589831:FAU589854</xm:sqref>
        </x14:dataValidation>
        <x14:dataValidation type="list" allowBlank="1" showInputMessage="1" showErrorMessage="1" xr:uid="{3983B7E8-B542-4523-BC69-F29AD7ED2801}">
          <x14:formula1>
            <xm:f>項目!C17:$FKI$589825</xm:f>
          </x14:formula1>
          <xm:sqref>FKQ589831:FKQ589854</xm:sqref>
        </x14:dataValidation>
        <x14:dataValidation type="list" allowBlank="1" showInputMessage="1" showErrorMessage="1" xr:uid="{BB411286-C068-43C4-B418-0FF049BCE3C9}">
          <x14:formula1>
            <xm:f>項目!C17:$FUE$589825</xm:f>
          </x14:formula1>
          <xm:sqref>FUM589831:FUM589854</xm:sqref>
        </x14:dataValidation>
        <x14:dataValidation type="list" allowBlank="1" showInputMessage="1" showErrorMessage="1" xr:uid="{57629EC2-5339-4A0F-A333-CD0AF3A54CA1}">
          <x14:formula1>
            <xm:f>項目!C17:$GEA$589825</xm:f>
          </x14:formula1>
          <xm:sqref>GEI589831:GEI589854</xm:sqref>
        </x14:dataValidation>
        <x14:dataValidation type="list" allowBlank="1" showInputMessage="1" showErrorMessage="1" xr:uid="{525EB1E5-FED9-497B-923E-83CF7D98D133}">
          <x14:formula1>
            <xm:f>項目!C17:$GNW$589825</xm:f>
          </x14:formula1>
          <xm:sqref>GOE589831:GOE589854</xm:sqref>
        </x14:dataValidation>
        <x14:dataValidation type="list" allowBlank="1" showInputMessage="1" showErrorMessage="1" xr:uid="{F2AB55E8-8B83-49DF-BD14-FAEB7F4444F2}">
          <x14:formula1>
            <xm:f>項目!C17:$GXS$589825</xm:f>
          </x14:formula1>
          <xm:sqref>GYA589831:GYA589854</xm:sqref>
        </x14:dataValidation>
        <x14:dataValidation type="list" allowBlank="1" showInputMessage="1" showErrorMessage="1" xr:uid="{010A4BB7-C508-4D0D-A26E-F8AD5101716A}">
          <x14:formula1>
            <xm:f>項目!C17:$HHO$589825</xm:f>
          </x14:formula1>
          <xm:sqref>HHW589831:HHW589854</xm:sqref>
        </x14:dataValidation>
        <x14:dataValidation type="list" allowBlank="1" showInputMessage="1" showErrorMessage="1" xr:uid="{129AAB67-CC5A-4F07-8826-A6240CF83CB4}">
          <x14:formula1>
            <xm:f>項目!C17:$HRK$589825</xm:f>
          </x14:formula1>
          <xm:sqref>HRS589831:HRS589854</xm:sqref>
        </x14:dataValidation>
        <x14:dataValidation type="list" allowBlank="1" showInputMessage="1" showErrorMessage="1" xr:uid="{1BDB7872-90A8-4D19-9C68-BEDF0BF19A15}">
          <x14:formula1>
            <xm:f>項目!C17:$IBG$589825</xm:f>
          </x14:formula1>
          <xm:sqref>IBO589831:IBO589854</xm:sqref>
        </x14:dataValidation>
        <x14:dataValidation type="list" allowBlank="1" showInputMessage="1" showErrorMessage="1" xr:uid="{9D3BA290-DD02-4F74-8B0A-4C69FE3FD0AE}">
          <x14:formula1>
            <xm:f>項目!C17:$ILC$589825</xm:f>
          </x14:formula1>
          <xm:sqref>ILK589831:ILK589854</xm:sqref>
        </x14:dataValidation>
        <x14:dataValidation type="list" allowBlank="1" showInputMessage="1" showErrorMessage="1" xr:uid="{DCD74E32-C296-4CF2-B640-F7ABF7B6AAEF}">
          <x14:formula1>
            <xm:f>項目!C17:$IUY$589825</xm:f>
          </x14:formula1>
          <xm:sqref>IVG589831:IVG589854</xm:sqref>
        </x14:dataValidation>
        <x14:dataValidation type="list" allowBlank="1" showInputMessage="1" showErrorMessage="1" xr:uid="{EDDA4A67-DDE6-4A12-8F67-565E4EDE9D7B}">
          <x14:formula1>
            <xm:f>項目!C17:$JEU$589825</xm:f>
          </x14:formula1>
          <xm:sqref>JFC589831:JFC589854</xm:sqref>
        </x14:dataValidation>
        <x14:dataValidation type="list" allowBlank="1" showInputMessage="1" showErrorMessage="1" xr:uid="{324CADCD-C0EA-4EFF-92CC-6C71F159D55B}">
          <x14:formula1>
            <xm:f>項目!C17:$JOQ$589825</xm:f>
          </x14:formula1>
          <xm:sqref>JOY589831:JOY589854</xm:sqref>
        </x14:dataValidation>
        <x14:dataValidation type="list" allowBlank="1" showInputMessage="1" showErrorMessage="1" xr:uid="{C9BC6664-2DF1-4564-914E-97A8C2A62E23}">
          <x14:formula1>
            <xm:f>項目!C17:$JYM$589825</xm:f>
          </x14:formula1>
          <xm:sqref>JYU589831:JYU589854</xm:sqref>
        </x14:dataValidation>
        <x14:dataValidation type="list" allowBlank="1" showInputMessage="1" showErrorMessage="1" xr:uid="{1A643762-E0FF-45D1-B290-B766A1959521}">
          <x14:formula1>
            <xm:f>項目!C17:$KII$589825</xm:f>
          </x14:formula1>
          <xm:sqref>KIQ589831:KIQ589854</xm:sqref>
        </x14:dataValidation>
        <x14:dataValidation type="list" allowBlank="1" showInputMessage="1" showErrorMessage="1" xr:uid="{5F0A394E-CE78-432A-BC28-8ED91CE7FBC4}">
          <x14:formula1>
            <xm:f>項目!C17:$KSE$589825</xm:f>
          </x14:formula1>
          <xm:sqref>KSM589831:KSM589854</xm:sqref>
        </x14:dataValidation>
        <x14:dataValidation type="list" allowBlank="1" showInputMessage="1" showErrorMessage="1" xr:uid="{79290E70-9678-4304-9148-76BB268E72E6}">
          <x14:formula1>
            <xm:f>項目!C17:$LCA$589825</xm:f>
          </x14:formula1>
          <xm:sqref>LCI589831:LCI589854</xm:sqref>
        </x14:dataValidation>
        <x14:dataValidation type="list" allowBlank="1" showInputMessage="1" showErrorMessage="1" xr:uid="{DC38F67C-2BBD-4DFB-A6F9-189023B62EA2}">
          <x14:formula1>
            <xm:f>項目!C17:$LLW$589825</xm:f>
          </x14:formula1>
          <xm:sqref>LME589831:LME589854</xm:sqref>
        </x14:dataValidation>
        <x14:dataValidation type="list" allowBlank="1" showInputMessage="1" showErrorMessage="1" xr:uid="{30785269-AE8F-40DA-AC95-426E59CE578D}">
          <x14:formula1>
            <xm:f>項目!C17:$LVS$589825</xm:f>
          </x14:formula1>
          <xm:sqref>LWA589831:LWA589854</xm:sqref>
        </x14:dataValidation>
        <x14:dataValidation type="list" allowBlank="1" showInputMessage="1" showErrorMessage="1" xr:uid="{73C2F81D-9D4A-49A9-8888-F54139001B78}">
          <x14:formula1>
            <xm:f>項目!C17:$MFO$589825</xm:f>
          </x14:formula1>
          <xm:sqref>MFW589831:MFW589854</xm:sqref>
        </x14:dataValidation>
        <x14:dataValidation type="list" allowBlank="1" showInputMessage="1" showErrorMessage="1" xr:uid="{094AF6E8-1E52-450A-A649-EEAC745E4652}">
          <x14:formula1>
            <xm:f>項目!C17:$MPK$589825</xm:f>
          </x14:formula1>
          <xm:sqref>MPS589831:MPS589854</xm:sqref>
        </x14:dataValidation>
        <x14:dataValidation type="list" allowBlank="1" showInputMessage="1" showErrorMessage="1" xr:uid="{4329A238-4CA4-4DB6-B5D3-9326E2E785DC}">
          <x14:formula1>
            <xm:f>項目!C17:$MZG$589825</xm:f>
          </x14:formula1>
          <xm:sqref>MZO589831:MZO589854</xm:sqref>
        </x14:dataValidation>
        <x14:dataValidation type="list" allowBlank="1" showInputMessage="1" showErrorMessage="1" xr:uid="{5C8EE41D-0F43-444D-8C36-4405B656EDB0}">
          <x14:formula1>
            <xm:f>項目!C17:$NJC$589825</xm:f>
          </x14:formula1>
          <xm:sqref>NJK589831:NJK589854</xm:sqref>
        </x14:dataValidation>
        <x14:dataValidation type="list" allowBlank="1" showInputMessage="1" showErrorMessage="1" xr:uid="{8ADF4DDF-9291-459C-BD6B-D1CE63FAF6AF}">
          <x14:formula1>
            <xm:f>項目!C17:$NSY$589825</xm:f>
          </x14:formula1>
          <xm:sqref>NTG589831:NTG589854</xm:sqref>
        </x14:dataValidation>
        <x14:dataValidation type="list" allowBlank="1" showInputMessage="1" showErrorMessage="1" xr:uid="{831098B3-390D-4CB3-A292-D0BEA252AF4F}">
          <x14:formula1>
            <xm:f>項目!C17:$OCU$589825</xm:f>
          </x14:formula1>
          <xm:sqref>ODC589831:ODC589854</xm:sqref>
        </x14:dataValidation>
        <x14:dataValidation type="list" allowBlank="1" showInputMessage="1" showErrorMessage="1" xr:uid="{5E607B3E-C8F1-4237-96F9-779CE637BF04}">
          <x14:formula1>
            <xm:f>項目!C17:$OMQ$589825</xm:f>
          </x14:formula1>
          <xm:sqref>OMY589831:OMY589854</xm:sqref>
        </x14:dataValidation>
        <x14:dataValidation type="list" allowBlank="1" showInputMessage="1" showErrorMessage="1" xr:uid="{4F126091-C72A-4450-BD70-8FDFEC972D8D}">
          <x14:formula1>
            <xm:f>項目!C17:$OWM$589825</xm:f>
          </x14:formula1>
          <xm:sqref>OWU589831:OWU589854</xm:sqref>
        </x14:dataValidation>
        <x14:dataValidation type="list" allowBlank="1" showInputMessage="1" showErrorMessage="1" xr:uid="{CDEFAEF7-B9F8-483A-BFC8-977D73F9F462}">
          <x14:formula1>
            <xm:f>項目!C17:$PGI$589825</xm:f>
          </x14:formula1>
          <xm:sqref>PGQ589831:PGQ589854</xm:sqref>
        </x14:dataValidation>
        <x14:dataValidation type="list" allowBlank="1" showInputMessage="1" showErrorMessage="1" xr:uid="{00C69D02-FB51-4448-828A-4A11CC66122D}">
          <x14:formula1>
            <xm:f>項目!C17:$PQE$589825</xm:f>
          </x14:formula1>
          <xm:sqref>PQM589831:PQM589854</xm:sqref>
        </x14:dataValidation>
        <x14:dataValidation type="list" allowBlank="1" showInputMessage="1" showErrorMessage="1" xr:uid="{5E8B75A7-7B28-485D-B443-31DE9755DBD3}">
          <x14:formula1>
            <xm:f>項目!C17:$QAA$589825</xm:f>
          </x14:formula1>
          <xm:sqref>QAI589831:QAI589854</xm:sqref>
        </x14:dataValidation>
        <x14:dataValidation type="list" allowBlank="1" showInputMessage="1" showErrorMessage="1" xr:uid="{B756BDB5-11A3-4F52-922D-630507B2BC32}">
          <x14:formula1>
            <xm:f>項目!C17:$QJW$589825</xm:f>
          </x14:formula1>
          <xm:sqref>QKE589831:QKE589854</xm:sqref>
        </x14:dataValidation>
        <x14:dataValidation type="list" allowBlank="1" showInputMessage="1" showErrorMessage="1" xr:uid="{17F40DAB-721F-47D8-89C4-DA94BB46EBB0}">
          <x14:formula1>
            <xm:f>項目!C17:$QTS$589825</xm:f>
          </x14:formula1>
          <xm:sqref>QUA589831:QUA589854</xm:sqref>
        </x14:dataValidation>
        <x14:dataValidation type="list" allowBlank="1" showInputMessage="1" showErrorMessage="1" xr:uid="{3D362CEF-A2B4-4767-AB34-89DE4D32FB62}">
          <x14:formula1>
            <xm:f>項目!C17:$RDO$589825</xm:f>
          </x14:formula1>
          <xm:sqref>RDW589831:RDW589854</xm:sqref>
        </x14:dataValidation>
        <x14:dataValidation type="list" allowBlank="1" showInputMessage="1" showErrorMessage="1" xr:uid="{96807F37-2046-49B3-9ACA-1150104E5060}">
          <x14:formula1>
            <xm:f>項目!C17:$RNK$589825</xm:f>
          </x14:formula1>
          <xm:sqref>RNS589831:RNS589854</xm:sqref>
        </x14:dataValidation>
        <x14:dataValidation type="list" allowBlank="1" showInputMessage="1" showErrorMessage="1" xr:uid="{761F0A39-E596-48AC-9459-514AE4A75B02}">
          <x14:formula1>
            <xm:f>項目!C17:$RXG$589825</xm:f>
          </x14:formula1>
          <xm:sqref>RXO589831:RXO589854</xm:sqref>
        </x14:dataValidation>
        <x14:dataValidation type="list" allowBlank="1" showInputMessage="1" showErrorMessage="1" xr:uid="{EBA0E2C2-9DE7-456E-80B4-2E153DDA300B}">
          <x14:formula1>
            <xm:f>項目!C17:$SHC$589825</xm:f>
          </x14:formula1>
          <xm:sqref>SHK589831:SHK589854</xm:sqref>
        </x14:dataValidation>
        <x14:dataValidation type="list" allowBlank="1" showInputMessage="1" showErrorMessage="1" xr:uid="{EC4B49F5-FC79-4997-ADAD-6299CEBB1F7B}">
          <x14:formula1>
            <xm:f>項目!C17:$SQY$589825</xm:f>
          </x14:formula1>
          <xm:sqref>SRG589831:SRG589854</xm:sqref>
        </x14:dataValidation>
        <x14:dataValidation type="list" allowBlank="1" showInputMessage="1" showErrorMessage="1" xr:uid="{5C69B221-0033-413C-9E74-D0EA077B8928}">
          <x14:formula1>
            <xm:f>項目!C17:$TAU$589825</xm:f>
          </x14:formula1>
          <xm:sqref>TBC589831:TBC589854</xm:sqref>
        </x14:dataValidation>
        <x14:dataValidation type="list" allowBlank="1" showInputMessage="1" showErrorMessage="1" xr:uid="{98503FF9-0DF8-4FAC-A010-FDB71C738D30}">
          <x14:formula1>
            <xm:f>項目!C17:$TKQ$589825</xm:f>
          </x14:formula1>
          <xm:sqref>TKY589831:TKY589854</xm:sqref>
        </x14:dataValidation>
        <x14:dataValidation type="list" allowBlank="1" showInputMessage="1" showErrorMessage="1" xr:uid="{B46C9A7D-A0EC-4220-BD46-840B205F7606}">
          <x14:formula1>
            <xm:f>項目!C17:$TUM$589825</xm:f>
          </x14:formula1>
          <xm:sqref>TUU589831:TUU589854</xm:sqref>
        </x14:dataValidation>
        <x14:dataValidation type="list" allowBlank="1" showInputMessage="1" showErrorMessage="1" xr:uid="{5E6CD7A5-CC7E-4A25-B7A4-455317B3FF87}">
          <x14:formula1>
            <xm:f>項目!C17:$UEI$589825</xm:f>
          </x14:formula1>
          <xm:sqref>UEQ589831:UEQ589854</xm:sqref>
        </x14:dataValidation>
        <x14:dataValidation type="list" allowBlank="1" showInputMessage="1" showErrorMessage="1" xr:uid="{1E8A4C92-3FCB-4706-8588-291E1C9D66E5}">
          <x14:formula1>
            <xm:f>項目!C17:$UOE$589825</xm:f>
          </x14:formula1>
          <xm:sqref>UOM589831:UOM589854</xm:sqref>
        </x14:dataValidation>
        <x14:dataValidation type="list" allowBlank="1" showInputMessage="1" showErrorMessage="1" xr:uid="{4ABA8663-24E6-4092-A977-8A2289887B15}">
          <x14:formula1>
            <xm:f>項目!C17:$UYA$589825</xm:f>
          </x14:formula1>
          <xm:sqref>UYI589831:UYI589854</xm:sqref>
        </x14:dataValidation>
        <x14:dataValidation type="list" allowBlank="1" showInputMessage="1" showErrorMessage="1" xr:uid="{750F87A1-B7D6-45E0-A459-D958025AC370}">
          <x14:formula1>
            <xm:f>項目!C17:$VHW$589825</xm:f>
          </x14:formula1>
          <xm:sqref>VIE589831:VIE589854</xm:sqref>
        </x14:dataValidation>
        <x14:dataValidation type="list" allowBlank="1" showInputMessage="1" showErrorMessage="1" xr:uid="{AF22145B-4B0A-43BC-B64C-4D06C35FE498}">
          <x14:formula1>
            <xm:f>項目!C17:$VRS$589825</xm:f>
          </x14:formula1>
          <xm:sqref>VSA589831:VSA589854</xm:sqref>
        </x14:dataValidation>
        <x14:dataValidation type="list" allowBlank="1" showInputMessage="1" showErrorMessage="1" xr:uid="{F244CC9B-9F0C-4B45-8DB6-7F81C30905D2}">
          <x14:formula1>
            <xm:f>項目!C17:$WBO$589825</xm:f>
          </x14:formula1>
          <xm:sqref>WBW589831:WBW589854</xm:sqref>
        </x14:dataValidation>
        <x14:dataValidation type="list" allowBlank="1" showInputMessage="1" showErrorMessage="1" xr:uid="{29D71F8C-15F4-425A-9698-231A02AF19F6}">
          <x14:formula1>
            <xm:f>項目!C17:$WLK$589825</xm:f>
          </x14:formula1>
          <xm:sqref>WLS589831:WLS589854</xm:sqref>
        </x14:dataValidation>
        <x14:dataValidation type="list" allowBlank="1" showInputMessage="1" showErrorMessage="1" xr:uid="{3225ACC6-A733-46DE-9F5D-57B4F819E786}">
          <x14:formula1>
            <xm:f>項目!C17:$WVG$589825</xm:f>
          </x14:formula1>
          <xm:sqref>WVO589831:WVO589854</xm:sqref>
        </x14:dataValidation>
        <x14:dataValidation type="list" allowBlank="1" showInputMessage="1" showErrorMessage="1" xr:uid="{9358530C-9C73-4349-9E3A-AB2E7460ABBE}">
          <x14:formula1>
            <xm:f>項目!C17:$IU$655361</xm:f>
          </x14:formula1>
          <xm:sqref>JC655367:JC655390</xm:sqref>
        </x14:dataValidation>
        <x14:dataValidation type="list" allowBlank="1" showInputMessage="1" showErrorMessage="1" xr:uid="{7EF16B22-25C2-4932-89E0-9447CC2CFBD9}">
          <x14:formula1>
            <xm:f>項目!C17:$SQ$655361</xm:f>
          </x14:formula1>
          <xm:sqref>SY655367:SY655390</xm:sqref>
        </x14:dataValidation>
        <x14:dataValidation type="list" allowBlank="1" showInputMessage="1" showErrorMessage="1" xr:uid="{F7A41085-5CD7-4DD0-809E-00FE2F84E271}">
          <x14:formula1>
            <xm:f>項目!C17:$ACM$655361</xm:f>
          </x14:formula1>
          <xm:sqref>ACU655367:ACU655390</xm:sqref>
        </x14:dataValidation>
        <x14:dataValidation type="list" allowBlank="1" showInputMessage="1" showErrorMessage="1" xr:uid="{9FAB1F07-BD2A-40CA-B5AC-E087E83ADA59}">
          <x14:formula1>
            <xm:f>項目!C17:$AMI$655361</xm:f>
          </x14:formula1>
          <xm:sqref>AMQ655367:AMQ655390</xm:sqref>
        </x14:dataValidation>
        <x14:dataValidation type="list" allowBlank="1" showInputMessage="1" showErrorMessage="1" xr:uid="{7293C7ED-E52B-40B1-894C-6DA5C97DF25A}">
          <x14:formula1>
            <xm:f>項目!C17:$AWE$655361</xm:f>
          </x14:formula1>
          <xm:sqref>AWM655367:AWM655390</xm:sqref>
        </x14:dataValidation>
        <x14:dataValidation type="list" allowBlank="1" showInputMessage="1" showErrorMessage="1" xr:uid="{D7C4EE98-23FD-43A3-88AF-BD588B65E3BB}">
          <x14:formula1>
            <xm:f>項目!C17:$BGA$655361</xm:f>
          </x14:formula1>
          <xm:sqref>BGI655367:BGI655390</xm:sqref>
        </x14:dataValidation>
        <x14:dataValidation type="list" allowBlank="1" showInputMessage="1" showErrorMessage="1" xr:uid="{5D546950-B921-4005-9504-FEDB5D859F6F}">
          <x14:formula1>
            <xm:f>項目!C17:$BPW$655361</xm:f>
          </x14:formula1>
          <xm:sqref>BQE655367:BQE655390</xm:sqref>
        </x14:dataValidation>
        <x14:dataValidation type="list" allowBlank="1" showInputMessage="1" showErrorMessage="1" xr:uid="{1132F571-C956-467E-93EF-CAD3E0E2252B}">
          <x14:formula1>
            <xm:f>項目!C17:$BZS$655361</xm:f>
          </x14:formula1>
          <xm:sqref>CAA655367:CAA655390</xm:sqref>
        </x14:dataValidation>
        <x14:dataValidation type="list" allowBlank="1" showInputMessage="1" showErrorMessage="1" xr:uid="{6CA5F195-81A2-4871-BCC2-B4236DC5E91C}">
          <x14:formula1>
            <xm:f>項目!C17:$CJO$655361</xm:f>
          </x14:formula1>
          <xm:sqref>CJW655367:CJW655390</xm:sqref>
        </x14:dataValidation>
        <x14:dataValidation type="list" allowBlank="1" showInputMessage="1" showErrorMessage="1" xr:uid="{7753368A-4CF8-4A65-803D-44430CD2F8B1}">
          <x14:formula1>
            <xm:f>項目!C17:$CTK$655361</xm:f>
          </x14:formula1>
          <xm:sqref>CTS655367:CTS655390</xm:sqref>
        </x14:dataValidation>
        <x14:dataValidation type="list" allowBlank="1" showInputMessage="1" showErrorMessage="1" xr:uid="{76880D8E-822C-40DE-A660-6D3CEAE74DA0}">
          <x14:formula1>
            <xm:f>項目!C17:$DDG$655361</xm:f>
          </x14:formula1>
          <xm:sqref>DDO655367:DDO655390</xm:sqref>
        </x14:dataValidation>
        <x14:dataValidation type="list" allowBlank="1" showInputMessage="1" showErrorMessage="1" xr:uid="{61C3D41C-DD4F-48C2-B9AF-84FD82DC1D45}">
          <x14:formula1>
            <xm:f>項目!C17:$DNC$655361</xm:f>
          </x14:formula1>
          <xm:sqref>DNK655367:DNK655390</xm:sqref>
        </x14:dataValidation>
        <x14:dataValidation type="list" allowBlank="1" showInputMessage="1" showErrorMessage="1" xr:uid="{A49E24A7-AB39-4EB9-B505-942B55F64597}">
          <x14:formula1>
            <xm:f>項目!C17:$DWY$655361</xm:f>
          </x14:formula1>
          <xm:sqref>DXG655367:DXG655390</xm:sqref>
        </x14:dataValidation>
        <x14:dataValidation type="list" allowBlank="1" showInputMessage="1" showErrorMessage="1" xr:uid="{5FE7D3B4-6F07-4594-AA12-661A1243CE03}">
          <x14:formula1>
            <xm:f>項目!C17:$EGU$655361</xm:f>
          </x14:formula1>
          <xm:sqref>EHC655367:EHC655390</xm:sqref>
        </x14:dataValidation>
        <x14:dataValidation type="list" allowBlank="1" showInputMessage="1" showErrorMessage="1" xr:uid="{C12133D3-26AC-4321-81A0-C2864483CF6B}">
          <x14:formula1>
            <xm:f>項目!C17:$EQQ$655361</xm:f>
          </x14:formula1>
          <xm:sqref>EQY655367:EQY655390</xm:sqref>
        </x14:dataValidation>
        <x14:dataValidation type="list" allowBlank="1" showInputMessage="1" showErrorMessage="1" xr:uid="{F4ED5AF8-EC3C-4290-BD95-FD28F977E1E3}">
          <x14:formula1>
            <xm:f>項目!C17:$FAM$655361</xm:f>
          </x14:formula1>
          <xm:sqref>FAU655367:FAU655390</xm:sqref>
        </x14:dataValidation>
        <x14:dataValidation type="list" allowBlank="1" showInputMessage="1" showErrorMessage="1" xr:uid="{1EB48EB3-4235-4462-BC8B-71F4EDD82034}">
          <x14:formula1>
            <xm:f>項目!C17:$FKI$655361</xm:f>
          </x14:formula1>
          <xm:sqref>FKQ655367:FKQ655390</xm:sqref>
        </x14:dataValidation>
        <x14:dataValidation type="list" allowBlank="1" showInputMessage="1" showErrorMessage="1" xr:uid="{9BA2C13F-12A6-40EA-B68D-EB5522485BD2}">
          <x14:formula1>
            <xm:f>項目!C17:$FUE$655361</xm:f>
          </x14:formula1>
          <xm:sqref>FUM655367:FUM655390</xm:sqref>
        </x14:dataValidation>
        <x14:dataValidation type="list" allowBlank="1" showInputMessage="1" showErrorMessage="1" xr:uid="{FF1DD84A-65A6-4D08-94F9-D5A56A18C374}">
          <x14:formula1>
            <xm:f>項目!C17:$GEA$655361</xm:f>
          </x14:formula1>
          <xm:sqref>GEI655367:GEI655390</xm:sqref>
        </x14:dataValidation>
        <x14:dataValidation type="list" allowBlank="1" showInputMessage="1" showErrorMessage="1" xr:uid="{A3C9F7DA-0231-494D-AE35-8C76A213A9A8}">
          <x14:formula1>
            <xm:f>項目!C17:$GNW$655361</xm:f>
          </x14:formula1>
          <xm:sqref>GOE655367:GOE655390</xm:sqref>
        </x14:dataValidation>
        <x14:dataValidation type="list" allowBlank="1" showInputMessage="1" showErrorMessage="1" xr:uid="{178732B6-A385-4F14-B80E-5B3A4B90B02E}">
          <x14:formula1>
            <xm:f>項目!C17:$GXS$655361</xm:f>
          </x14:formula1>
          <xm:sqref>GYA655367:GYA655390</xm:sqref>
        </x14:dataValidation>
        <x14:dataValidation type="list" allowBlank="1" showInputMessage="1" showErrorMessage="1" xr:uid="{03088EB2-FBB5-4B31-9621-82F3C0509817}">
          <x14:formula1>
            <xm:f>項目!C17:$HHO$655361</xm:f>
          </x14:formula1>
          <xm:sqref>HHW655367:HHW655390</xm:sqref>
        </x14:dataValidation>
        <x14:dataValidation type="list" allowBlank="1" showInputMessage="1" showErrorMessage="1" xr:uid="{4BE9429C-689B-427A-BA9D-51B660CC722A}">
          <x14:formula1>
            <xm:f>項目!C17:$HRK$655361</xm:f>
          </x14:formula1>
          <xm:sqref>HRS655367:HRS655390</xm:sqref>
        </x14:dataValidation>
        <x14:dataValidation type="list" allowBlank="1" showInputMessage="1" showErrorMessage="1" xr:uid="{437AFEBC-E641-4E71-8250-AC09819ED6D8}">
          <x14:formula1>
            <xm:f>項目!C17:$IBG$655361</xm:f>
          </x14:formula1>
          <xm:sqref>IBO655367:IBO655390</xm:sqref>
        </x14:dataValidation>
        <x14:dataValidation type="list" allowBlank="1" showInputMessage="1" showErrorMessage="1" xr:uid="{547C50F4-A3A3-4F57-A2FA-52A21A92A77C}">
          <x14:formula1>
            <xm:f>項目!C17:$ILC$655361</xm:f>
          </x14:formula1>
          <xm:sqref>ILK655367:ILK655390</xm:sqref>
        </x14:dataValidation>
        <x14:dataValidation type="list" allowBlank="1" showInputMessage="1" showErrorMessage="1" xr:uid="{99629444-F662-438A-AF58-1FA61C3BF058}">
          <x14:formula1>
            <xm:f>項目!C17:$IUY$655361</xm:f>
          </x14:formula1>
          <xm:sqref>IVG655367:IVG655390</xm:sqref>
        </x14:dataValidation>
        <x14:dataValidation type="list" allowBlank="1" showInputMessage="1" showErrorMessage="1" xr:uid="{1BF98471-10A6-44A2-B0D0-D2C2C4880E2D}">
          <x14:formula1>
            <xm:f>項目!C17:$JEU$655361</xm:f>
          </x14:formula1>
          <xm:sqref>JFC655367:JFC655390</xm:sqref>
        </x14:dataValidation>
        <x14:dataValidation type="list" allowBlank="1" showInputMessage="1" showErrorMessage="1" xr:uid="{B964A53B-BF16-410D-8AD6-90FD2151C840}">
          <x14:formula1>
            <xm:f>項目!C17:$JOQ$655361</xm:f>
          </x14:formula1>
          <xm:sqref>JOY655367:JOY655390</xm:sqref>
        </x14:dataValidation>
        <x14:dataValidation type="list" allowBlank="1" showInputMessage="1" showErrorMessage="1" xr:uid="{4270A83D-92AA-400F-9818-CB452BA6B008}">
          <x14:formula1>
            <xm:f>項目!C17:$JYM$655361</xm:f>
          </x14:formula1>
          <xm:sqref>JYU655367:JYU655390</xm:sqref>
        </x14:dataValidation>
        <x14:dataValidation type="list" allowBlank="1" showInputMessage="1" showErrorMessage="1" xr:uid="{40FD3214-83D2-49B8-A381-904812DFA48A}">
          <x14:formula1>
            <xm:f>項目!C17:$KII$655361</xm:f>
          </x14:formula1>
          <xm:sqref>KIQ655367:KIQ655390</xm:sqref>
        </x14:dataValidation>
        <x14:dataValidation type="list" allowBlank="1" showInputMessage="1" showErrorMessage="1" xr:uid="{2FE341FB-C351-42E6-AECF-B84F0293EFA8}">
          <x14:formula1>
            <xm:f>項目!C17:$KSE$655361</xm:f>
          </x14:formula1>
          <xm:sqref>KSM655367:KSM655390</xm:sqref>
        </x14:dataValidation>
        <x14:dataValidation type="list" allowBlank="1" showInputMessage="1" showErrorMessage="1" xr:uid="{6CF351D9-F095-4B6C-9445-9BD7FE4D3762}">
          <x14:formula1>
            <xm:f>項目!C17:$LCA$655361</xm:f>
          </x14:formula1>
          <xm:sqref>LCI655367:LCI655390</xm:sqref>
        </x14:dataValidation>
        <x14:dataValidation type="list" allowBlank="1" showInputMessage="1" showErrorMessage="1" xr:uid="{42D80FE8-0407-4492-8697-89A0844F8D35}">
          <x14:formula1>
            <xm:f>項目!C17:$LLW$655361</xm:f>
          </x14:formula1>
          <xm:sqref>LME655367:LME655390</xm:sqref>
        </x14:dataValidation>
        <x14:dataValidation type="list" allowBlank="1" showInputMessage="1" showErrorMessage="1" xr:uid="{AEFA0251-CBA7-4802-8E7A-3E61D61EFBDF}">
          <x14:formula1>
            <xm:f>項目!C17:$LVS$655361</xm:f>
          </x14:formula1>
          <xm:sqref>LWA655367:LWA655390</xm:sqref>
        </x14:dataValidation>
        <x14:dataValidation type="list" allowBlank="1" showInputMessage="1" showErrorMessage="1" xr:uid="{6F3F1905-98A9-4574-A378-BC8E960CA5B8}">
          <x14:formula1>
            <xm:f>項目!C17:$MFO$655361</xm:f>
          </x14:formula1>
          <xm:sqref>MFW655367:MFW655390</xm:sqref>
        </x14:dataValidation>
        <x14:dataValidation type="list" allowBlank="1" showInputMessage="1" showErrorMessage="1" xr:uid="{89305D88-727D-4ADA-9F35-7C3B8EA7000E}">
          <x14:formula1>
            <xm:f>項目!C17:$MPK$655361</xm:f>
          </x14:formula1>
          <xm:sqref>MPS655367:MPS655390</xm:sqref>
        </x14:dataValidation>
        <x14:dataValidation type="list" allowBlank="1" showInputMessage="1" showErrorMessage="1" xr:uid="{C8203A5C-6A88-47B0-855B-56BA7FAF5A3E}">
          <x14:formula1>
            <xm:f>項目!C17:$MZG$655361</xm:f>
          </x14:formula1>
          <xm:sqref>MZO655367:MZO655390</xm:sqref>
        </x14:dataValidation>
        <x14:dataValidation type="list" allowBlank="1" showInputMessage="1" showErrorMessage="1" xr:uid="{854158E4-A7E2-4F88-BF32-3F0DB4C0BD8E}">
          <x14:formula1>
            <xm:f>項目!C17:$NJC$655361</xm:f>
          </x14:formula1>
          <xm:sqref>NJK655367:NJK655390</xm:sqref>
        </x14:dataValidation>
        <x14:dataValidation type="list" allowBlank="1" showInputMessage="1" showErrorMessage="1" xr:uid="{6E5CE23C-A6C4-494D-BB82-5919890C1B87}">
          <x14:formula1>
            <xm:f>項目!C17:$NSY$655361</xm:f>
          </x14:formula1>
          <xm:sqref>NTG655367:NTG655390</xm:sqref>
        </x14:dataValidation>
        <x14:dataValidation type="list" allowBlank="1" showInputMessage="1" showErrorMessage="1" xr:uid="{87424B95-F451-4815-86CE-1D4AB4A68B94}">
          <x14:formula1>
            <xm:f>項目!C17:$OCU$655361</xm:f>
          </x14:formula1>
          <xm:sqref>ODC655367:ODC655390</xm:sqref>
        </x14:dataValidation>
        <x14:dataValidation type="list" allowBlank="1" showInputMessage="1" showErrorMessage="1" xr:uid="{B1748DCF-6923-4DAD-BD97-DC156749537B}">
          <x14:formula1>
            <xm:f>項目!C17:$OMQ$655361</xm:f>
          </x14:formula1>
          <xm:sqref>OMY655367:OMY655390</xm:sqref>
        </x14:dataValidation>
        <x14:dataValidation type="list" allowBlank="1" showInputMessage="1" showErrorMessage="1" xr:uid="{F47349C1-58AE-4E2B-BF0A-5D11DC3DBA13}">
          <x14:formula1>
            <xm:f>項目!C17:$OWM$655361</xm:f>
          </x14:formula1>
          <xm:sqref>OWU655367:OWU655390</xm:sqref>
        </x14:dataValidation>
        <x14:dataValidation type="list" allowBlank="1" showInputMessage="1" showErrorMessage="1" xr:uid="{2561C208-E734-4005-AC6F-B1EAE7F88C7B}">
          <x14:formula1>
            <xm:f>項目!C17:$PGI$655361</xm:f>
          </x14:formula1>
          <xm:sqref>PGQ655367:PGQ655390</xm:sqref>
        </x14:dataValidation>
        <x14:dataValidation type="list" allowBlank="1" showInputMessage="1" showErrorMessage="1" xr:uid="{13C3AF60-FD0A-41B8-BA49-1223BACB8C22}">
          <x14:formula1>
            <xm:f>項目!C17:$PQE$655361</xm:f>
          </x14:formula1>
          <xm:sqref>PQM655367:PQM655390</xm:sqref>
        </x14:dataValidation>
        <x14:dataValidation type="list" allowBlank="1" showInputMessage="1" showErrorMessage="1" xr:uid="{87BCF1B3-D22E-45D6-A447-BCBB55DFD190}">
          <x14:formula1>
            <xm:f>項目!C17:$QAA$655361</xm:f>
          </x14:formula1>
          <xm:sqref>QAI655367:QAI655390</xm:sqref>
        </x14:dataValidation>
        <x14:dataValidation type="list" allowBlank="1" showInputMessage="1" showErrorMessage="1" xr:uid="{F842125B-959E-4F4A-846B-25336FD9295D}">
          <x14:formula1>
            <xm:f>項目!C17:$QJW$655361</xm:f>
          </x14:formula1>
          <xm:sqref>QKE655367:QKE655390</xm:sqref>
        </x14:dataValidation>
        <x14:dataValidation type="list" allowBlank="1" showInputMessage="1" showErrorMessage="1" xr:uid="{C0D421A3-96BD-4E67-B587-D27E54BDC56F}">
          <x14:formula1>
            <xm:f>項目!C17:$QTS$655361</xm:f>
          </x14:formula1>
          <xm:sqref>QUA655367:QUA655390</xm:sqref>
        </x14:dataValidation>
        <x14:dataValidation type="list" allowBlank="1" showInputMessage="1" showErrorMessage="1" xr:uid="{20A3F3E9-2A54-4462-A01F-A474932C09A3}">
          <x14:formula1>
            <xm:f>項目!C17:$RDO$655361</xm:f>
          </x14:formula1>
          <xm:sqref>RDW655367:RDW655390</xm:sqref>
        </x14:dataValidation>
        <x14:dataValidation type="list" allowBlank="1" showInputMessage="1" showErrorMessage="1" xr:uid="{80AF4361-D648-47A6-90EB-A609231475F4}">
          <x14:formula1>
            <xm:f>項目!C17:$RNK$655361</xm:f>
          </x14:formula1>
          <xm:sqref>RNS655367:RNS655390</xm:sqref>
        </x14:dataValidation>
        <x14:dataValidation type="list" allowBlank="1" showInputMessage="1" showErrorMessage="1" xr:uid="{8EFC049D-EF16-40C6-89BA-5C83540D4BDF}">
          <x14:formula1>
            <xm:f>項目!C17:$RXG$655361</xm:f>
          </x14:formula1>
          <xm:sqref>RXO655367:RXO655390</xm:sqref>
        </x14:dataValidation>
        <x14:dataValidation type="list" allowBlank="1" showInputMessage="1" showErrorMessage="1" xr:uid="{4FFF9AB2-C968-4680-81F0-61A38093562A}">
          <x14:formula1>
            <xm:f>項目!C17:$SHC$655361</xm:f>
          </x14:formula1>
          <xm:sqref>SHK655367:SHK655390</xm:sqref>
        </x14:dataValidation>
        <x14:dataValidation type="list" allowBlank="1" showInputMessage="1" showErrorMessage="1" xr:uid="{2158E47B-8B7A-4C54-9C88-DCBF6901C228}">
          <x14:formula1>
            <xm:f>項目!C17:$SQY$655361</xm:f>
          </x14:formula1>
          <xm:sqref>SRG655367:SRG655390</xm:sqref>
        </x14:dataValidation>
        <x14:dataValidation type="list" allowBlank="1" showInputMessage="1" showErrorMessage="1" xr:uid="{3CF1CF29-2F50-4D75-9389-DEA34EC9B8CC}">
          <x14:formula1>
            <xm:f>項目!C17:$TAU$655361</xm:f>
          </x14:formula1>
          <xm:sqref>TBC655367:TBC655390</xm:sqref>
        </x14:dataValidation>
        <x14:dataValidation type="list" allowBlank="1" showInputMessage="1" showErrorMessage="1" xr:uid="{3ED3F04B-04E8-46AC-A8CD-70A5CD427925}">
          <x14:formula1>
            <xm:f>項目!C17:$TKQ$655361</xm:f>
          </x14:formula1>
          <xm:sqref>TKY655367:TKY655390</xm:sqref>
        </x14:dataValidation>
        <x14:dataValidation type="list" allowBlank="1" showInputMessage="1" showErrorMessage="1" xr:uid="{E890D848-82E4-4924-9B3E-C4CE0A06382F}">
          <x14:formula1>
            <xm:f>項目!C17:$TUM$655361</xm:f>
          </x14:formula1>
          <xm:sqref>TUU655367:TUU655390</xm:sqref>
        </x14:dataValidation>
        <x14:dataValidation type="list" allowBlank="1" showInputMessage="1" showErrorMessage="1" xr:uid="{4D28471F-7072-493B-8C16-2BF75E025B4F}">
          <x14:formula1>
            <xm:f>項目!C17:$UEI$655361</xm:f>
          </x14:formula1>
          <xm:sqref>UEQ655367:UEQ655390</xm:sqref>
        </x14:dataValidation>
        <x14:dataValidation type="list" allowBlank="1" showInputMessage="1" showErrorMessage="1" xr:uid="{485C43F5-A110-442D-842F-374E3BA96481}">
          <x14:formula1>
            <xm:f>項目!C17:$UOE$655361</xm:f>
          </x14:formula1>
          <xm:sqref>UOM655367:UOM655390</xm:sqref>
        </x14:dataValidation>
        <x14:dataValidation type="list" allowBlank="1" showInputMessage="1" showErrorMessage="1" xr:uid="{1EE5A520-7CF4-4AF0-B276-9372BEE54573}">
          <x14:formula1>
            <xm:f>項目!C17:$UYA$655361</xm:f>
          </x14:formula1>
          <xm:sqref>UYI655367:UYI655390</xm:sqref>
        </x14:dataValidation>
        <x14:dataValidation type="list" allowBlank="1" showInputMessage="1" showErrorMessage="1" xr:uid="{50645685-0A1C-4071-A34F-48DB4B8DFEA8}">
          <x14:formula1>
            <xm:f>項目!C17:$VHW$655361</xm:f>
          </x14:formula1>
          <xm:sqref>VIE655367:VIE655390</xm:sqref>
        </x14:dataValidation>
        <x14:dataValidation type="list" allowBlank="1" showInputMessage="1" showErrorMessage="1" xr:uid="{18E1CD41-9949-46A4-86B1-82D953278C8B}">
          <x14:formula1>
            <xm:f>項目!C17:$VRS$655361</xm:f>
          </x14:formula1>
          <xm:sqref>VSA655367:VSA655390</xm:sqref>
        </x14:dataValidation>
        <x14:dataValidation type="list" allowBlank="1" showInputMessage="1" showErrorMessage="1" xr:uid="{059656F8-4BF8-4090-B9B0-6678F90468F3}">
          <x14:formula1>
            <xm:f>項目!C17:$WBO$655361</xm:f>
          </x14:formula1>
          <xm:sqref>WBW655367:WBW655390</xm:sqref>
        </x14:dataValidation>
        <x14:dataValidation type="list" allowBlank="1" showInputMessage="1" showErrorMessage="1" xr:uid="{728BC79B-0F1B-4A9C-A7D2-CFAE0141A666}">
          <x14:formula1>
            <xm:f>項目!C17:$WLK$655361</xm:f>
          </x14:formula1>
          <xm:sqref>WLS655367:WLS655390</xm:sqref>
        </x14:dataValidation>
        <x14:dataValidation type="list" allowBlank="1" showInputMessage="1" showErrorMessage="1" xr:uid="{04AA1C14-E302-4175-8D70-D06812BBC639}">
          <x14:formula1>
            <xm:f>項目!C17:$WVG$655361</xm:f>
          </x14:formula1>
          <xm:sqref>WVO655367:WVO655390</xm:sqref>
        </x14:dataValidation>
        <x14:dataValidation type="list" allowBlank="1" showInputMessage="1" showErrorMessage="1" xr:uid="{3F336A56-B030-4505-9636-B9949FF57164}">
          <x14:formula1>
            <xm:f>項目!C17:$IU$720897</xm:f>
          </x14:formula1>
          <xm:sqref>JC720903:JC720926</xm:sqref>
        </x14:dataValidation>
        <x14:dataValidation type="list" allowBlank="1" showInputMessage="1" showErrorMessage="1" xr:uid="{EA6AC1E0-EA67-4D43-9C04-0D24E9F79A87}">
          <x14:formula1>
            <xm:f>項目!C17:$SQ$720897</xm:f>
          </x14:formula1>
          <xm:sqref>SY720903:SY720926</xm:sqref>
        </x14:dataValidation>
        <x14:dataValidation type="list" allowBlank="1" showInputMessage="1" showErrorMessage="1" xr:uid="{6068193F-14F5-47A3-A790-8E1AD435E175}">
          <x14:formula1>
            <xm:f>項目!C17:$ACM$720897</xm:f>
          </x14:formula1>
          <xm:sqref>ACU720903:ACU720926</xm:sqref>
        </x14:dataValidation>
        <x14:dataValidation type="list" allowBlank="1" showInputMessage="1" showErrorMessage="1" xr:uid="{50F7FCF9-CC7F-4FF5-ACE8-E2808A3C7B61}">
          <x14:formula1>
            <xm:f>項目!C17:$AMI$720897</xm:f>
          </x14:formula1>
          <xm:sqref>AMQ720903:AMQ720926</xm:sqref>
        </x14:dataValidation>
        <x14:dataValidation type="list" allowBlank="1" showInputMessage="1" showErrorMessage="1" xr:uid="{226CDF64-B6EA-4294-AD46-C2167C1EB31D}">
          <x14:formula1>
            <xm:f>項目!C17:$AWE$720897</xm:f>
          </x14:formula1>
          <xm:sqref>AWM720903:AWM720926</xm:sqref>
        </x14:dataValidation>
        <x14:dataValidation type="list" allowBlank="1" showInputMessage="1" showErrorMessage="1" xr:uid="{4E351C4F-972B-4761-B908-8F9652FAAB83}">
          <x14:formula1>
            <xm:f>項目!C17:$BGA$720897</xm:f>
          </x14:formula1>
          <xm:sqref>BGI720903:BGI720926</xm:sqref>
        </x14:dataValidation>
        <x14:dataValidation type="list" allowBlank="1" showInputMessage="1" showErrorMessage="1" xr:uid="{A79CEB80-8606-4924-9FA4-E1EF7AAE021C}">
          <x14:formula1>
            <xm:f>項目!C17:$BPW$720897</xm:f>
          </x14:formula1>
          <xm:sqref>BQE720903:BQE720926</xm:sqref>
        </x14:dataValidation>
        <x14:dataValidation type="list" allowBlank="1" showInputMessage="1" showErrorMessage="1" xr:uid="{D36E1949-8CDB-4ACF-B7F4-8691A9CF8ECA}">
          <x14:formula1>
            <xm:f>項目!C17:$BZS$720897</xm:f>
          </x14:formula1>
          <xm:sqref>CAA720903:CAA720926</xm:sqref>
        </x14:dataValidation>
        <x14:dataValidation type="list" allowBlank="1" showInputMessage="1" showErrorMessage="1" xr:uid="{FCB696BE-D422-44DB-8F6B-9B8DA457564E}">
          <x14:formula1>
            <xm:f>項目!C17:$CJO$720897</xm:f>
          </x14:formula1>
          <xm:sqref>CJW720903:CJW720926</xm:sqref>
        </x14:dataValidation>
        <x14:dataValidation type="list" allowBlank="1" showInputMessage="1" showErrorMessage="1" xr:uid="{9E69A282-35B9-497B-8D12-68CDC56F73A2}">
          <x14:formula1>
            <xm:f>項目!C17:$CTK$720897</xm:f>
          </x14:formula1>
          <xm:sqref>CTS720903:CTS720926</xm:sqref>
        </x14:dataValidation>
        <x14:dataValidation type="list" allowBlank="1" showInputMessage="1" showErrorMessage="1" xr:uid="{3204D753-9213-4930-A0D6-FA4D19797703}">
          <x14:formula1>
            <xm:f>項目!C17:$DDG$720897</xm:f>
          </x14:formula1>
          <xm:sqref>DDO720903:DDO720926</xm:sqref>
        </x14:dataValidation>
        <x14:dataValidation type="list" allowBlank="1" showInputMessage="1" showErrorMessage="1" xr:uid="{B48BDC82-D533-4523-A838-27F855A50DB5}">
          <x14:formula1>
            <xm:f>項目!C17:$DNC$720897</xm:f>
          </x14:formula1>
          <xm:sqref>DNK720903:DNK720926</xm:sqref>
        </x14:dataValidation>
        <x14:dataValidation type="list" allowBlank="1" showInputMessage="1" showErrorMessage="1" xr:uid="{CDD8762D-83C0-48A2-A1DC-C4DEADD16BDA}">
          <x14:formula1>
            <xm:f>項目!C17:$DWY$720897</xm:f>
          </x14:formula1>
          <xm:sqref>DXG720903:DXG720926</xm:sqref>
        </x14:dataValidation>
        <x14:dataValidation type="list" allowBlank="1" showInputMessage="1" showErrorMessage="1" xr:uid="{F05496E7-242E-4EA7-97A2-3FBFEC1860D0}">
          <x14:formula1>
            <xm:f>項目!C17:$EGU$720897</xm:f>
          </x14:formula1>
          <xm:sqref>EHC720903:EHC720926</xm:sqref>
        </x14:dataValidation>
        <x14:dataValidation type="list" allowBlank="1" showInputMessage="1" showErrorMessage="1" xr:uid="{B812A0EF-BD30-44AA-ABC1-9040CE6A4E56}">
          <x14:formula1>
            <xm:f>項目!C17:$EQQ$720897</xm:f>
          </x14:formula1>
          <xm:sqref>EQY720903:EQY720926</xm:sqref>
        </x14:dataValidation>
        <x14:dataValidation type="list" allowBlank="1" showInputMessage="1" showErrorMessage="1" xr:uid="{DC005AD6-781D-4EC5-91FF-C1ADA01DE0F3}">
          <x14:formula1>
            <xm:f>項目!C17:$FAM$720897</xm:f>
          </x14:formula1>
          <xm:sqref>FAU720903:FAU720926</xm:sqref>
        </x14:dataValidation>
        <x14:dataValidation type="list" allowBlank="1" showInputMessage="1" showErrorMessage="1" xr:uid="{CE6AFB04-452F-4404-B2F0-37D907CE6F38}">
          <x14:formula1>
            <xm:f>項目!C17:$FKI$720897</xm:f>
          </x14:formula1>
          <xm:sqref>FKQ720903:FKQ720926</xm:sqref>
        </x14:dataValidation>
        <x14:dataValidation type="list" allowBlank="1" showInputMessage="1" showErrorMessage="1" xr:uid="{4151D903-F10B-4294-AAA9-DAC364C90EDE}">
          <x14:formula1>
            <xm:f>項目!C17:$FUE$720897</xm:f>
          </x14:formula1>
          <xm:sqref>FUM720903:FUM720926</xm:sqref>
        </x14:dataValidation>
        <x14:dataValidation type="list" allowBlank="1" showInputMessage="1" showErrorMessage="1" xr:uid="{D0438D5E-4B2B-4B42-B322-19796EF18872}">
          <x14:formula1>
            <xm:f>項目!C17:$GEA$720897</xm:f>
          </x14:formula1>
          <xm:sqref>GEI720903:GEI720926</xm:sqref>
        </x14:dataValidation>
        <x14:dataValidation type="list" allowBlank="1" showInputMessage="1" showErrorMessage="1" xr:uid="{7566B2F7-6676-4651-A3ED-2FE27499FA3C}">
          <x14:formula1>
            <xm:f>項目!C17:$GNW$720897</xm:f>
          </x14:formula1>
          <xm:sqref>GOE720903:GOE720926</xm:sqref>
        </x14:dataValidation>
        <x14:dataValidation type="list" allowBlank="1" showInputMessage="1" showErrorMessage="1" xr:uid="{421333C7-73A5-4E9A-9EBB-A0E48002631A}">
          <x14:formula1>
            <xm:f>項目!C17:$GXS$720897</xm:f>
          </x14:formula1>
          <xm:sqref>GYA720903:GYA720926</xm:sqref>
        </x14:dataValidation>
        <x14:dataValidation type="list" allowBlank="1" showInputMessage="1" showErrorMessage="1" xr:uid="{201C52B1-A805-4A52-91DB-FA8AA0FA2BA6}">
          <x14:formula1>
            <xm:f>項目!C17:$HHO$720897</xm:f>
          </x14:formula1>
          <xm:sqref>HHW720903:HHW720926</xm:sqref>
        </x14:dataValidation>
        <x14:dataValidation type="list" allowBlank="1" showInputMessage="1" showErrorMessage="1" xr:uid="{C6E13D53-2CCF-4AF6-9DC4-0FB95212F567}">
          <x14:formula1>
            <xm:f>項目!C17:$HRK$720897</xm:f>
          </x14:formula1>
          <xm:sqref>HRS720903:HRS720926</xm:sqref>
        </x14:dataValidation>
        <x14:dataValidation type="list" allowBlank="1" showInputMessage="1" showErrorMessage="1" xr:uid="{19938F47-3983-4131-A042-20C8F6FF3033}">
          <x14:formula1>
            <xm:f>項目!C17:$IBG$720897</xm:f>
          </x14:formula1>
          <xm:sqref>IBO720903:IBO720926</xm:sqref>
        </x14:dataValidation>
        <x14:dataValidation type="list" allowBlank="1" showInputMessage="1" showErrorMessage="1" xr:uid="{FAA0376A-6F7F-457E-AD83-1BE3A449B96D}">
          <x14:formula1>
            <xm:f>項目!C17:$ILC$720897</xm:f>
          </x14:formula1>
          <xm:sqref>ILK720903:ILK720926</xm:sqref>
        </x14:dataValidation>
        <x14:dataValidation type="list" allowBlank="1" showInputMessage="1" showErrorMessage="1" xr:uid="{0B2A4CD1-CDCF-4691-AC7E-68D2CC66D2AB}">
          <x14:formula1>
            <xm:f>項目!C17:$IUY$720897</xm:f>
          </x14:formula1>
          <xm:sqref>IVG720903:IVG720926</xm:sqref>
        </x14:dataValidation>
        <x14:dataValidation type="list" allowBlank="1" showInputMessage="1" showErrorMessage="1" xr:uid="{31CE7B67-FF46-47CB-A1F8-A82191075F07}">
          <x14:formula1>
            <xm:f>項目!C17:$JEU$720897</xm:f>
          </x14:formula1>
          <xm:sqref>JFC720903:JFC720926</xm:sqref>
        </x14:dataValidation>
        <x14:dataValidation type="list" allowBlank="1" showInputMessage="1" showErrorMessage="1" xr:uid="{BACEB2DD-22D1-4ACB-9BD0-0865F303EDF0}">
          <x14:formula1>
            <xm:f>項目!C17:$JOQ$720897</xm:f>
          </x14:formula1>
          <xm:sqref>JOY720903:JOY720926</xm:sqref>
        </x14:dataValidation>
        <x14:dataValidation type="list" allowBlank="1" showInputMessage="1" showErrorMessage="1" xr:uid="{6A9240F2-A785-4D07-9580-3534E7E58A5E}">
          <x14:formula1>
            <xm:f>項目!C17:$JYM$720897</xm:f>
          </x14:formula1>
          <xm:sqref>JYU720903:JYU720926</xm:sqref>
        </x14:dataValidation>
        <x14:dataValidation type="list" allowBlank="1" showInputMessage="1" showErrorMessage="1" xr:uid="{99BFC4D8-E40B-4EA4-9251-6670474C79D1}">
          <x14:formula1>
            <xm:f>項目!C17:$KII$720897</xm:f>
          </x14:formula1>
          <xm:sqref>KIQ720903:KIQ720926</xm:sqref>
        </x14:dataValidation>
        <x14:dataValidation type="list" allowBlank="1" showInputMessage="1" showErrorMessage="1" xr:uid="{26E2EF35-5043-460C-BE7B-9D55AC1AA961}">
          <x14:formula1>
            <xm:f>項目!C17:$KSE$720897</xm:f>
          </x14:formula1>
          <xm:sqref>KSM720903:KSM720926</xm:sqref>
        </x14:dataValidation>
        <x14:dataValidation type="list" allowBlank="1" showInputMessage="1" showErrorMessage="1" xr:uid="{D63BA50C-A2A4-427A-9618-57C14FA0CF4C}">
          <x14:formula1>
            <xm:f>項目!C17:$LCA$720897</xm:f>
          </x14:formula1>
          <xm:sqref>LCI720903:LCI720926</xm:sqref>
        </x14:dataValidation>
        <x14:dataValidation type="list" allowBlank="1" showInputMessage="1" showErrorMessage="1" xr:uid="{90D1090E-3254-49C4-AADC-F54CA1036ABB}">
          <x14:formula1>
            <xm:f>項目!C17:$LLW$720897</xm:f>
          </x14:formula1>
          <xm:sqref>LME720903:LME720926</xm:sqref>
        </x14:dataValidation>
        <x14:dataValidation type="list" allowBlank="1" showInputMessage="1" showErrorMessage="1" xr:uid="{4BC7A8E6-D8BE-490C-9BFE-8C7EA6208B4E}">
          <x14:formula1>
            <xm:f>項目!C17:$LVS$720897</xm:f>
          </x14:formula1>
          <xm:sqref>LWA720903:LWA720926</xm:sqref>
        </x14:dataValidation>
        <x14:dataValidation type="list" allowBlank="1" showInputMessage="1" showErrorMessage="1" xr:uid="{8462BE0E-789A-4CFA-B935-58CB457AA244}">
          <x14:formula1>
            <xm:f>項目!C17:$MFO$720897</xm:f>
          </x14:formula1>
          <xm:sqref>MFW720903:MFW720926</xm:sqref>
        </x14:dataValidation>
        <x14:dataValidation type="list" allowBlank="1" showInputMessage="1" showErrorMessage="1" xr:uid="{E564056D-531F-443B-A9CD-D6A3C090D5C6}">
          <x14:formula1>
            <xm:f>項目!C17:$MPK$720897</xm:f>
          </x14:formula1>
          <xm:sqref>MPS720903:MPS720926</xm:sqref>
        </x14:dataValidation>
        <x14:dataValidation type="list" allowBlank="1" showInputMessage="1" showErrorMessage="1" xr:uid="{90808BA7-8D47-40C1-95AA-059A800B80FF}">
          <x14:formula1>
            <xm:f>項目!C17:$MZG$720897</xm:f>
          </x14:formula1>
          <xm:sqref>MZO720903:MZO720926</xm:sqref>
        </x14:dataValidation>
        <x14:dataValidation type="list" allowBlank="1" showInputMessage="1" showErrorMessage="1" xr:uid="{BAA30F15-CB1D-4391-AF48-AD7BA03EB116}">
          <x14:formula1>
            <xm:f>項目!C17:$NJC$720897</xm:f>
          </x14:formula1>
          <xm:sqref>NJK720903:NJK720926</xm:sqref>
        </x14:dataValidation>
        <x14:dataValidation type="list" allowBlank="1" showInputMessage="1" showErrorMessage="1" xr:uid="{01EF4103-F755-4BDE-8D8A-356ADB6EE10C}">
          <x14:formula1>
            <xm:f>項目!C17:$NSY$720897</xm:f>
          </x14:formula1>
          <xm:sqref>NTG720903:NTG720926</xm:sqref>
        </x14:dataValidation>
        <x14:dataValidation type="list" allowBlank="1" showInputMessage="1" showErrorMessage="1" xr:uid="{C8EF3008-A15F-4B8F-8553-BFF96CF06499}">
          <x14:formula1>
            <xm:f>項目!C17:$OCU$720897</xm:f>
          </x14:formula1>
          <xm:sqref>ODC720903:ODC720926</xm:sqref>
        </x14:dataValidation>
        <x14:dataValidation type="list" allowBlank="1" showInputMessage="1" showErrorMessage="1" xr:uid="{C8C4E03A-6BE7-484F-9A26-6D005BA5DB3E}">
          <x14:formula1>
            <xm:f>項目!C17:$OMQ$720897</xm:f>
          </x14:formula1>
          <xm:sqref>OMY720903:OMY720926</xm:sqref>
        </x14:dataValidation>
        <x14:dataValidation type="list" allowBlank="1" showInputMessage="1" showErrorMessage="1" xr:uid="{23394C29-D228-45AF-8416-F6FEEC6BBA81}">
          <x14:formula1>
            <xm:f>項目!C17:$OWM$720897</xm:f>
          </x14:formula1>
          <xm:sqref>OWU720903:OWU720926</xm:sqref>
        </x14:dataValidation>
        <x14:dataValidation type="list" allowBlank="1" showInputMessage="1" showErrorMessage="1" xr:uid="{A4B96512-C2A7-48C0-8546-F8978EBB0AAD}">
          <x14:formula1>
            <xm:f>項目!C17:$PGI$720897</xm:f>
          </x14:formula1>
          <xm:sqref>PGQ720903:PGQ720926</xm:sqref>
        </x14:dataValidation>
        <x14:dataValidation type="list" allowBlank="1" showInputMessage="1" showErrorMessage="1" xr:uid="{5B67546B-9A45-41C8-8504-7221FF021759}">
          <x14:formula1>
            <xm:f>項目!C17:$PQE$720897</xm:f>
          </x14:formula1>
          <xm:sqref>PQM720903:PQM720926</xm:sqref>
        </x14:dataValidation>
        <x14:dataValidation type="list" allowBlank="1" showInputMessage="1" showErrorMessage="1" xr:uid="{BAFDC6A1-A23F-4CAA-9D66-89B3E4B71690}">
          <x14:formula1>
            <xm:f>項目!C17:$QAA$720897</xm:f>
          </x14:formula1>
          <xm:sqref>QAI720903:QAI720926</xm:sqref>
        </x14:dataValidation>
        <x14:dataValidation type="list" allowBlank="1" showInputMessage="1" showErrorMessage="1" xr:uid="{368564F4-39FE-4A32-A97C-68B0F71A8CE3}">
          <x14:formula1>
            <xm:f>項目!C17:$QJW$720897</xm:f>
          </x14:formula1>
          <xm:sqref>QKE720903:QKE720926</xm:sqref>
        </x14:dataValidation>
        <x14:dataValidation type="list" allowBlank="1" showInputMessage="1" showErrorMessage="1" xr:uid="{B541E35C-06E8-41BD-8DF6-18978C895FB8}">
          <x14:formula1>
            <xm:f>項目!C17:$QTS$720897</xm:f>
          </x14:formula1>
          <xm:sqref>QUA720903:QUA720926</xm:sqref>
        </x14:dataValidation>
        <x14:dataValidation type="list" allowBlank="1" showInputMessage="1" showErrorMessage="1" xr:uid="{BE024ECA-7BD4-49E7-92BE-4E4045D56228}">
          <x14:formula1>
            <xm:f>項目!C17:$RDO$720897</xm:f>
          </x14:formula1>
          <xm:sqref>RDW720903:RDW720926</xm:sqref>
        </x14:dataValidation>
        <x14:dataValidation type="list" allowBlank="1" showInputMessage="1" showErrorMessage="1" xr:uid="{572E6DE4-7672-4B35-93DE-87F8FE3FB9DF}">
          <x14:formula1>
            <xm:f>項目!C17:$RNK$720897</xm:f>
          </x14:formula1>
          <xm:sqref>RNS720903:RNS720926</xm:sqref>
        </x14:dataValidation>
        <x14:dataValidation type="list" allowBlank="1" showInputMessage="1" showErrorMessage="1" xr:uid="{E5F57AA7-6C40-45E6-963E-B07FCB15D3AB}">
          <x14:formula1>
            <xm:f>項目!C17:$RXG$720897</xm:f>
          </x14:formula1>
          <xm:sqref>RXO720903:RXO720926</xm:sqref>
        </x14:dataValidation>
        <x14:dataValidation type="list" allowBlank="1" showInputMessage="1" showErrorMessage="1" xr:uid="{785F00CA-FF06-460D-8D2E-75C8E36B386C}">
          <x14:formula1>
            <xm:f>項目!C17:$SHC$720897</xm:f>
          </x14:formula1>
          <xm:sqref>SHK720903:SHK720926</xm:sqref>
        </x14:dataValidation>
        <x14:dataValidation type="list" allowBlank="1" showInputMessage="1" showErrorMessage="1" xr:uid="{7924B40F-19B7-4EEA-B517-7FDF4911910E}">
          <x14:formula1>
            <xm:f>項目!C17:$SQY$720897</xm:f>
          </x14:formula1>
          <xm:sqref>SRG720903:SRG720926</xm:sqref>
        </x14:dataValidation>
        <x14:dataValidation type="list" allowBlank="1" showInputMessage="1" showErrorMessage="1" xr:uid="{38074CA7-3C13-4E16-B63C-ADD045B48169}">
          <x14:formula1>
            <xm:f>項目!C17:$TAU$720897</xm:f>
          </x14:formula1>
          <xm:sqref>TBC720903:TBC720926</xm:sqref>
        </x14:dataValidation>
        <x14:dataValidation type="list" allowBlank="1" showInputMessage="1" showErrorMessage="1" xr:uid="{6F24586F-1F94-4849-96C9-7A6022B5285B}">
          <x14:formula1>
            <xm:f>項目!C17:$TKQ$720897</xm:f>
          </x14:formula1>
          <xm:sqref>TKY720903:TKY720926</xm:sqref>
        </x14:dataValidation>
        <x14:dataValidation type="list" allowBlank="1" showInputMessage="1" showErrorMessage="1" xr:uid="{3C88916C-41F8-4A6E-AB20-0B3CB9F7B353}">
          <x14:formula1>
            <xm:f>項目!C17:$TUM$720897</xm:f>
          </x14:formula1>
          <xm:sqref>TUU720903:TUU720926</xm:sqref>
        </x14:dataValidation>
        <x14:dataValidation type="list" allowBlank="1" showInputMessage="1" showErrorMessage="1" xr:uid="{7CE7A211-DF9F-45F5-95C5-C677F536B62F}">
          <x14:formula1>
            <xm:f>項目!C17:$UEI$720897</xm:f>
          </x14:formula1>
          <xm:sqref>UEQ720903:UEQ720926</xm:sqref>
        </x14:dataValidation>
        <x14:dataValidation type="list" allowBlank="1" showInputMessage="1" showErrorMessage="1" xr:uid="{C73FA7D3-01C9-44DA-878B-C69E537D4F27}">
          <x14:formula1>
            <xm:f>項目!C17:$UOE$720897</xm:f>
          </x14:formula1>
          <xm:sqref>UOM720903:UOM720926</xm:sqref>
        </x14:dataValidation>
        <x14:dataValidation type="list" allowBlank="1" showInputMessage="1" showErrorMessage="1" xr:uid="{43E21BEB-B88D-4B3F-B668-6AB4FDB864E4}">
          <x14:formula1>
            <xm:f>項目!C17:$UYA$720897</xm:f>
          </x14:formula1>
          <xm:sqref>UYI720903:UYI720926</xm:sqref>
        </x14:dataValidation>
        <x14:dataValidation type="list" allowBlank="1" showInputMessage="1" showErrorMessage="1" xr:uid="{701F85BF-DD9D-4F44-A097-A33BF42B23B4}">
          <x14:formula1>
            <xm:f>項目!C17:$VHW$720897</xm:f>
          </x14:formula1>
          <xm:sqref>VIE720903:VIE720926</xm:sqref>
        </x14:dataValidation>
        <x14:dataValidation type="list" allowBlank="1" showInputMessage="1" showErrorMessage="1" xr:uid="{28F118BC-8685-4619-AADC-33AE08AFCE4E}">
          <x14:formula1>
            <xm:f>項目!C17:$VRS$720897</xm:f>
          </x14:formula1>
          <xm:sqref>VSA720903:VSA720926</xm:sqref>
        </x14:dataValidation>
        <x14:dataValidation type="list" allowBlank="1" showInputMessage="1" showErrorMessage="1" xr:uid="{E4891A96-A4E2-47E8-B80F-90528495EA96}">
          <x14:formula1>
            <xm:f>項目!C17:$WBO$720897</xm:f>
          </x14:formula1>
          <xm:sqref>WBW720903:WBW720926</xm:sqref>
        </x14:dataValidation>
        <x14:dataValidation type="list" allowBlank="1" showInputMessage="1" showErrorMessage="1" xr:uid="{44C697C8-43A7-43F3-BE17-87ADAE6DD94B}">
          <x14:formula1>
            <xm:f>項目!C17:$WLK$720897</xm:f>
          </x14:formula1>
          <xm:sqref>WLS720903:WLS720926</xm:sqref>
        </x14:dataValidation>
        <x14:dataValidation type="list" allowBlank="1" showInputMessage="1" showErrorMessage="1" xr:uid="{41B669A1-7E13-4AA0-9789-55894990DAF3}">
          <x14:formula1>
            <xm:f>項目!C17:$WVG$720897</xm:f>
          </x14:formula1>
          <xm:sqref>WVO720903:WVO720926</xm:sqref>
        </x14:dataValidation>
        <x14:dataValidation type="list" allowBlank="1" showInputMessage="1" showErrorMessage="1" xr:uid="{516F9CFE-DFCB-4F18-9A49-67FFAF10E6DC}">
          <x14:formula1>
            <xm:f>項目!C17:$IU$786433</xm:f>
          </x14:formula1>
          <xm:sqref>JC786439:JC786462</xm:sqref>
        </x14:dataValidation>
        <x14:dataValidation type="list" allowBlank="1" showInputMessage="1" showErrorMessage="1" xr:uid="{E6E6E475-1F4B-4A24-B446-2E3A4F34E4CC}">
          <x14:formula1>
            <xm:f>項目!C17:$SQ$786433</xm:f>
          </x14:formula1>
          <xm:sqref>SY786439:SY786462</xm:sqref>
        </x14:dataValidation>
        <x14:dataValidation type="list" allowBlank="1" showInputMessage="1" showErrorMessage="1" xr:uid="{DC010114-FAD1-439E-B547-91BEA51B891E}">
          <x14:formula1>
            <xm:f>項目!C17:$ACM$786433</xm:f>
          </x14:formula1>
          <xm:sqref>ACU786439:ACU786462</xm:sqref>
        </x14:dataValidation>
        <x14:dataValidation type="list" allowBlank="1" showInputMessage="1" showErrorMessage="1" xr:uid="{84F912D5-733E-4E65-A954-B53B3F36DC81}">
          <x14:formula1>
            <xm:f>項目!C17:$AMI$786433</xm:f>
          </x14:formula1>
          <xm:sqref>AMQ786439:AMQ786462</xm:sqref>
        </x14:dataValidation>
        <x14:dataValidation type="list" allowBlank="1" showInputMessage="1" showErrorMessage="1" xr:uid="{5268DAAA-4A58-4C50-9AB3-2974304C65A2}">
          <x14:formula1>
            <xm:f>項目!C17:$AWE$786433</xm:f>
          </x14:formula1>
          <xm:sqref>AWM786439:AWM786462</xm:sqref>
        </x14:dataValidation>
        <x14:dataValidation type="list" allowBlank="1" showInputMessage="1" showErrorMessage="1" xr:uid="{DBC286AD-4E28-498B-8C9A-C190F1F1BB46}">
          <x14:formula1>
            <xm:f>項目!C17:$BGA$786433</xm:f>
          </x14:formula1>
          <xm:sqref>BGI786439:BGI786462</xm:sqref>
        </x14:dataValidation>
        <x14:dataValidation type="list" allowBlank="1" showInputMessage="1" showErrorMessage="1" xr:uid="{F0765093-4E48-462E-B8FA-682C2962AF92}">
          <x14:formula1>
            <xm:f>項目!C17:$BPW$786433</xm:f>
          </x14:formula1>
          <xm:sqref>BQE786439:BQE786462</xm:sqref>
        </x14:dataValidation>
        <x14:dataValidation type="list" allowBlank="1" showInputMessage="1" showErrorMessage="1" xr:uid="{5AFE378F-A489-40D3-B54C-13354A8C4931}">
          <x14:formula1>
            <xm:f>項目!C17:$BZS$786433</xm:f>
          </x14:formula1>
          <xm:sqref>CAA786439:CAA786462</xm:sqref>
        </x14:dataValidation>
        <x14:dataValidation type="list" allowBlank="1" showInputMessage="1" showErrorMessage="1" xr:uid="{A0180BE1-5C29-47B3-AE5F-379DDB659C6B}">
          <x14:formula1>
            <xm:f>項目!C17:$CJO$786433</xm:f>
          </x14:formula1>
          <xm:sqref>CJW786439:CJW786462</xm:sqref>
        </x14:dataValidation>
        <x14:dataValidation type="list" allowBlank="1" showInputMessage="1" showErrorMessage="1" xr:uid="{1147B5BF-7310-4A8B-A3B5-821E956B6E77}">
          <x14:formula1>
            <xm:f>項目!C17:$CTK$786433</xm:f>
          </x14:formula1>
          <xm:sqref>CTS786439:CTS786462</xm:sqref>
        </x14:dataValidation>
        <x14:dataValidation type="list" allowBlank="1" showInputMessage="1" showErrorMessage="1" xr:uid="{196198FD-423F-4C2C-BB26-AE503C233BCE}">
          <x14:formula1>
            <xm:f>項目!C17:$DDG$786433</xm:f>
          </x14:formula1>
          <xm:sqref>DDO786439:DDO786462</xm:sqref>
        </x14:dataValidation>
        <x14:dataValidation type="list" allowBlank="1" showInputMessage="1" showErrorMessage="1" xr:uid="{4B3073C0-7A44-4BD1-85BB-49FD7F07C44F}">
          <x14:formula1>
            <xm:f>項目!C17:$DNC$786433</xm:f>
          </x14:formula1>
          <xm:sqref>DNK786439:DNK786462</xm:sqref>
        </x14:dataValidation>
        <x14:dataValidation type="list" allowBlank="1" showInputMessage="1" showErrorMessage="1" xr:uid="{C1F756F2-8DA4-44C4-85A2-7F487332017F}">
          <x14:formula1>
            <xm:f>項目!C17:$DWY$786433</xm:f>
          </x14:formula1>
          <xm:sqref>DXG786439:DXG786462</xm:sqref>
        </x14:dataValidation>
        <x14:dataValidation type="list" allowBlank="1" showInputMessage="1" showErrorMessage="1" xr:uid="{37D2B1D9-3E1B-4BE2-B75B-1D2000FDC725}">
          <x14:formula1>
            <xm:f>項目!C17:$EGU$786433</xm:f>
          </x14:formula1>
          <xm:sqref>EHC786439:EHC786462</xm:sqref>
        </x14:dataValidation>
        <x14:dataValidation type="list" allowBlank="1" showInputMessage="1" showErrorMessage="1" xr:uid="{A5408B74-A48E-4AA2-96B7-0E53CBBDEAD2}">
          <x14:formula1>
            <xm:f>項目!C17:$EQQ$786433</xm:f>
          </x14:formula1>
          <xm:sqref>EQY786439:EQY786462</xm:sqref>
        </x14:dataValidation>
        <x14:dataValidation type="list" allowBlank="1" showInputMessage="1" showErrorMessage="1" xr:uid="{C8A7F9CA-7711-4C83-A795-4E794A52EF44}">
          <x14:formula1>
            <xm:f>項目!C17:$FAM$786433</xm:f>
          </x14:formula1>
          <xm:sqref>FAU786439:FAU786462</xm:sqref>
        </x14:dataValidation>
        <x14:dataValidation type="list" allowBlank="1" showInputMessage="1" showErrorMessage="1" xr:uid="{40D8B02A-B2F9-4878-A1CB-33B987416842}">
          <x14:formula1>
            <xm:f>項目!C17:$FKI$786433</xm:f>
          </x14:formula1>
          <xm:sqref>FKQ786439:FKQ786462</xm:sqref>
        </x14:dataValidation>
        <x14:dataValidation type="list" allowBlank="1" showInputMessage="1" showErrorMessage="1" xr:uid="{CCFB66B4-6441-4F3A-93E7-A785AE4D058B}">
          <x14:formula1>
            <xm:f>項目!C17:$FUE$786433</xm:f>
          </x14:formula1>
          <xm:sqref>FUM786439:FUM786462</xm:sqref>
        </x14:dataValidation>
        <x14:dataValidation type="list" allowBlank="1" showInputMessage="1" showErrorMessage="1" xr:uid="{52F85010-3800-48A3-900D-DA2B8799D0BA}">
          <x14:formula1>
            <xm:f>項目!C17:$GEA$786433</xm:f>
          </x14:formula1>
          <xm:sqref>GEI786439:GEI786462</xm:sqref>
        </x14:dataValidation>
        <x14:dataValidation type="list" allowBlank="1" showInputMessage="1" showErrorMessage="1" xr:uid="{093E5304-E241-4B95-85EE-0F84B643D5E9}">
          <x14:formula1>
            <xm:f>項目!C17:$GNW$786433</xm:f>
          </x14:formula1>
          <xm:sqref>GOE786439:GOE786462</xm:sqref>
        </x14:dataValidation>
        <x14:dataValidation type="list" allowBlank="1" showInputMessage="1" showErrorMessage="1" xr:uid="{1E2FDF07-4A89-4A14-AC56-114F944996D0}">
          <x14:formula1>
            <xm:f>項目!C17:$GXS$786433</xm:f>
          </x14:formula1>
          <xm:sqref>GYA786439:GYA786462</xm:sqref>
        </x14:dataValidation>
        <x14:dataValidation type="list" allowBlank="1" showInputMessage="1" showErrorMessage="1" xr:uid="{A01CA880-DD27-4D0B-A103-E5F2950A854D}">
          <x14:formula1>
            <xm:f>項目!C17:$HHO$786433</xm:f>
          </x14:formula1>
          <xm:sqref>HHW786439:HHW786462</xm:sqref>
        </x14:dataValidation>
        <x14:dataValidation type="list" allowBlank="1" showInputMessage="1" showErrorMessage="1" xr:uid="{C889518B-DCAB-44EA-8523-307F2EB2843B}">
          <x14:formula1>
            <xm:f>項目!C17:$HRK$786433</xm:f>
          </x14:formula1>
          <xm:sqref>HRS786439:HRS786462</xm:sqref>
        </x14:dataValidation>
        <x14:dataValidation type="list" allowBlank="1" showInputMessage="1" showErrorMessage="1" xr:uid="{F88A0D3A-77D9-46CF-B655-92D1A15D4B5D}">
          <x14:formula1>
            <xm:f>項目!C17:$IBG$786433</xm:f>
          </x14:formula1>
          <xm:sqref>IBO786439:IBO786462</xm:sqref>
        </x14:dataValidation>
        <x14:dataValidation type="list" allowBlank="1" showInputMessage="1" showErrorMessage="1" xr:uid="{DB2A35B5-E052-4904-AEF8-52C7D9644D0B}">
          <x14:formula1>
            <xm:f>項目!C17:$ILC$786433</xm:f>
          </x14:formula1>
          <xm:sqref>ILK786439:ILK786462</xm:sqref>
        </x14:dataValidation>
        <x14:dataValidation type="list" allowBlank="1" showInputMessage="1" showErrorMessage="1" xr:uid="{FB3B023A-61AF-46B4-A70F-80A872EEDA49}">
          <x14:formula1>
            <xm:f>項目!C17:$IUY$786433</xm:f>
          </x14:formula1>
          <xm:sqref>IVG786439:IVG786462</xm:sqref>
        </x14:dataValidation>
        <x14:dataValidation type="list" allowBlank="1" showInputMessage="1" showErrorMessage="1" xr:uid="{08106062-4479-41DF-B74B-4D6D1846BF58}">
          <x14:formula1>
            <xm:f>項目!C17:$JEU$786433</xm:f>
          </x14:formula1>
          <xm:sqref>JFC786439:JFC786462</xm:sqref>
        </x14:dataValidation>
        <x14:dataValidation type="list" allowBlank="1" showInputMessage="1" showErrorMessage="1" xr:uid="{7DD08EE5-9329-4F90-9168-190134EDD302}">
          <x14:formula1>
            <xm:f>項目!C17:$JOQ$786433</xm:f>
          </x14:formula1>
          <xm:sqref>JOY786439:JOY786462</xm:sqref>
        </x14:dataValidation>
        <x14:dataValidation type="list" allowBlank="1" showInputMessage="1" showErrorMessage="1" xr:uid="{5A366BB3-1A78-4977-9B9A-019096D0BE53}">
          <x14:formula1>
            <xm:f>項目!C17:$JYM$786433</xm:f>
          </x14:formula1>
          <xm:sqref>JYU786439:JYU786462</xm:sqref>
        </x14:dataValidation>
        <x14:dataValidation type="list" allowBlank="1" showInputMessage="1" showErrorMessage="1" xr:uid="{34D248D4-11BE-4965-B537-DE2D0C77E62B}">
          <x14:formula1>
            <xm:f>項目!C17:$KII$786433</xm:f>
          </x14:formula1>
          <xm:sqref>KIQ786439:KIQ786462</xm:sqref>
        </x14:dataValidation>
        <x14:dataValidation type="list" allowBlank="1" showInputMessage="1" showErrorMessage="1" xr:uid="{27D7147D-1222-437D-B0AB-36D91EDFB7AE}">
          <x14:formula1>
            <xm:f>項目!C17:$KSE$786433</xm:f>
          </x14:formula1>
          <xm:sqref>KSM786439:KSM786462</xm:sqref>
        </x14:dataValidation>
        <x14:dataValidation type="list" allowBlank="1" showInputMessage="1" showErrorMessage="1" xr:uid="{02D63ACD-BB99-4705-9ADD-7D1416F600D3}">
          <x14:formula1>
            <xm:f>項目!C17:$LCA$786433</xm:f>
          </x14:formula1>
          <xm:sqref>LCI786439:LCI786462</xm:sqref>
        </x14:dataValidation>
        <x14:dataValidation type="list" allowBlank="1" showInputMessage="1" showErrorMessage="1" xr:uid="{F0D27DB9-0092-4510-BDF8-93842DF81E06}">
          <x14:formula1>
            <xm:f>項目!C17:$LLW$786433</xm:f>
          </x14:formula1>
          <xm:sqref>LME786439:LME786462</xm:sqref>
        </x14:dataValidation>
        <x14:dataValidation type="list" allowBlank="1" showInputMessage="1" showErrorMessage="1" xr:uid="{52026B99-19FD-45BE-843C-6020FFE52866}">
          <x14:formula1>
            <xm:f>項目!C17:$LVS$786433</xm:f>
          </x14:formula1>
          <xm:sqref>LWA786439:LWA786462</xm:sqref>
        </x14:dataValidation>
        <x14:dataValidation type="list" allowBlank="1" showInputMessage="1" showErrorMessage="1" xr:uid="{E7324E73-3439-47CD-817B-24D219963B40}">
          <x14:formula1>
            <xm:f>項目!C17:$MFO$786433</xm:f>
          </x14:formula1>
          <xm:sqref>MFW786439:MFW786462</xm:sqref>
        </x14:dataValidation>
        <x14:dataValidation type="list" allowBlank="1" showInputMessage="1" showErrorMessage="1" xr:uid="{3F400A8D-D687-42CB-93FD-20B804462185}">
          <x14:formula1>
            <xm:f>項目!C17:$MPK$786433</xm:f>
          </x14:formula1>
          <xm:sqref>MPS786439:MPS786462</xm:sqref>
        </x14:dataValidation>
        <x14:dataValidation type="list" allowBlank="1" showInputMessage="1" showErrorMessage="1" xr:uid="{EAA1BEFA-E408-4D4F-B2AF-779E239A03D8}">
          <x14:formula1>
            <xm:f>項目!C17:$MZG$786433</xm:f>
          </x14:formula1>
          <xm:sqref>MZO786439:MZO786462</xm:sqref>
        </x14:dataValidation>
        <x14:dataValidation type="list" allowBlank="1" showInputMessage="1" showErrorMessage="1" xr:uid="{5C6590B4-7EB8-490F-9AC3-529BD422AC80}">
          <x14:formula1>
            <xm:f>項目!C17:$NJC$786433</xm:f>
          </x14:formula1>
          <xm:sqref>NJK786439:NJK786462</xm:sqref>
        </x14:dataValidation>
        <x14:dataValidation type="list" allowBlank="1" showInputMessage="1" showErrorMessage="1" xr:uid="{2977AF07-7456-4F09-A993-D86186B3D8A0}">
          <x14:formula1>
            <xm:f>項目!C17:$NSY$786433</xm:f>
          </x14:formula1>
          <xm:sqref>NTG786439:NTG786462</xm:sqref>
        </x14:dataValidation>
        <x14:dataValidation type="list" allowBlank="1" showInputMessage="1" showErrorMessage="1" xr:uid="{3AB1FD6C-793F-42E8-AD7A-F9A68BB22F1E}">
          <x14:formula1>
            <xm:f>項目!C17:$OCU$786433</xm:f>
          </x14:formula1>
          <xm:sqref>ODC786439:ODC786462</xm:sqref>
        </x14:dataValidation>
        <x14:dataValidation type="list" allowBlank="1" showInputMessage="1" showErrorMessage="1" xr:uid="{269CA2A6-4635-45D1-9086-802FD69858F2}">
          <x14:formula1>
            <xm:f>項目!C17:$OMQ$786433</xm:f>
          </x14:formula1>
          <xm:sqref>OMY786439:OMY786462</xm:sqref>
        </x14:dataValidation>
        <x14:dataValidation type="list" allowBlank="1" showInputMessage="1" showErrorMessage="1" xr:uid="{6CB42337-4A6F-4352-828F-D0F8191F99D5}">
          <x14:formula1>
            <xm:f>項目!C17:$OWM$786433</xm:f>
          </x14:formula1>
          <xm:sqref>OWU786439:OWU786462</xm:sqref>
        </x14:dataValidation>
        <x14:dataValidation type="list" allowBlank="1" showInputMessage="1" showErrorMessage="1" xr:uid="{76654AB0-2EB2-4231-B7B0-8CC200BFD493}">
          <x14:formula1>
            <xm:f>項目!C17:$PGI$786433</xm:f>
          </x14:formula1>
          <xm:sqref>PGQ786439:PGQ786462</xm:sqref>
        </x14:dataValidation>
        <x14:dataValidation type="list" allowBlank="1" showInputMessage="1" showErrorMessage="1" xr:uid="{FBECEDEA-DEEA-4238-8FEE-6B7E804EFDD2}">
          <x14:formula1>
            <xm:f>項目!C17:$PQE$786433</xm:f>
          </x14:formula1>
          <xm:sqref>PQM786439:PQM786462</xm:sqref>
        </x14:dataValidation>
        <x14:dataValidation type="list" allowBlank="1" showInputMessage="1" showErrorMessage="1" xr:uid="{8346BA14-5804-467F-828A-11C97A9971EF}">
          <x14:formula1>
            <xm:f>項目!C17:$QAA$786433</xm:f>
          </x14:formula1>
          <xm:sqref>QAI786439:QAI786462</xm:sqref>
        </x14:dataValidation>
        <x14:dataValidation type="list" allowBlank="1" showInputMessage="1" showErrorMessage="1" xr:uid="{12B9B6F7-5D83-4C2E-B468-C3B597FC22C9}">
          <x14:formula1>
            <xm:f>項目!C17:$QJW$786433</xm:f>
          </x14:formula1>
          <xm:sqref>QKE786439:QKE786462</xm:sqref>
        </x14:dataValidation>
        <x14:dataValidation type="list" allowBlank="1" showInputMessage="1" showErrorMessage="1" xr:uid="{65DC5641-5E15-4A9C-843A-2A0EEFDA300B}">
          <x14:formula1>
            <xm:f>項目!C17:$QTS$786433</xm:f>
          </x14:formula1>
          <xm:sqref>QUA786439:QUA786462</xm:sqref>
        </x14:dataValidation>
        <x14:dataValidation type="list" allowBlank="1" showInputMessage="1" showErrorMessage="1" xr:uid="{DCCF5FC2-C9F9-4547-88C7-94645EB2D122}">
          <x14:formula1>
            <xm:f>項目!C17:$RDO$786433</xm:f>
          </x14:formula1>
          <xm:sqref>RDW786439:RDW786462</xm:sqref>
        </x14:dataValidation>
        <x14:dataValidation type="list" allowBlank="1" showInputMessage="1" showErrorMessage="1" xr:uid="{02BA13A5-43A1-4B43-A1CA-CF698427058A}">
          <x14:formula1>
            <xm:f>項目!C17:$RNK$786433</xm:f>
          </x14:formula1>
          <xm:sqref>RNS786439:RNS786462</xm:sqref>
        </x14:dataValidation>
        <x14:dataValidation type="list" allowBlank="1" showInputMessage="1" showErrorMessage="1" xr:uid="{560E4ED5-DA93-46DC-87FF-61874167BBD8}">
          <x14:formula1>
            <xm:f>項目!C17:$RXG$786433</xm:f>
          </x14:formula1>
          <xm:sqref>RXO786439:RXO786462</xm:sqref>
        </x14:dataValidation>
        <x14:dataValidation type="list" allowBlank="1" showInputMessage="1" showErrorMessage="1" xr:uid="{3F17CB8D-7BFF-4D62-9851-D5A513B3B286}">
          <x14:formula1>
            <xm:f>項目!C17:$SHC$786433</xm:f>
          </x14:formula1>
          <xm:sqref>SHK786439:SHK786462</xm:sqref>
        </x14:dataValidation>
        <x14:dataValidation type="list" allowBlank="1" showInputMessage="1" showErrorMessage="1" xr:uid="{98436E04-983B-44E4-9A88-521C7715F805}">
          <x14:formula1>
            <xm:f>項目!C17:$SQY$786433</xm:f>
          </x14:formula1>
          <xm:sqref>SRG786439:SRG786462</xm:sqref>
        </x14:dataValidation>
        <x14:dataValidation type="list" allowBlank="1" showInputMessage="1" showErrorMessage="1" xr:uid="{0E65D922-41FB-45CA-9822-3CF88568D100}">
          <x14:formula1>
            <xm:f>項目!C17:$TAU$786433</xm:f>
          </x14:formula1>
          <xm:sqref>TBC786439:TBC786462</xm:sqref>
        </x14:dataValidation>
        <x14:dataValidation type="list" allowBlank="1" showInputMessage="1" showErrorMessage="1" xr:uid="{49191129-9D3A-41E8-A2C6-C6AF5BA0A7F7}">
          <x14:formula1>
            <xm:f>項目!C17:$TKQ$786433</xm:f>
          </x14:formula1>
          <xm:sqref>TKY786439:TKY786462</xm:sqref>
        </x14:dataValidation>
        <x14:dataValidation type="list" allowBlank="1" showInputMessage="1" showErrorMessage="1" xr:uid="{B813E0CC-BFF9-4BC8-8FF4-50B9E599B7A4}">
          <x14:formula1>
            <xm:f>項目!C17:$TUM$786433</xm:f>
          </x14:formula1>
          <xm:sqref>TUU786439:TUU786462</xm:sqref>
        </x14:dataValidation>
        <x14:dataValidation type="list" allowBlank="1" showInputMessage="1" showErrorMessage="1" xr:uid="{731D78C9-B5E6-4053-B0FE-8061418C2CAF}">
          <x14:formula1>
            <xm:f>項目!C17:$UEI$786433</xm:f>
          </x14:formula1>
          <xm:sqref>UEQ786439:UEQ786462</xm:sqref>
        </x14:dataValidation>
        <x14:dataValidation type="list" allowBlank="1" showInputMessage="1" showErrorMessage="1" xr:uid="{719E09C5-7C0C-4F33-AA0D-8AE3163DB767}">
          <x14:formula1>
            <xm:f>項目!C17:$UOE$786433</xm:f>
          </x14:formula1>
          <xm:sqref>UOM786439:UOM786462</xm:sqref>
        </x14:dataValidation>
        <x14:dataValidation type="list" allowBlank="1" showInputMessage="1" showErrorMessage="1" xr:uid="{BF0D9DDD-AF97-462D-B20D-7802DA343C00}">
          <x14:formula1>
            <xm:f>項目!C17:$UYA$786433</xm:f>
          </x14:formula1>
          <xm:sqref>UYI786439:UYI786462</xm:sqref>
        </x14:dataValidation>
        <x14:dataValidation type="list" allowBlank="1" showInputMessage="1" showErrorMessage="1" xr:uid="{052B8EE7-18B9-479C-BCB3-EC46561F5EB7}">
          <x14:formula1>
            <xm:f>項目!C17:$VHW$786433</xm:f>
          </x14:formula1>
          <xm:sqref>VIE786439:VIE786462</xm:sqref>
        </x14:dataValidation>
        <x14:dataValidation type="list" allowBlank="1" showInputMessage="1" showErrorMessage="1" xr:uid="{F0CC6176-9BDD-4FF5-B0D6-9F97EAAB1D35}">
          <x14:formula1>
            <xm:f>項目!C17:$VRS$786433</xm:f>
          </x14:formula1>
          <xm:sqref>VSA786439:VSA786462</xm:sqref>
        </x14:dataValidation>
        <x14:dataValidation type="list" allowBlank="1" showInputMessage="1" showErrorMessage="1" xr:uid="{AEDD1FEE-83CA-4AFB-85D5-3D872053A357}">
          <x14:formula1>
            <xm:f>項目!C17:$WBO$786433</xm:f>
          </x14:formula1>
          <xm:sqref>WBW786439:WBW786462</xm:sqref>
        </x14:dataValidation>
        <x14:dataValidation type="list" allowBlank="1" showInputMessage="1" showErrorMessage="1" xr:uid="{8DCF8162-6AC5-489D-B540-24DE3A7C96FF}">
          <x14:formula1>
            <xm:f>項目!C17:$WLK$786433</xm:f>
          </x14:formula1>
          <xm:sqref>WLS786439:WLS786462</xm:sqref>
        </x14:dataValidation>
        <x14:dataValidation type="list" allowBlank="1" showInputMessage="1" showErrorMessage="1" xr:uid="{F744830F-FD3A-4BA8-B248-E6045FD8024E}">
          <x14:formula1>
            <xm:f>項目!C17:$WVG$786433</xm:f>
          </x14:formula1>
          <xm:sqref>WVO786439:WVO786462</xm:sqref>
        </x14:dataValidation>
        <x14:dataValidation type="list" allowBlank="1" showInputMessage="1" showErrorMessage="1" xr:uid="{394F8E18-E6AB-4454-A98E-AA506C60CF5C}">
          <x14:formula1>
            <xm:f>項目!C17:$IU$851969</xm:f>
          </x14:formula1>
          <xm:sqref>JC851975:JC851998</xm:sqref>
        </x14:dataValidation>
        <x14:dataValidation type="list" allowBlank="1" showInputMessage="1" showErrorMessage="1" xr:uid="{E137309B-3F19-4780-A68D-18B89DA631B0}">
          <x14:formula1>
            <xm:f>項目!C17:$SQ$851969</xm:f>
          </x14:formula1>
          <xm:sqref>SY851975:SY851998</xm:sqref>
        </x14:dataValidation>
        <x14:dataValidation type="list" allowBlank="1" showInputMessage="1" showErrorMessage="1" xr:uid="{5978543C-CD84-48D0-9833-AE0C56596CB8}">
          <x14:formula1>
            <xm:f>項目!C17:$ACM$851969</xm:f>
          </x14:formula1>
          <xm:sqref>ACU851975:ACU851998</xm:sqref>
        </x14:dataValidation>
        <x14:dataValidation type="list" allowBlank="1" showInputMessage="1" showErrorMessage="1" xr:uid="{7ABDFDDC-E4EB-4F35-B774-57713CCFFCBE}">
          <x14:formula1>
            <xm:f>項目!C17:$AMI$851969</xm:f>
          </x14:formula1>
          <xm:sqref>AMQ851975:AMQ851998</xm:sqref>
        </x14:dataValidation>
        <x14:dataValidation type="list" allowBlank="1" showInputMessage="1" showErrorMessage="1" xr:uid="{D8AD32B3-2D9D-49E2-A63A-D3D0555DF629}">
          <x14:formula1>
            <xm:f>項目!C17:$AWE$851969</xm:f>
          </x14:formula1>
          <xm:sqref>AWM851975:AWM851998</xm:sqref>
        </x14:dataValidation>
        <x14:dataValidation type="list" allowBlank="1" showInputMessage="1" showErrorMessage="1" xr:uid="{32A8A8E1-294A-440C-89DC-B5F19028EF64}">
          <x14:formula1>
            <xm:f>項目!C17:$BGA$851969</xm:f>
          </x14:formula1>
          <xm:sqref>BGI851975:BGI851998</xm:sqref>
        </x14:dataValidation>
        <x14:dataValidation type="list" allowBlank="1" showInputMessage="1" showErrorMessage="1" xr:uid="{1F5BA1C4-937F-4765-9548-C5E45308D210}">
          <x14:formula1>
            <xm:f>項目!C17:$BPW$851969</xm:f>
          </x14:formula1>
          <xm:sqref>BQE851975:BQE851998</xm:sqref>
        </x14:dataValidation>
        <x14:dataValidation type="list" allowBlank="1" showInputMessage="1" showErrorMessage="1" xr:uid="{7D6E88A4-9924-49C8-91F2-3518A3DC6057}">
          <x14:formula1>
            <xm:f>項目!C17:$BZS$851969</xm:f>
          </x14:formula1>
          <xm:sqref>CAA851975:CAA851998</xm:sqref>
        </x14:dataValidation>
        <x14:dataValidation type="list" allowBlank="1" showInputMessage="1" showErrorMessage="1" xr:uid="{DC0E0A83-5CE0-4E3C-B626-5EA7D2A2139B}">
          <x14:formula1>
            <xm:f>項目!C17:$CJO$851969</xm:f>
          </x14:formula1>
          <xm:sqref>CJW851975:CJW851998</xm:sqref>
        </x14:dataValidation>
        <x14:dataValidation type="list" allowBlank="1" showInputMessage="1" showErrorMessage="1" xr:uid="{3B579B42-18AA-4107-8319-2D16BF7DF459}">
          <x14:formula1>
            <xm:f>項目!C17:$CTK$851969</xm:f>
          </x14:formula1>
          <xm:sqref>CTS851975:CTS851998</xm:sqref>
        </x14:dataValidation>
        <x14:dataValidation type="list" allowBlank="1" showInputMessage="1" showErrorMessage="1" xr:uid="{317531B2-9923-49AA-9DE3-4BADCD0C1D0F}">
          <x14:formula1>
            <xm:f>項目!C17:$DDG$851969</xm:f>
          </x14:formula1>
          <xm:sqref>DDO851975:DDO851998</xm:sqref>
        </x14:dataValidation>
        <x14:dataValidation type="list" allowBlank="1" showInputMessage="1" showErrorMessage="1" xr:uid="{05B61B0F-4174-4CA4-99B5-4D8A3F53E5F5}">
          <x14:formula1>
            <xm:f>項目!C17:$DNC$851969</xm:f>
          </x14:formula1>
          <xm:sqref>DNK851975:DNK851998</xm:sqref>
        </x14:dataValidation>
        <x14:dataValidation type="list" allowBlank="1" showInputMessage="1" showErrorMessage="1" xr:uid="{5A349697-B0A8-4E79-9870-C19EE7471E29}">
          <x14:formula1>
            <xm:f>項目!C17:$DWY$851969</xm:f>
          </x14:formula1>
          <xm:sqref>DXG851975:DXG851998</xm:sqref>
        </x14:dataValidation>
        <x14:dataValidation type="list" allowBlank="1" showInputMessage="1" showErrorMessage="1" xr:uid="{9618B197-CEA6-42EE-B309-1F4D5F0310B3}">
          <x14:formula1>
            <xm:f>項目!C17:$EGU$851969</xm:f>
          </x14:formula1>
          <xm:sqref>EHC851975:EHC851998</xm:sqref>
        </x14:dataValidation>
        <x14:dataValidation type="list" allowBlank="1" showInputMessage="1" showErrorMessage="1" xr:uid="{20B02A7F-7A90-4F06-AD06-FCD8FD31EA66}">
          <x14:formula1>
            <xm:f>項目!C17:$EQQ$851969</xm:f>
          </x14:formula1>
          <xm:sqref>EQY851975:EQY851998</xm:sqref>
        </x14:dataValidation>
        <x14:dataValidation type="list" allowBlank="1" showInputMessage="1" showErrorMessage="1" xr:uid="{E1C817D2-117B-4E9F-B82C-51AA4A825E69}">
          <x14:formula1>
            <xm:f>項目!C17:$FAM$851969</xm:f>
          </x14:formula1>
          <xm:sqref>FAU851975:FAU851998</xm:sqref>
        </x14:dataValidation>
        <x14:dataValidation type="list" allowBlank="1" showInputMessage="1" showErrorMessage="1" xr:uid="{B17831CF-5314-410A-A94C-4E0A9790E6BF}">
          <x14:formula1>
            <xm:f>項目!C17:$FKI$851969</xm:f>
          </x14:formula1>
          <xm:sqref>FKQ851975:FKQ851998</xm:sqref>
        </x14:dataValidation>
        <x14:dataValidation type="list" allowBlank="1" showInputMessage="1" showErrorMessage="1" xr:uid="{0D573BF3-502E-4D62-875C-2D4A2E53BEA6}">
          <x14:formula1>
            <xm:f>項目!C17:$FUE$851969</xm:f>
          </x14:formula1>
          <xm:sqref>FUM851975:FUM851998</xm:sqref>
        </x14:dataValidation>
        <x14:dataValidation type="list" allowBlank="1" showInputMessage="1" showErrorMessage="1" xr:uid="{F5B9F594-D5AF-4DAB-87F4-EBCC6D916450}">
          <x14:formula1>
            <xm:f>項目!C17:$GEA$851969</xm:f>
          </x14:formula1>
          <xm:sqref>GEI851975:GEI851998</xm:sqref>
        </x14:dataValidation>
        <x14:dataValidation type="list" allowBlank="1" showInputMessage="1" showErrorMessage="1" xr:uid="{99662601-2968-435B-8B9B-26B7B5F6DB27}">
          <x14:formula1>
            <xm:f>項目!C17:$GNW$851969</xm:f>
          </x14:formula1>
          <xm:sqref>GOE851975:GOE851998</xm:sqref>
        </x14:dataValidation>
        <x14:dataValidation type="list" allowBlank="1" showInputMessage="1" showErrorMessage="1" xr:uid="{1F833FA7-E49B-47D9-9BE0-8509F321D3D4}">
          <x14:formula1>
            <xm:f>項目!C17:$GXS$851969</xm:f>
          </x14:formula1>
          <xm:sqref>GYA851975:GYA851998</xm:sqref>
        </x14:dataValidation>
        <x14:dataValidation type="list" allowBlank="1" showInputMessage="1" showErrorMessage="1" xr:uid="{DEFB58C0-E816-41D2-BB5B-86A884027EDD}">
          <x14:formula1>
            <xm:f>項目!C17:$HHO$851969</xm:f>
          </x14:formula1>
          <xm:sqref>HHW851975:HHW851998</xm:sqref>
        </x14:dataValidation>
        <x14:dataValidation type="list" allowBlank="1" showInputMessage="1" showErrorMessage="1" xr:uid="{52C0D3B8-31F4-4B90-942C-6EF89D6206AB}">
          <x14:formula1>
            <xm:f>項目!C17:$HRK$851969</xm:f>
          </x14:formula1>
          <xm:sqref>HRS851975:HRS851998</xm:sqref>
        </x14:dataValidation>
        <x14:dataValidation type="list" allowBlank="1" showInputMessage="1" showErrorMessage="1" xr:uid="{C162B01D-F60C-4367-929B-B4C6675B7A1C}">
          <x14:formula1>
            <xm:f>項目!C17:$IBG$851969</xm:f>
          </x14:formula1>
          <xm:sqref>IBO851975:IBO851998</xm:sqref>
        </x14:dataValidation>
        <x14:dataValidation type="list" allowBlank="1" showInputMessage="1" showErrorMessage="1" xr:uid="{6F509E34-B257-4137-8454-3BBAC8EBF2F0}">
          <x14:formula1>
            <xm:f>項目!C17:$ILC$851969</xm:f>
          </x14:formula1>
          <xm:sqref>ILK851975:ILK851998</xm:sqref>
        </x14:dataValidation>
        <x14:dataValidation type="list" allowBlank="1" showInputMessage="1" showErrorMessage="1" xr:uid="{3EAC0D7D-663D-49AF-A652-46D764782388}">
          <x14:formula1>
            <xm:f>項目!C17:$IUY$851969</xm:f>
          </x14:formula1>
          <xm:sqref>IVG851975:IVG851998</xm:sqref>
        </x14:dataValidation>
        <x14:dataValidation type="list" allowBlank="1" showInputMessage="1" showErrorMessage="1" xr:uid="{92B9A429-FD35-4128-A33F-1C7E29621D74}">
          <x14:formula1>
            <xm:f>項目!C17:$JEU$851969</xm:f>
          </x14:formula1>
          <xm:sqref>JFC851975:JFC851998</xm:sqref>
        </x14:dataValidation>
        <x14:dataValidation type="list" allowBlank="1" showInputMessage="1" showErrorMessage="1" xr:uid="{6EBF143D-FBA5-4773-9ECF-78FBED306839}">
          <x14:formula1>
            <xm:f>項目!C17:$JOQ$851969</xm:f>
          </x14:formula1>
          <xm:sqref>JOY851975:JOY851998</xm:sqref>
        </x14:dataValidation>
        <x14:dataValidation type="list" allowBlank="1" showInputMessage="1" showErrorMessage="1" xr:uid="{3806951A-96E6-44DC-813B-41D33A474EE4}">
          <x14:formula1>
            <xm:f>項目!C17:$JYM$851969</xm:f>
          </x14:formula1>
          <xm:sqref>JYU851975:JYU851998</xm:sqref>
        </x14:dataValidation>
        <x14:dataValidation type="list" allowBlank="1" showInputMessage="1" showErrorMessage="1" xr:uid="{210D5C38-E6AF-4517-82E9-12F6998F0A7C}">
          <x14:formula1>
            <xm:f>項目!C17:$KII$851969</xm:f>
          </x14:formula1>
          <xm:sqref>KIQ851975:KIQ851998</xm:sqref>
        </x14:dataValidation>
        <x14:dataValidation type="list" allowBlank="1" showInputMessage="1" showErrorMessage="1" xr:uid="{4C238213-BF9F-4C40-A8BE-DE6C86173382}">
          <x14:formula1>
            <xm:f>項目!C17:$KSE$851969</xm:f>
          </x14:formula1>
          <xm:sqref>KSM851975:KSM851998</xm:sqref>
        </x14:dataValidation>
        <x14:dataValidation type="list" allowBlank="1" showInputMessage="1" showErrorMessage="1" xr:uid="{469FEAA8-AF5D-4F24-A5CD-E0DD0F6E13CD}">
          <x14:formula1>
            <xm:f>項目!C17:$LCA$851969</xm:f>
          </x14:formula1>
          <xm:sqref>LCI851975:LCI851998</xm:sqref>
        </x14:dataValidation>
        <x14:dataValidation type="list" allowBlank="1" showInputMessage="1" showErrorMessage="1" xr:uid="{788B22A4-1B3A-44DB-B717-0184321681C9}">
          <x14:formula1>
            <xm:f>項目!C17:$LLW$851969</xm:f>
          </x14:formula1>
          <xm:sqref>LME851975:LME851998</xm:sqref>
        </x14:dataValidation>
        <x14:dataValidation type="list" allowBlank="1" showInputMessage="1" showErrorMessage="1" xr:uid="{34FEAF7B-DAC8-42FB-9DD6-89E8CC9EB857}">
          <x14:formula1>
            <xm:f>項目!C17:$LVS$851969</xm:f>
          </x14:formula1>
          <xm:sqref>LWA851975:LWA851998</xm:sqref>
        </x14:dataValidation>
        <x14:dataValidation type="list" allowBlank="1" showInputMessage="1" showErrorMessage="1" xr:uid="{1D6B275C-F8A2-4C85-A0F0-DAFCF0270BA3}">
          <x14:formula1>
            <xm:f>項目!C17:$MFO$851969</xm:f>
          </x14:formula1>
          <xm:sqref>MFW851975:MFW851998</xm:sqref>
        </x14:dataValidation>
        <x14:dataValidation type="list" allowBlank="1" showInputMessage="1" showErrorMessage="1" xr:uid="{120AD5E3-8B7F-42A1-B54B-0FD132006BA9}">
          <x14:formula1>
            <xm:f>項目!C17:$MPK$851969</xm:f>
          </x14:formula1>
          <xm:sqref>MPS851975:MPS851998</xm:sqref>
        </x14:dataValidation>
        <x14:dataValidation type="list" allowBlank="1" showInputMessage="1" showErrorMessage="1" xr:uid="{76D2C9DE-7B55-4C81-8AAC-654127DD5A8C}">
          <x14:formula1>
            <xm:f>項目!C17:$MZG$851969</xm:f>
          </x14:formula1>
          <xm:sqref>MZO851975:MZO851998</xm:sqref>
        </x14:dataValidation>
        <x14:dataValidation type="list" allowBlank="1" showInputMessage="1" showErrorMessage="1" xr:uid="{D6267228-C0B0-4B88-823A-9719FC3E3F30}">
          <x14:formula1>
            <xm:f>項目!C17:$NJC$851969</xm:f>
          </x14:formula1>
          <xm:sqref>NJK851975:NJK851998</xm:sqref>
        </x14:dataValidation>
        <x14:dataValidation type="list" allowBlank="1" showInputMessage="1" showErrorMessage="1" xr:uid="{6B532918-CBF1-4654-9278-4B74CDC351B6}">
          <x14:formula1>
            <xm:f>項目!C17:$NSY$851969</xm:f>
          </x14:formula1>
          <xm:sqref>NTG851975:NTG851998</xm:sqref>
        </x14:dataValidation>
        <x14:dataValidation type="list" allowBlank="1" showInputMessage="1" showErrorMessage="1" xr:uid="{DC1D9DF8-F55C-4A08-A056-2DAC7F34307A}">
          <x14:formula1>
            <xm:f>項目!C17:$OCU$851969</xm:f>
          </x14:formula1>
          <xm:sqref>ODC851975:ODC851998</xm:sqref>
        </x14:dataValidation>
        <x14:dataValidation type="list" allowBlank="1" showInputMessage="1" showErrorMessage="1" xr:uid="{38F5F60D-B7E8-4588-B0F6-C55077A45B12}">
          <x14:formula1>
            <xm:f>項目!C17:$OMQ$851969</xm:f>
          </x14:formula1>
          <xm:sqref>OMY851975:OMY851998</xm:sqref>
        </x14:dataValidation>
        <x14:dataValidation type="list" allowBlank="1" showInputMessage="1" showErrorMessage="1" xr:uid="{C1FC0AF7-6CE6-47D9-9079-F570FA4C0554}">
          <x14:formula1>
            <xm:f>項目!C17:$OWM$851969</xm:f>
          </x14:formula1>
          <xm:sqref>OWU851975:OWU851998</xm:sqref>
        </x14:dataValidation>
        <x14:dataValidation type="list" allowBlank="1" showInputMessage="1" showErrorMessage="1" xr:uid="{4AC4701E-8FD4-4A60-8D17-208293F3FBBF}">
          <x14:formula1>
            <xm:f>項目!C17:$PGI$851969</xm:f>
          </x14:formula1>
          <xm:sqref>PGQ851975:PGQ851998</xm:sqref>
        </x14:dataValidation>
        <x14:dataValidation type="list" allowBlank="1" showInputMessage="1" showErrorMessage="1" xr:uid="{BAC9C30B-4436-4FA0-8CB8-6C8CCAD96125}">
          <x14:formula1>
            <xm:f>項目!C17:$PQE$851969</xm:f>
          </x14:formula1>
          <xm:sqref>PQM851975:PQM851998</xm:sqref>
        </x14:dataValidation>
        <x14:dataValidation type="list" allowBlank="1" showInputMessage="1" showErrorMessage="1" xr:uid="{0D171349-4376-4337-BE09-6B57552188FB}">
          <x14:formula1>
            <xm:f>項目!C17:$QAA$851969</xm:f>
          </x14:formula1>
          <xm:sqref>QAI851975:QAI851998</xm:sqref>
        </x14:dataValidation>
        <x14:dataValidation type="list" allowBlank="1" showInputMessage="1" showErrorMessage="1" xr:uid="{08C7B552-3E69-4206-8D4F-9A4AB159BC9E}">
          <x14:formula1>
            <xm:f>項目!C17:$QJW$851969</xm:f>
          </x14:formula1>
          <xm:sqref>QKE851975:QKE851998</xm:sqref>
        </x14:dataValidation>
        <x14:dataValidation type="list" allowBlank="1" showInputMessage="1" showErrorMessage="1" xr:uid="{D65C9545-0F79-4220-B137-2224699CE58E}">
          <x14:formula1>
            <xm:f>項目!C17:$QTS$851969</xm:f>
          </x14:formula1>
          <xm:sqref>QUA851975:QUA851998</xm:sqref>
        </x14:dataValidation>
        <x14:dataValidation type="list" allowBlank="1" showInputMessage="1" showErrorMessage="1" xr:uid="{1AB2742F-D9F5-4D91-9B09-FE03FA04E11E}">
          <x14:formula1>
            <xm:f>項目!C17:$RDO$851969</xm:f>
          </x14:formula1>
          <xm:sqref>RDW851975:RDW851998</xm:sqref>
        </x14:dataValidation>
        <x14:dataValidation type="list" allowBlank="1" showInputMessage="1" showErrorMessage="1" xr:uid="{9407A1F0-6648-4559-B5F3-A9C32860C94D}">
          <x14:formula1>
            <xm:f>項目!C17:$RNK$851969</xm:f>
          </x14:formula1>
          <xm:sqref>RNS851975:RNS851998</xm:sqref>
        </x14:dataValidation>
        <x14:dataValidation type="list" allowBlank="1" showInputMessage="1" showErrorMessage="1" xr:uid="{9CCA040B-D9DF-4119-8831-9E105F1466FC}">
          <x14:formula1>
            <xm:f>項目!C17:$RXG$851969</xm:f>
          </x14:formula1>
          <xm:sqref>RXO851975:RXO851998</xm:sqref>
        </x14:dataValidation>
        <x14:dataValidation type="list" allowBlank="1" showInputMessage="1" showErrorMessage="1" xr:uid="{FD5EA9BB-5EE6-4F51-902F-C3FE14B35D29}">
          <x14:formula1>
            <xm:f>項目!C17:$SHC$851969</xm:f>
          </x14:formula1>
          <xm:sqref>SHK851975:SHK851998</xm:sqref>
        </x14:dataValidation>
        <x14:dataValidation type="list" allowBlank="1" showInputMessage="1" showErrorMessage="1" xr:uid="{D46C86D3-2A65-4D6E-BE55-238ED26177F4}">
          <x14:formula1>
            <xm:f>項目!C17:$SQY$851969</xm:f>
          </x14:formula1>
          <xm:sqref>SRG851975:SRG851998</xm:sqref>
        </x14:dataValidation>
        <x14:dataValidation type="list" allowBlank="1" showInputMessage="1" showErrorMessage="1" xr:uid="{D59F98E0-8B7A-4BA0-AD8A-92A3B5811DE9}">
          <x14:formula1>
            <xm:f>項目!C17:$TAU$851969</xm:f>
          </x14:formula1>
          <xm:sqref>TBC851975:TBC851998</xm:sqref>
        </x14:dataValidation>
        <x14:dataValidation type="list" allowBlank="1" showInputMessage="1" showErrorMessage="1" xr:uid="{B21EA73D-967B-4723-8D44-70AA1BCFFC65}">
          <x14:formula1>
            <xm:f>項目!C17:$TKQ$851969</xm:f>
          </x14:formula1>
          <xm:sqref>TKY851975:TKY851998</xm:sqref>
        </x14:dataValidation>
        <x14:dataValidation type="list" allowBlank="1" showInputMessage="1" showErrorMessage="1" xr:uid="{47E991F7-BD7D-4A5F-AB2F-1BB87606DCC7}">
          <x14:formula1>
            <xm:f>項目!C17:$TUM$851969</xm:f>
          </x14:formula1>
          <xm:sqref>TUU851975:TUU851998</xm:sqref>
        </x14:dataValidation>
        <x14:dataValidation type="list" allowBlank="1" showInputMessage="1" showErrorMessage="1" xr:uid="{234CF869-0366-4D20-A6CE-72B0C4A790CF}">
          <x14:formula1>
            <xm:f>項目!C17:$UEI$851969</xm:f>
          </x14:formula1>
          <xm:sqref>UEQ851975:UEQ851998</xm:sqref>
        </x14:dataValidation>
        <x14:dataValidation type="list" allowBlank="1" showInputMessage="1" showErrorMessage="1" xr:uid="{AF61C6C5-D06C-497D-986E-6F9002B690B6}">
          <x14:formula1>
            <xm:f>項目!C17:$UOE$851969</xm:f>
          </x14:formula1>
          <xm:sqref>UOM851975:UOM851998</xm:sqref>
        </x14:dataValidation>
        <x14:dataValidation type="list" allowBlank="1" showInputMessage="1" showErrorMessage="1" xr:uid="{E0FA7FC3-0F4F-47BF-ADBD-3B0A001910AA}">
          <x14:formula1>
            <xm:f>項目!C17:$UYA$851969</xm:f>
          </x14:formula1>
          <xm:sqref>UYI851975:UYI851998</xm:sqref>
        </x14:dataValidation>
        <x14:dataValidation type="list" allowBlank="1" showInputMessage="1" showErrorMessage="1" xr:uid="{6D72DA1E-7B0C-4219-BC45-C8DC77AC2EB7}">
          <x14:formula1>
            <xm:f>項目!C17:$VHW$851969</xm:f>
          </x14:formula1>
          <xm:sqref>VIE851975:VIE851998</xm:sqref>
        </x14:dataValidation>
        <x14:dataValidation type="list" allowBlank="1" showInputMessage="1" showErrorMessage="1" xr:uid="{941D5A3E-D427-4136-8001-CEB0CBEEDB8F}">
          <x14:formula1>
            <xm:f>項目!C17:$VRS$851969</xm:f>
          </x14:formula1>
          <xm:sqref>VSA851975:VSA851998</xm:sqref>
        </x14:dataValidation>
        <x14:dataValidation type="list" allowBlank="1" showInputMessage="1" showErrorMessage="1" xr:uid="{FF975BD6-C29C-4090-8B99-F61968F75DD9}">
          <x14:formula1>
            <xm:f>項目!C17:$WBO$851969</xm:f>
          </x14:formula1>
          <xm:sqref>WBW851975:WBW851998</xm:sqref>
        </x14:dataValidation>
        <x14:dataValidation type="list" allowBlank="1" showInputMessage="1" showErrorMessage="1" xr:uid="{2A44CA5A-7FFB-4733-95C9-6D56F1DA218A}">
          <x14:formula1>
            <xm:f>項目!C17:$WLK$851969</xm:f>
          </x14:formula1>
          <xm:sqref>WLS851975:WLS851998</xm:sqref>
        </x14:dataValidation>
        <x14:dataValidation type="list" allowBlank="1" showInputMessage="1" showErrorMessage="1" xr:uid="{9E43F096-9682-4DD4-BB44-E9B2A037DA22}">
          <x14:formula1>
            <xm:f>項目!C17:$WVG$851969</xm:f>
          </x14:formula1>
          <xm:sqref>WVO851975:WVO851998</xm:sqref>
        </x14:dataValidation>
        <x14:dataValidation type="list" allowBlank="1" showInputMessage="1" showErrorMessage="1" xr:uid="{D21F880F-13AE-4E9F-BDB1-8FF3EB8CD077}">
          <x14:formula1>
            <xm:f>項目!C17:$IU$917505</xm:f>
          </x14:formula1>
          <xm:sqref>JC917511:JC917534</xm:sqref>
        </x14:dataValidation>
        <x14:dataValidation type="list" allowBlank="1" showInputMessage="1" showErrorMessage="1" xr:uid="{CD8BCB86-BF2F-436B-9618-5909F2CAD6C3}">
          <x14:formula1>
            <xm:f>項目!C17:$SQ$917505</xm:f>
          </x14:formula1>
          <xm:sqref>SY917511:SY917534</xm:sqref>
        </x14:dataValidation>
        <x14:dataValidation type="list" allowBlank="1" showInputMessage="1" showErrorMessage="1" xr:uid="{64505DE0-D1A1-4731-8006-CF94A75B2139}">
          <x14:formula1>
            <xm:f>項目!C17:$ACM$917505</xm:f>
          </x14:formula1>
          <xm:sqref>ACU917511:ACU917534</xm:sqref>
        </x14:dataValidation>
        <x14:dataValidation type="list" allowBlank="1" showInputMessage="1" showErrorMessage="1" xr:uid="{2330F8C3-4334-426C-BC08-88A42B4F4B09}">
          <x14:formula1>
            <xm:f>項目!C17:$AMI$917505</xm:f>
          </x14:formula1>
          <xm:sqref>AMQ917511:AMQ917534</xm:sqref>
        </x14:dataValidation>
        <x14:dataValidation type="list" allowBlank="1" showInputMessage="1" showErrorMessage="1" xr:uid="{9048B3A2-E5CF-4B68-B746-1BCA386244CE}">
          <x14:formula1>
            <xm:f>項目!C17:$AWE$917505</xm:f>
          </x14:formula1>
          <xm:sqref>AWM917511:AWM917534</xm:sqref>
        </x14:dataValidation>
        <x14:dataValidation type="list" allowBlank="1" showInputMessage="1" showErrorMessage="1" xr:uid="{3DD8CC06-03D4-4CD3-A006-A05B134424EC}">
          <x14:formula1>
            <xm:f>項目!C17:$BGA$917505</xm:f>
          </x14:formula1>
          <xm:sqref>BGI917511:BGI917534</xm:sqref>
        </x14:dataValidation>
        <x14:dataValidation type="list" allowBlank="1" showInputMessage="1" showErrorMessage="1" xr:uid="{62E9E905-6816-49F3-84D5-6D1D761A41C8}">
          <x14:formula1>
            <xm:f>項目!C17:$BPW$917505</xm:f>
          </x14:formula1>
          <xm:sqref>BQE917511:BQE917534</xm:sqref>
        </x14:dataValidation>
        <x14:dataValidation type="list" allowBlank="1" showInputMessage="1" showErrorMessage="1" xr:uid="{944D0FA8-1DBE-4837-8C0C-6A43E2B8892B}">
          <x14:formula1>
            <xm:f>項目!C17:$BZS$917505</xm:f>
          </x14:formula1>
          <xm:sqref>CAA917511:CAA917534</xm:sqref>
        </x14:dataValidation>
        <x14:dataValidation type="list" allowBlank="1" showInputMessage="1" showErrorMessage="1" xr:uid="{DBA313EF-F41B-473F-A393-5FBC4B7613E4}">
          <x14:formula1>
            <xm:f>項目!C17:$CJO$917505</xm:f>
          </x14:formula1>
          <xm:sqref>CJW917511:CJW917534</xm:sqref>
        </x14:dataValidation>
        <x14:dataValidation type="list" allowBlank="1" showInputMessage="1" showErrorMessage="1" xr:uid="{2DF67BA0-D751-4760-B778-861D21382CCF}">
          <x14:formula1>
            <xm:f>項目!C17:$CTK$917505</xm:f>
          </x14:formula1>
          <xm:sqref>CTS917511:CTS917534</xm:sqref>
        </x14:dataValidation>
        <x14:dataValidation type="list" allowBlank="1" showInputMessage="1" showErrorMessage="1" xr:uid="{8543C38F-1868-496B-BA75-98DE98058153}">
          <x14:formula1>
            <xm:f>項目!C17:$DDG$917505</xm:f>
          </x14:formula1>
          <xm:sqref>DDO917511:DDO917534</xm:sqref>
        </x14:dataValidation>
        <x14:dataValidation type="list" allowBlank="1" showInputMessage="1" showErrorMessage="1" xr:uid="{7B03350E-3047-4F85-AC20-7B4151936D30}">
          <x14:formula1>
            <xm:f>項目!C17:$DNC$917505</xm:f>
          </x14:formula1>
          <xm:sqref>DNK917511:DNK917534</xm:sqref>
        </x14:dataValidation>
        <x14:dataValidation type="list" allowBlank="1" showInputMessage="1" showErrorMessage="1" xr:uid="{2FB6488D-370F-4F79-87C4-7957FB32858F}">
          <x14:formula1>
            <xm:f>項目!C17:$DWY$917505</xm:f>
          </x14:formula1>
          <xm:sqref>DXG917511:DXG917534</xm:sqref>
        </x14:dataValidation>
        <x14:dataValidation type="list" allowBlank="1" showInputMessage="1" showErrorMessage="1" xr:uid="{7ADAC220-A82E-4E04-B91A-61595F4B7001}">
          <x14:formula1>
            <xm:f>項目!C17:$EGU$917505</xm:f>
          </x14:formula1>
          <xm:sqref>EHC917511:EHC917534</xm:sqref>
        </x14:dataValidation>
        <x14:dataValidation type="list" allowBlank="1" showInputMessage="1" showErrorMessage="1" xr:uid="{D5190824-818C-4A1C-9378-631B4C3A0A16}">
          <x14:formula1>
            <xm:f>項目!C17:$EQQ$917505</xm:f>
          </x14:formula1>
          <xm:sqref>EQY917511:EQY917534</xm:sqref>
        </x14:dataValidation>
        <x14:dataValidation type="list" allowBlank="1" showInputMessage="1" showErrorMessage="1" xr:uid="{9C4EC911-F4B2-4814-9C10-272444EA79B6}">
          <x14:formula1>
            <xm:f>項目!C17:$FAM$917505</xm:f>
          </x14:formula1>
          <xm:sqref>FAU917511:FAU917534</xm:sqref>
        </x14:dataValidation>
        <x14:dataValidation type="list" allowBlank="1" showInputMessage="1" showErrorMessage="1" xr:uid="{0C9E420B-D37D-4550-AC78-12945F9C40A4}">
          <x14:formula1>
            <xm:f>項目!C17:$FKI$917505</xm:f>
          </x14:formula1>
          <xm:sqref>FKQ917511:FKQ917534</xm:sqref>
        </x14:dataValidation>
        <x14:dataValidation type="list" allowBlank="1" showInputMessage="1" showErrorMessage="1" xr:uid="{5E5ECDB7-4523-459E-AAF0-ADA92722CB44}">
          <x14:formula1>
            <xm:f>項目!C17:$FUE$917505</xm:f>
          </x14:formula1>
          <xm:sqref>FUM917511:FUM917534</xm:sqref>
        </x14:dataValidation>
        <x14:dataValidation type="list" allowBlank="1" showInputMessage="1" showErrorMessage="1" xr:uid="{9A149239-8106-4A1E-A17C-8379D4E2DA64}">
          <x14:formula1>
            <xm:f>項目!C17:$GEA$917505</xm:f>
          </x14:formula1>
          <xm:sqref>GEI917511:GEI917534</xm:sqref>
        </x14:dataValidation>
        <x14:dataValidation type="list" allowBlank="1" showInputMessage="1" showErrorMessage="1" xr:uid="{DC1C6C15-B725-436E-B3E6-B611FAADF824}">
          <x14:formula1>
            <xm:f>項目!C17:$GNW$917505</xm:f>
          </x14:formula1>
          <xm:sqref>GOE917511:GOE917534</xm:sqref>
        </x14:dataValidation>
        <x14:dataValidation type="list" allowBlank="1" showInputMessage="1" showErrorMessage="1" xr:uid="{342A0FCB-C18E-4E23-B39D-E4852FD78520}">
          <x14:formula1>
            <xm:f>項目!C17:$GXS$917505</xm:f>
          </x14:formula1>
          <xm:sqref>GYA917511:GYA917534</xm:sqref>
        </x14:dataValidation>
        <x14:dataValidation type="list" allowBlank="1" showInputMessage="1" showErrorMessage="1" xr:uid="{81F10705-A688-4176-B16B-DBE3B43C2A5E}">
          <x14:formula1>
            <xm:f>項目!C17:$HHO$917505</xm:f>
          </x14:formula1>
          <xm:sqref>HHW917511:HHW917534</xm:sqref>
        </x14:dataValidation>
        <x14:dataValidation type="list" allowBlank="1" showInputMessage="1" showErrorMessage="1" xr:uid="{00DD166C-B657-4D75-88B4-D6716E9F84AF}">
          <x14:formula1>
            <xm:f>項目!C17:$HRK$917505</xm:f>
          </x14:formula1>
          <xm:sqref>HRS917511:HRS917534</xm:sqref>
        </x14:dataValidation>
        <x14:dataValidation type="list" allowBlank="1" showInputMessage="1" showErrorMessage="1" xr:uid="{16D01115-D263-4D26-99FF-35736FBDED9B}">
          <x14:formula1>
            <xm:f>項目!C17:$IBG$917505</xm:f>
          </x14:formula1>
          <xm:sqref>IBO917511:IBO917534</xm:sqref>
        </x14:dataValidation>
        <x14:dataValidation type="list" allowBlank="1" showInputMessage="1" showErrorMessage="1" xr:uid="{EFBC95A9-0723-41EE-836E-7C01920CCDE1}">
          <x14:formula1>
            <xm:f>項目!C17:$ILC$917505</xm:f>
          </x14:formula1>
          <xm:sqref>ILK917511:ILK917534</xm:sqref>
        </x14:dataValidation>
        <x14:dataValidation type="list" allowBlank="1" showInputMessage="1" showErrorMessage="1" xr:uid="{90E68DBA-BEAA-4E82-A206-CA061A027CE5}">
          <x14:formula1>
            <xm:f>項目!C17:$IUY$917505</xm:f>
          </x14:formula1>
          <xm:sqref>IVG917511:IVG917534</xm:sqref>
        </x14:dataValidation>
        <x14:dataValidation type="list" allowBlank="1" showInputMessage="1" showErrorMessage="1" xr:uid="{C803CB97-E7B1-472A-8642-B13CFA8C93CA}">
          <x14:formula1>
            <xm:f>項目!C17:$JEU$917505</xm:f>
          </x14:formula1>
          <xm:sqref>JFC917511:JFC917534</xm:sqref>
        </x14:dataValidation>
        <x14:dataValidation type="list" allowBlank="1" showInputMessage="1" showErrorMessage="1" xr:uid="{9C1C6952-C522-49DB-8E74-9FA383F48A2B}">
          <x14:formula1>
            <xm:f>項目!C17:$JOQ$917505</xm:f>
          </x14:formula1>
          <xm:sqref>JOY917511:JOY917534</xm:sqref>
        </x14:dataValidation>
        <x14:dataValidation type="list" allowBlank="1" showInputMessage="1" showErrorMessage="1" xr:uid="{21F642C9-CB1D-4028-A6A4-839A365338F1}">
          <x14:formula1>
            <xm:f>項目!C17:$JYM$917505</xm:f>
          </x14:formula1>
          <xm:sqref>JYU917511:JYU917534</xm:sqref>
        </x14:dataValidation>
        <x14:dataValidation type="list" allowBlank="1" showInputMessage="1" showErrorMessage="1" xr:uid="{1F083423-9F63-46CB-A985-BB77AFB2317E}">
          <x14:formula1>
            <xm:f>項目!C17:$KII$917505</xm:f>
          </x14:formula1>
          <xm:sqref>KIQ917511:KIQ917534</xm:sqref>
        </x14:dataValidation>
        <x14:dataValidation type="list" allowBlank="1" showInputMessage="1" showErrorMessage="1" xr:uid="{7E98CEE6-8DDD-493C-8FD1-F55D34A8A19F}">
          <x14:formula1>
            <xm:f>項目!C17:$KSE$917505</xm:f>
          </x14:formula1>
          <xm:sqref>KSM917511:KSM917534</xm:sqref>
        </x14:dataValidation>
        <x14:dataValidation type="list" allowBlank="1" showInputMessage="1" showErrorMessage="1" xr:uid="{6CE1D2D9-9B2A-478E-A4C9-2B1A11B2A031}">
          <x14:formula1>
            <xm:f>項目!C17:$LCA$917505</xm:f>
          </x14:formula1>
          <xm:sqref>LCI917511:LCI917534</xm:sqref>
        </x14:dataValidation>
        <x14:dataValidation type="list" allowBlank="1" showInputMessage="1" showErrorMessage="1" xr:uid="{D9946E84-C9D4-44FF-AD79-8341DD8C5B02}">
          <x14:formula1>
            <xm:f>項目!C17:$LLW$917505</xm:f>
          </x14:formula1>
          <xm:sqref>LME917511:LME917534</xm:sqref>
        </x14:dataValidation>
        <x14:dataValidation type="list" allowBlank="1" showInputMessage="1" showErrorMessage="1" xr:uid="{9FC594D1-96D7-4CD0-B390-F32612AD9F85}">
          <x14:formula1>
            <xm:f>項目!C17:$LVS$917505</xm:f>
          </x14:formula1>
          <xm:sqref>LWA917511:LWA917534</xm:sqref>
        </x14:dataValidation>
        <x14:dataValidation type="list" allowBlank="1" showInputMessage="1" showErrorMessage="1" xr:uid="{2F164D2B-94FD-439F-80DB-D48FC0146941}">
          <x14:formula1>
            <xm:f>項目!C17:$MFO$917505</xm:f>
          </x14:formula1>
          <xm:sqref>MFW917511:MFW917534</xm:sqref>
        </x14:dataValidation>
        <x14:dataValidation type="list" allowBlank="1" showInputMessage="1" showErrorMessage="1" xr:uid="{3D203EBD-6BF4-4035-B545-1B5C031E510B}">
          <x14:formula1>
            <xm:f>項目!C17:$MPK$917505</xm:f>
          </x14:formula1>
          <xm:sqref>MPS917511:MPS917534</xm:sqref>
        </x14:dataValidation>
        <x14:dataValidation type="list" allowBlank="1" showInputMessage="1" showErrorMessage="1" xr:uid="{3B9D71B3-5455-44F5-B88E-0F19DECBFE68}">
          <x14:formula1>
            <xm:f>項目!C17:$MZG$917505</xm:f>
          </x14:formula1>
          <xm:sqref>MZO917511:MZO917534</xm:sqref>
        </x14:dataValidation>
        <x14:dataValidation type="list" allowBlank="1" showInputMessage="1" showErrorMessage="1" xr:uid="{C5F400D2-5F23-4CF0-924A-CB29CCD9DFDA}">
          <x14:formula1>
            <xm:f>項目!C17:$NJC$917505</xm:f>
          </x14:formula1>
          <xm:sqref>NJK917511:NJK917534</xm:sqref>
        </x14:dataValidation>
        <x14:dataValidation type="list" allowBlank="1" showInputMessage="1" showErrorMessage="1" xr:uid="{D10B4507-E330-4183-803C-C08DE595474E}">
          <x14:formula1>
            <xm:f>項目!C17:$NSY$917505</xm:f>
          </x14:formula1>
          <xm:sqref>NTG917511:NTG917534</xm:sqref>
        </x14:dataValidation>
        <x14:dataValidation type="list" allowBlank="1" showInputMessage="1" showErrorMessage="1" xr:uid="{290A08E7-DE0F-46A3-97F0-9EEABB825FF9}">
          <x14:formula1>
            <xm:f>項目!C17:$OCU$917505</xm:f>
          </x14:formula1>
          <xm:sqref>ODC917511:ODC917534</xm:sqref>
        </x14:dataValidation>
        <x14:dataValidation type="list" allowBlank="1" showInputMessage="1" showErrorMessage="1" xr:uid="{50E77E76-FDD7-42B9-849A-21E329D5F145}">
          <x14:formula1>
            <xm:f>項目!C17:$OMQ$917505</xm:f>
          </x14:formula1>
          <xm:sqref>OMY917511:OMY917534</xm:sqref>
        </x14:dataValidation>
        <x14:dataValidation type="list" allowBlank="1" showInputMessage="1" showErrorMessage="1" xr:uid="{E85C76DC-67B1-4F9F-87E1-A923BCD1FEFC}">
          <x14:formula1>
            <xm:f>項目!C17:$OWM$917505</xm:f>
          </x14:formula1>
          <xm:sqref>OWU917511:OWU917534</xm:sqref>
        </x14:dataValidation>
        <x14:dataValidation type="list" allowBlank="1" showInputMessage="1" showErrorMessage="1" xr:uid="{2DEFD819-108D-425D-84E4-97C9DE0ADF7E}">
          <x14:formula1>
            <xm:f>項目!C17:$PGI$917505</xm:f>
          </x14:formula1>
          <xm:sqref>PGQ917511:PGQ917534</xm:sqref>
        </x14:dataValidation>
        <x14:dataValidation type="list" allowBlank="1" showInputMessage="1" showErrorMessage="1" xr:uid="{34F43880-3A6B-43F6-B013-9DED2B78C1D2}">
          <x14:formula1>
            <xm:f>項目!C17:$PQE$917505</xm:f>
          </x14:formula1>
          <xm:sqref>PQM917511:PQM917534</xm:sqref>
        </x14:dataValidation>
        <x14:dataValidation type="list" allowBlank="1" showInputMessage="1" showErrorMessage="1" xr:uid="{981DA831-8248-477D-8F69-176C712943A9}">
          <x14:formula1>
            <xm:f>項目!C17:$QAA$917505</xm:f>
          </x14:formula1>
          <xm:sqref>QAI917511:QAI917534</xm:sqref>
        </x14:dataValidation>
        <x14:dataValidation type="list" allowBlank="1" showInputMessage="1" showErrorMessage="1" xr:uid="{D01FB793-A4F5-43F1-AB2F-F59C66C22350}">
          <x14:formula1>
            <xm:f>項目!C17:$QJW$917505</xm:f>
          </x14:formula1>
          <xm:sqref>QKE917511:QKE917534</xm:sqref>
        </x14:dataValidation>
        <x14:dataValidation type="list" allowBlank="1" showInputMessage="1" showErrorMessage="1" xr:uid="{435818E8-7D4E-4FF3-9BA2-3955776C95B3}">
          <x14:formula1>
            <xm:f>項目!C17:$QTS$917505</xm:f>
          </x14:formula1>
          <xm:sqref>QUA917511:QUA917534</xm:sqref>
        </x14:dataValidation>
        <x14:dataValidation type="list" allowBlank="1" showInputMessage="1" showErrorMessage="1" xr:uid="{0C7406DC-F9B9-4D43-AF55-85F8FBB9DD95}">
          <x14:formula1>
            <xm:f>項目!C17:$RDO$917505</xm:f>
          </x14:formula1>
          <xm:sqref>RDW917511:RDW917534</xm:sqref>
        </x14:dataValidation>
        <x14:dataValidation type="list" allowBlank="1" showInputMessage="1" showErrorMessage="1" xr:uid="{47DAFB09-974F-4CA1-BBCE-AD61FB2E9E54}">
          <x14:formula1>
            <xm:f>項目!C17:$RNK$917505</xm:f>
          </x14:formula1>
          <xm:sqref>RNS917511:RNS917534</xm:sqref>
        </x14:dataValidation>
        <x14:dataValidation type="list" allowBlank="1" showInputMessage="1" showErrorMessage="1" xr:uid="{2B04478D-7F7A-4EA6-98AD-5937CFBE77DF}">
          <x14:formula1>
            <xm:f>項目!C17:$RXG$917505</xm:f>
          </x14:formula1>
          <xm:sqref>RXO917511:RXO917534</xm:sqref>
        </x14:dataValidation>
        <x14:dataValidation type="list" allowBlank="1" showInputMessage="1" showErrorMessage="1" xr:uid="{5BBE8384-B4E7-4F82-90E0-92CF734F14FB}">
          <x14:formula1>
            <xm:f>項目!C17:$SHC$917505</xm:f>
          </x14:formula1>
          <xm:sqref>SHK917511:SHK917534</xm:sqref>
        </x14:dataValidation>
        <x14:dataValidation type="list" allowBlank="1" showInputMessage="1" showErrorMessage="1" xr:uid="{FEA54262-4506-4561-B7B0-103746717E84}">
          <x14:formula1>
            <xm:f>項目!C17:$SQY$917505</xm:f>
          </x14:formula1>
          <xm:sqref>SRG917511:SRG917534</xm:sqref>
        </x14:dataValidation>
        <x14:dataValidation type="list" allowBlank="1" showInputMessage="1" showErrorMessage="1" xr:uid="{D9ABC016-2AC7-4909-BD35-00F67CBEC84A}">
          <x14:formula1>
            <xm:f>項目!C17:$TAU$917505</xm:f>
          </x14:formula1>
          <xm:sqref>TBC917511:TBC917534</xm:sqref>
        </x14:dataValidation>
        <x14:dataValidation type="list" allowBlank="1" showInputMessage="1" showErrorMessage="1" xr:uid="{7E98CA24-D010-4994-AE92-0E42F835F7F0}">
          <x14:formula1>
            <xm:f>項目!C17:$TKQ$917505</xm:f>
          </x14:formula1>
          <xm:sqref>TKY917511:TKY917534</xm:sqref>
        </x14:dataValidation>
        <x14:dataValidation type="list" allowBlank="1" showInputMessage="1" showErrorMessage="1" xr:uid="{75DE7B52-E605-4A21-BF22-94104A718C87}">
          <x14:formula1>
            <xm:f>項目!C17:$TUM$917505</xm:f>
          </x14:formula1>
          <xm:sqref>TUU917511:TUU917534</xm:sqref>
        </x14:dataValidation>
        <x14:dataValidation type="list" allowBlank="1" showInputMessage="1" showErrorMessage="1" xr:uid="{5D8C1522-0165-4EB7-8C5C-DF0A3FA4EE9D}">
          <x14:formula1>
            <xm:f>項目!C17:$UEI$917505</xm:f>
          </x14:formula1>
          <xm:sqref>UEQ917511:UEQ917534</xm:sqref>
        </x14:dataValidation>
        <x14:dataValidation type="list" allowBlank="1" showInputMessage="1" showErrorMessage="1" xr:uid="{BEE3EFD8-B48C-4684-B14F-B3FD248DDB9A}">
          <x14:formula1>
            <xm:f>項目!C17:$UOE$917505</xm:f>
          </x14:formula1>
          <xm:sqref>UOM917511:UOM917534</xm:sqref>
        </x14:dataValidation>
        <x14:dataValidation type="list" allowBlank="1" showInputMessage="1" showErrorMessage="1" xr:uid="{6E29CDEB-576B-4606-AE7E-0E88D3AE909B}">
          <x14:formula1>
            <xm:f>項目!C17:$UYA$917505</xm:f>
          </x14:formula1>
          <xm:sqref>UYI917511:UYI917534</xm:sqref>
        </x14:dataValidation>
        <x14:dataValidation type="list" allowBlank="1" showInputMessage="1" showErrorMessage="1" xr:uid="{E15E09FD-7618-406D-BC1B-4FE98897E43E}">
          <x14:formula1>
            <xm:f>項目!C17:$VHW$917505</xm:f>
          </x14:formula1>
          <xm:sqref>VIE917511:VIE917534</xm:sqref>
        </x14:dataValidation>
        <x14:dataValidation type="list" allowBlank="1" showInputMessage="1" showErrorMessage="1" xr:uid="{AA1D3173-120D-4657-99D9-0EDBE69C41CE}">
          <x14:formula1>
            <xm:f>項目!C17:$VRS$917505</xm:f>
          </x14:formula1>
          <xm:sqref>VSA917511:VSA917534</xm:sqref>
        </x14:dataValidation>
        <x14:dataValidation type="list" allowBlank="1" showInputMessage="1" showErrorMessage="1" xr:uid="{351E5928-23AC-492D-8D27-AC8339F81FEC}">
          <x14:formula1>
            <xm:f>項目!C17:$WBO$917505</xm:f>
          </x14:formula1>
          <xm:sqref>WBW917511:WBW917534</xm:sqref>
        </x14:dataValidation>
        <x14:dataValidation type="list" allowBlank="1" showInputMessage="1" showErrorMessage="1" xr:uid="{9D06E761-8CAA-48A9-A28C-8E2D554B261D}">
          <x14:formula1>
            <xm:f>項目!C17:$WLK$917505</xm:f>
          </x14:formula1>
          <xm:sqref>WLS917511:WLS917534</xm:sqref>
        </x14:dataValidation>
        <x14:dataValidation type="list" allowBlank="1" showInputMessage="1" showErrorMessage="1" xr:uid="{CDE55F70-D904-4591-8889-3F1B6FE79856}">
          <x14:formula1>
            <xm:f>項目!C17:$WVG$917505</xm:f>
          </x14:formula1>
          <xm:sqref>WVO917511:WVO917534</xm:sqref>
        </x14:dataValidation>
        <x14:dataValidation type="list" allowBlank="1" showInputMessage="1" showErrorMessage="1" xr:uid="{024EF6A9-370F-46FA-B73D-4829E8827F39}">
          <x14:formula1>
            <xm:f>項目!C17:$IU$983041</xm:f>
          </x14:formula1>
          <xm:sqref>JC983047:JC983070</xm:sqref>
        </x14:dataValidation>
        <x14:dataValidation type="list" allowBlank="1" showInputMessage="1" showErrorMessage="1" xr:uid="{846108D5-D3E7-4277-88CE-5174238323D7}">
          <x14:formula1>
            <xm:f>項目!C17:$SQ$983041</xm:f>
          </x14:formula1>
          <xm:sqref>SY983047:SY983070</xm:sqref>
        </x14:dataValidation>
        <x14:dataValidation type="list" allowBlank="1" showInputMessage="1" showErrorMessage="1" xr:uid="{3CB41AAF-2553-45DD-93EE-3F819D5B692C}">
          <x14:formula1>
            <xm:f>項目!C17:$ACM$983041</xm:f>
          </x14:formula1>
          <xm:sqref>ACU983047:ACU983070</xm:sqref>
        </x14:dataValidation>
        <x14:dataValidation type="list" allowBlank="1" showInputMessage="1" showErrorMessage="1" xr:uid="{AC80FE95-BA59-4CE5-B616-B0B756FC3905}">
          <x14:formula1>
            <xm:f>項目!C17:$AMI$983041</xm:f>
          </x14:formula1>
          <xm:sqref>AMQ983047:AMQ983070</xm:sqref>
        </x14:dataValidation>
        <x14:dataValidation type="list" allowBlank="1" showInputMessage="1" showErrorMessage="1" xr:uid="{195009A4-99FF-4E84-8D6B-4A0DF6A68538}">
          <x14:formula1>
            <xm:f>項目!C17:$AWE$983041</xm:f>
          </x14:formula1>
          <xm:sqref>AWM983047:AWM983070</xm:sqref>
        </x14:dataValidation>
        <x14:dataValidation type="list" allowBlank="1" showInputMessage="1" showErrorMessage="1" xr:uid="{CAC794D8-2F73-4DE3-A484-11DA2CBDB49E}">
          <x14:formula1>
            <xm:f>項目!C17:$BGA$983041</xm:f>
          </x14:formula1>
          <xm:sqref>BGI983047:BGI983070</xm:sqref>
        </x14:dataValidation>
        <x14:dataValidation type="list" allowBlank="1" showInputMessage="1" showErrorMessage="1" xr:uid="{4FC8F5DD-06EB-4466-9053-DB710459C43C}">
          <x14:formula1>
            <xm:f>項目!C17:$BPW$983041</xm:f>
          </x14:formula1>
          <xm:sqref>BQE983047:BQE983070</xm:sqref>
        </x14:dataValidation>
        <x14:dataValidation type="list" allowBlank="1" showInputMessage="1" showErrorMessage="1" xr:uid="{9F44982C-A9D3-46F4-8D65-8D7816F0BC0F}">
          <x14:formula1>
            <xm:f>項目!C17:$BZS$983041</xm:f>
          </x14:formula1>
          <xm:sqref>CAA983047:CAA983070</xm:sqref>
        </x14:dataValidation>
        <x14:dataValidation type="list" allowBlank="1" showInputMessage="1" showErrorMessage="1" xr:uid="{828B3D13-FBC8-4DF7-8E3C-0030A9420691}">
          <x14:formula1>
            <xm:f>項目!C17:$CJO$983041</xm:f>
          </x14:formula1>
          <xm:sqref>CJW983047:CJW983070</xm:sqref>
        </x14:dataValidation>
        <x14:dataValidation type="list" allowBlank="1" showInputMessage="1" showErrorMessage="1" xr:uid="{BB283CB6-6997-411E-AD6C-4E03F011541E}">
          <x14:formula1>
            <xm:f>項目!C17:$CTK$983041</xm:f>
          </x14:formula1>
          <xm:sqref>CTS983047:CTS983070</xm:sqref>
        </x14:dataValidation>
        <x14:dataValidation type="list" allowBlank="1" showInputMessage="1" showErrorMessage="1" xr:uid="{6C5A0DA9-701F-4B6B-84E2-8B30C2421F8F}">
          <x14:formula1>
            <xm:f>項目!C17:$DDG$983041</xm:f>
          </x14:formula1>
          <xm:sqref>DDO983047:DDO983070</xm:sqref>
        </x14:dataValidation>
        <x14:dataValidation type="list" allowBlank="1" showInputMessage="1" showErrorMessage="1" xr:uid="{F7C65A53-DF48-4002-AFA0-2FE885586280}">
          <x14:formula1>
            <xm:f>項目!C17:$DNC$983041</xm:f>
          </x14:formula1>
          <xm:sqref>DNK983047:DNK983070</xm:sqref>
        </x14:dataValidation>
        <x14:dataValidation type="list" allowBlank="1" showInputMessage="1" showErrorMessage="1" xr:uid="{ECF5202D-B289-46B9-9DF3-51E05BDEAD6D}">
          <x14:formula1>
            <xm:f>項目!C17:$DWY$983041</xm:f>
          </x14:formula1>
          <xm:sqref>DXG983047:DXG983070</xm:sqref>
        </x14:dataValidation>
        <x14:dataValidation type="list" allowBlank="1" showInputMessage="1" showErrorMessage="1" xr:uid="{7A0EC4A4-DF6F-4850-8721-6CC2A1BCA91A}">
          <x14:formula1>
            <xm:f>項目!C17:$EGU$983041</xm:f>
          </x14:formula1>
          <xm:sqref>EHC983047:EHC983070</xm:sqref>
        </x14:dataValidation>
        <x14:dataValidation type="list" allowBlank="1" showInputMessage="1" showErrorMessage="1" xr:uid="{2140581E-433C-468D-A88F-138531B5A66A}">
          <x14:formula1>
            <xm:f>項目!C17:$EQQ$983041</xm:f>
          </x14:formula1>
          <xm:sqref>EQY983047:EQY983070</xm:sqref>
        </x14:dataValidation>
        <x14:dataValidation type="list" allowBlank="1" showInputMessage="1" showErrorMessage="1" xr:uid="{9ED28BD3-55E1-4564-B1DB-F1022750ADF4}">
          <x14:formula1>
            <xm:f>項目!C17:$FAM$983041</xm:f>
          </x14:formula1>
          <xm:sqref>FAU983047:FAU983070</xm:sqref>
        </x14:dataValidation>
        <x14:dataValidation type="list" allowBlank="1" showInputMessage="1" showErrorMessage="1" xr:uid="{0E15B6E7-C3E7-4771-BCEB-CC4618E07563}">
          <x14:formula1>
            <xm:f>項目!C17:$FKI$983041</xm:f>
          </x14:formula1>
          <xm:sqref>FKQ983047:FKQ983070</xm:sqref>
        </x14:dataValidation>
        <x14:dataValidation type="list" allowBlank="1" showInputMessage="1" showErrorMessage="1" xr:uid="{71EE84A1-7EA5-423B-A3C6-E8E36B711F04}">
          <x14:formula1>
            <xm:f>項目!C17:$FUE$983041</xm:f>
          </x14:formula1>
          <xm:sqref>FUM983047:FUM983070</xm:sqref>
        </x14:dataValidation>
        <x14:dataValidation type="list" allowBlank="1" showInputMessage="1" showErrorMessage="1" xr:uid="{47E76E90-734A-471A-9F42-403CF4588ED4}">
          <x14:formula1>
            <xm:f>項目!C17:$GEA$983041</xm:f>
          </x14:formula1>
          <xm:sqref>GEI983047:GEI983070</xm:sqref>
        </x14:dataValidation>
        <x14:dataValidation type="list" allowBlank="1" showInputMessage="1" showErrorMessage="1" xr:uid="{0F74CC12-66DA-43EC-93F3-416C03CAA134}">
          <x14:formula1>
            <xm:f>項目!C17:$GNW$983041</xm:f>
          </x14:formula1>
          <xm:sqref>GOE983047:GOE983070</xm:sqref>
        </x14:dataValidation>
        <x14:dataValidation type="list" allowBlank="1" showInputMessage="1" showErrorMessage="1" xr:uid="{0AE7154C-6584-45F5-8429-8F7D4CAA1361}">
          <x14:formula1>
            <xm:f>項目!C17:$GXS$983041</xm:f>
          </x14:formula1>
          <xm:sqref>GYA983047:GYA983070</xm:sqref>
        </x14:dataValidation>
        <x14:dataValidation type="list" allowBlank="1" showInputMessage="1" showErrorMessage="1" xr:uid="{D7EA7BD4-E3E7-4C55-8660-A92D377ED5DE}">
          <x14:formula1>
            <xm:f>項目!C17:$HHO$983041</xm:f>
          </x14:formula1>
          <xm:sqref>HHW983047:HHW983070</xm:sqref>
        </x14:dataValidation>
        <x14:dataValidation type="list" allowBlank="1" showInputMessage="1" showErrorMessage="1" xr:uid="{68B6F1DB-8FB9-49C2-B787-B6272DB2E4AB}">
          <x14:formula1>
            <xm:f>項目!C17:$HRK$983041</xm:f>
          </x14:formula1>
          <xm:sqref>HRS983047:HRS983070</xm:sqref>
        </x14:dataValidation>
        <x14:dataValidation type="list" allowBlank="1" showInputMessage="1" showErrorMessage="1" xr:uid="{B3DFE304-68BC-41E1-8D85-4DC5B10726B5}">
          <x14:formula1>
            <xm:f>項目!C17:$IBG$983041</xm:f>
          </x14:formula1>
          <xm:sqref>IBO983047:IBO983070</xm:sqref>
        </x14:dataValidation>
        <x14:dataValidation type="list" allowBlank="1" showInputMessage="1" showErrorMessage="1" xr:uid="{56AC710A-FB66-4F57-9C11-0B0AA299EF7F}">
          <x14:formula1>
            <xm:f>項目!C17:$ILC$983041</xm:f>
          </x14:formula1>
          <xm:sqref>ILK983047:ILK983070</xm:sqref>
        </x14:dataValidation>
        <x14:dataValidation type="list" allowBlank="1" showInputMessage="1" showErrorMessage="1" xr:uid="{135CCEB4-4C3F-4AF8-8786-23A52EC5F0A5}">
          <x14:formula1>
            <xm:f>項目!C17:$IUY$983041</xm:f>
          </x14:formula1>
          <xm:sqref>IVG983047:IVG983070</xm:sqref>
        </x14:dataValidation>
        <x14:dataValidation type="list" allowBlank="1" showInputMessage="1" showErrorMessage="1" xr:uid="{F37DAAD9-93C9-455A-A334-81DFC5785C22}">
          <x14:formula1>
            <xm:f>項目!C17:$JEU$983041</xm:f>
          </x14:formula1>
          <xm:sqref>JFC983047:JFC983070</xm:sqref>
        </x14:dataValidation>
        <x14:dataValidation type="list" allowBlank="1" showInputMessage="1" showErrorMessage="1" xr:uid="{FDB1116B-F720-44DE-AC41-E5718454D375}">
          <x14:formula1>
            <xm:f>項目!C17:$JOQ$983041</xm:f>
          </x14:formula1>
          <xm:sqref>JOY983047:JOY983070</xm:sqref>
        </x14:dataValidation>
        <x14:dataValidation type="list" allowBlank="1" showInputMessage="1" showErrorMessage="1" xr:uid="{3296A39E-3252-4794-89C5-6F9A1F389493}">
          <x14:formula1>
            <xm:f>項目!C17:$JYM$983041</xm:f>
          </x14:formula1>
          <xm:sqref>JYU983047:JYU983070</xm:sqref>
        </x14:dataValidation>
        <x14:dataValidation type="list" allowBlank="1" showInputMessage="1" showErrorMessage="1" xr:uid="{137C5472-5434-4001-A660-D56F1CC12DD9}">
          <x14:formula1>
            <xm:f>項目!C17:$KII$983041</xm:f>
          </x14:formula1>
          <xm:sqref>KIQ983047:KIQ983070</xm:sqref>
        </x14:dataValidation>
        <x14:dataValidation type="list" allowBlank="1" showInputMessage="1" showErrorMessage="1" xr:uid="{A4714C7C-F154-49B8-98DA-9A4D06CDF059}">
          <x14:formula1>
            <xm:f>項目!C17:$KSE$983041</xm:f>
          </x14:formula1>
          <xm:sqref>KSM983047:KSM983070</xm:sqref>
        </x14:dataValidation>
        <x14:dataValidation type="list" allowBlank="1" showInputMessage="1" showErrorMessage="1" xr:uid="{9B0F66BB-590F-4AB1-A4CA-90E912CE69DF}">
          <x14:formula1>
            <xm:f>項目!C17:$LCA$983041</xm:f>
          </x14:formula1>
          <xm:sqref>LCI983047:LCI983070</xm:sqref>
        </x14:dataValidation>
        <x14:dataValidation type="list" allowBlank="1" showInputMessage="1" showErrorMessage="1" xr:uid="{32F921BE-AAD3-4D9E-8383-7DB41520CE40}">
          <x14:formula1>
            <xm:f>項目!C17:$LLW$983041</xm:f>
          </x14:formula1>
          <xm:sqref>LME983047:LME983070</xm:sqref>
        </x14:dataValidation>
        <x14:dataValidation type="list" allowBlank="1" showInputMessage="1" showErrorMessage="1" xr:uid="{01A8A68C-7227-4A6F-AE4F-E3722A6446CF}">
          <x14:formula1>
            <xm:f>項目!C17:$LVS$983041</xm:f>
          </x14:formula1>
          <xm:sqref>LWA983047:LWA983070</xm:sqref>
        </x14:dataValidation>
        <x14:dataValidation type="list" allowBlank="1" showInputMessage="1" showErrorMessage="1" xr:uid="{11A18718-6B72-4D8A-A723-A0E0E926480D}">
          <x14:formula1>
            <xm:f>項目!C17:$MFO$983041</xm:f>
          </x14:formula1>
          <xm:sqref>MFW983047:MFW983070</xm:sqref>
        </x14:dataValidation>
        <x14:dataValidation type="list" allowBlank="1" showInputMessage="1" showErrorMessage="1" xr:uid="{6E46BA70-D535-47AF-A3D8-682A7064111B}">
          <x14:formula1>
            <xm:f>項目!C17:$MPK$983041</xm:f>
          </x14:formula1>
          <xm:sqref>MPS983047:MPS983070</xm:sqref>
        </x14:dataValidation>
        <x14:dataValidation type="list" allowBlank="1" showInputMessage="1" showErrorMessage="1" xr:uid="{D1E802B5-C965-4819-8563-3D6944BD8813}">
          <x14:formula1>
            <xm:f>項目!C17:$MZG$983041</xm:f>
          </x14:formula1>
          <xm:sqref>MZO983047:MZO983070</xm:sqref>
        </x14:dataValidation>
        <x14:dataValidation type="list" allowBlank="1" showInputMessage="1" showErrorMessage="1" xr:uid="{C604F3C7-5344-41CA-8587-3A426F0084F4}">
          <x14:formula1>
            <xm:f>項目!C17:$NJC$983041</xm:f>
          </x14:formula1>
          <xm:sqref>NJK983047:NJK983070</xm:sqref>
        </x14:dataValidation>
        <x14:dataValidation type="list" allowBlank="1" showInputMessage="1" showErrorMessage="1" xr:uid="{9D558E97-A533-424B-A508-FFE6BEC35A30}">
          <x14:formula1>
            <xm:f>項目!C17:$NSY$983041</xm:f>
          </x14:formula1>
          <xm:sqref>NTG983047:NTG983070</xm:sqref>
        </x14:dataValidation>
        <x14:dataValidation type="list" allowBlank="1" showInputMessage="1" showErrorMessage="1" xr:uid="{2920AE41-00FF-458E-A524-FBFA974F9AFE}">
          <x14:formula1>
            <xm:f>項目!C17:$OCU$983041</xm:f>
          </x14:formula1>
          <xm:sqref>ODC983047:ODC983070</xm:sqref>
        </x14:dataValidation>
        <x14:dataValidation type="list" allowBlank="1" showInputMessage="1" showErrorMessage="1" xr:uid="{6FC8A80A-8EB1-409C-B768-C7A93B50B86C}">
          <x14:formula1>
            <xm:f>項目!C17:$OMQ$983041</xm:f>
          </x14:formula1>
          <xm:sqref>OMY983047:OMY983070</xm:sqref>
        </x14:dataValidation>
        <x14:dataValidation type="list" allowBlank="1" showInputMessage="1" showErrorMessage="1" xr:uid="{5E6DB94E-14AC-43E6-893F-F80CACAFF605}">
          <x14:formula1>
            <xm:f>項目!C17:$OWM$983041</xm:f>
          </x14:formula1>
          <xm:sqref>OWU983047:OWU983070</xm:sqref>
        </x14:dataValidation>
        <x14:dataValidation type="list" allowBlank="1" showInputMessage="1" showErrorMessage="1" xr:uid="{F8CDA833-882F-4201-A7D9-CBB98F55F6AB}">
          <x14:formula1>
            <xm:f>項目!C17:$PGI$983041</xm:f>
          </x14:formula1>
          <xm:sqref>PGQ983047:PGQ983070</xm:sqref>
        </x14:dataValidation>
        <x14:dataValidation type="list" allowBlank="1" showInputMessage="1" showErrorMessage="1" xr:uid="{CEC84F10-3408-453C-BCB0-E246AC0D2D8F}">
          <x14:formula1>
            <xm:f>項目!C17:$PQE$983041</xm:f>
          </x14:formula1>
          <xm:sqref>PQM983047:PQM983070</xm:sqref>
        </x14:dataValidation>
        <x14:dataValidation type="list" allowBlank="1" showInputMessage="1" showErrorMessage="1" xr:uid="{0A4AA41F-0EDC-4572-9C35-A921D630CE05}">
          <x14:formula1>
            <xm:f>項目!C17:$QAA$983041</xm:f>
          </x14:formula1>
          <xm:sqref>QAI983047:QAI983070</xm:sqref>
        </x14:dataValidation>
        <x14:dataValidation type="list" allowBlank="1" showInputMessage="1" showErrorMessage="1" xr:uid="{5B7E685D-3D9E-4D69-AD1F-40F88A28B248}">
          <x14:formula1>
            <xm:f>項目!C17:$QJW$983041</xm:f>
          </x14:formula1>
          <xm:sqref>QKE983047:QKE983070</xm:sqref>
        </x14:dataValidation>
        <x14:dataValidation type="list" allowBlank="1" showInputMessage="1" showErrorMessage="1" xr:uid="{7C463CC2-6FA8-4BB4-BB5F-A4488A29E789}">
          <x14:formula1>
            <xm:f>項目!C17:$QTS$983041</xm:f>
          </x14:formula1>
          <xm:sqref>QUA983047:QUA983070</xm:sqref>
        </x14:dataValidation>
        <x14:dataValidation type="list" allowBlank="1" showInputMessage="1" showErrorMessage="1" xr:uid="{7B5D05BA-219D-49DC-93E8-37C3D6012CF9}">
          <x14:formula1>
            <xm:f>項目!C17:$RDO$983041</xm:f>
          </x14:formula1>
          <xm:sqref>RDW983047:RDW983070</xm:sqref>
        </x14:dataValidation>
        <x14:dataValidation type="list" allowBlank="1" showInputMessage="1" showErrorMessage="1" xr:uid="{DE5ED404-479B-42A0-B5F2-AA2310E6FEC6}">
          <x14:formula1>
            <xm:f>項目!C17:$RNK$983041</xm:f>
          </x14:formula1>
          <xm:sqref>RNS983047:RNS983070</xm:sqref>
        </x14:dataValidation>
        <x14:dataValidation type="list" allowBlank="1" showInputMessage="1" showErrorMessage="1" xr:uid="{FC8D2406-A03B-4C0A-92D5-7F848256F892}">
          <x14:formula1>
            <xm:f>項目!C17:$RXG$983041</xm:f>
          </x14:formula1>
          <xm:sqref>RXO983047:RXO983070</xm:sqref>
        </x14:dataValidation>
        <x14:dataValidation type="list" allowBlank="1" showInputMessage="1" showErrorMessage="1" xr:uid="{B22B76B0-BA83-40DD-B33F-E20D9EF97B77}">
          <x14:formula1>
            <xm:f>項目!C17:$SHC$983041</xm:f>
          </x14:formula1>
          <xm:sqref>SHK983047:SHK983070</xm:sqref>
        </x14:dataValidation>
        <x14:dataValidation type="list" allowBlank="1" showInputMessage="1" showErrorMessage="1" xr:uid="{91B23E19-0782-489B-BB85-A143D63AAAC5}">
          <x14:formula1>
            <xm:f>項目!C17:$SQY$983041</xm:f>
          </x14:formula1>
          <xm:sqref>SRG983047:SRG983070</xm:sqref>
        </x14:dataValidation>
        <x14:dataValidation type="list" allowBlank="1" showInputMessage="1" showErrorMessage="1" xr:uid="{7B358818-5594-4AF9-BC52-E1800C97CF2C}">
          <x14:formula1>
            <xm:f>項目!C17:$TAU$983041</xm:f>
          </x14:formula1>
          <xm:sqref>TBC983047:TBC983070</xm:sqref>
        </x14:dataValidation>
        <x14:dataValidation type="list" allowBlank="1" showInputMessage="1" showErrorMessage="1" xr:uid="{825DEE76-7F33-4D11-9AC8-D0A6E48E2967}">
          <x14:formula1>
            <xm:f>項目!C17:$TKQ$983041</xm:f>
          </x14:formula1>
          <xm:sqref>TKY983047:TKY983070</xm:sqref>
        </x14:dataValidation>
        <x14:dataValidation type="list" allowBlank="1" showInputMessage="1" showErrorMessage="1" xr:uid="{8C9DB0C1-A30B-48D1-A916-87759A70E3E4}">
          <x14:formula1>
            <xm:f>項目!C17:$TUM$983041</xm:f>
          </x14:formula1>
          <xm:sqref>TUU983047:TUU983070</xm:sqref>
        </x14:dataValidation>
        <x14:dataValidation type="list" allowBlank="1" showInputMessage="1" showErrorMessage="1" xr:uid="{169243E2-E88F-4E41-B9EE-882E529563B6}">
          <x14:formula1>
            <xm:f>項目!C17:$UEI$983041</xm:f>
          </x14:formula1>
          <xm:sqref>UEQ983047:UEQ983070</xm:sqref>
        </x14:dataValidation>
        <x14:dataValidation type="list" allowBlank="1" showInputMessage="1" showErrorMessage="1" xr:uid="{B3908E3D-6DF5-4A2F-9F1A-3B7816768C56}">
          <x14:formula1>
            <xm:f>項目!C17:$UOE$983041</xm:f>
          </x14:formula1>
          <xm:sqref>UOM983047:UOM983070</xm:sqref>
        </x14:dataValidation>
        <x14:dataValidation type="list" allowBlank="1" showInputMessage="1" showErrorMessage="1" xr:uid="{AD006176-7BA5-45A5-8009-FE6EC001BDF3}">
          <x14:formula1>
            <xm:f>項目!C17:$UYA$983041</xm:f>
          </x14:formula1>
          <xm:sqref>UYI983047:UYI983070</xm:sqref>
        </x14:dataValidation>
        <x14:dataValidation type="list" allowBlank="1" showInputMessage="1" showErrorMessage="1" xr:uid="{0E441071-BA49-4B9B-ADD3-C935E5A31B48}">
          <x14:formula1>
            <xm:f>項目!C17:$VHW$983041</xm:f>
          </x14:formula1>
          <xm:sqref>VIE983047:VIE983070</xm:sqref>
        </x14:dataValidation>
        <x14:dataValidation type="list" allowBlank="1" showInputMessage="1" showErrorMessage="1" xr:uid="{1EEDAF4E-EE04-43F7-B47E-52E1F6D4A042}">
          <x14:formula1>
            <xm:f>項目!C17:$VRS$983041</xm:f>
          </x14:formula1>
          <xm:sqref>VSA983047:VSA983070</xm:sqref>
        </x14:dataValidation>
        <x14:dataValidation type="list" allowBlank="1" showInputMessage="1" showErrorMessage="1" xr:uid="{C0CBC9A0-8C73-4D51-8D43-D8A75C33529C}">
          <x14:formula1>
            <xm:f>項目!C17:$WBO$983041</xm:f>
          </x14:formula1>
          <xm:sqref>WBW983047:WBW983070</xm:sqref>
        </x14:dataValidation>
        <x14:dataValidation type="list" allowBlank="1" showInputMessage="1" showErrorMessage="1" xr:uid="{174B2F81-7455-4667-9305-249A8E1BC854}">
          <x14:formula1>
            <xm:f>項目!C17:$WLK$983041</xm:f>
          </x14:formula1>
          <xm:sqref>WLS983047:WLS983070</xm:sqref>
        </x14:dataValidation>
        <x14:dataValidation type="list" allowBlank="1" showInputMessage="1" showErrorMessage="1" xr:uid="{662FBB4D-4F58-4895-BCBC-B6E86D6E6F2C}">
          <x14:formula1>
            <xm:f>項目!C17:$WVG$983041</xm:f>
          </x14:formula1>
          <xm:sqref>WVO983047:WVO983070</xm:sqref>
        </x14:dataValidation>
        <x14:dataValidation type="list" allowBlank="1" showInputMessage="1" showErrorMessage="1" xr:uid="{4F6F9910-386C-435A-A06B-9D06A370E109}">
          <x14:formula1>
            <xm:f>項目!C17:$IY$65537</xm:f>
          </x14:formula1>
          <xm:sqref>JG65543:JG65566</xm:sqref>
        </x14:dataValidation>
        <x14:dataValidation type="list" allowBlank="1" showInputMessage="1" showErrorMessage="1" xr:uid="{9F5FAD07-037A-45CC-962D-24FB8F1E2072}">
          <x14:formula1>
            <xm:f>項目!C17:$SU$65537</xm:f>
          </x14:formula1>
          <xm:sqref>TC65543:TC65566</xm:sqref>
        </x14:dataValidation>
        <x14:dataValidation type="list" allowBlank="1" showInputMessage="1" showErrorMessage="1" xr:uid="{CFF2597D-5E62-4DF6-AEA3-9D6971F74142}">
          <x14:formula1>
            <xm:f>項目!C17:$ACQ$65537</xm:f>
          </x14:formula1>
          <xm:sqref>ACY65543:ACY65566</xm:sqref>
        </x14:dataValidation>
        <x14:dataValidation type="list" allowBlank="1" showInputMessage="1" showErrorMessage="1" xr:uid="{49F97360-5DF7-4CEA-B7A4-70DFCF1D8F7B}">
          <x14:formula1>
            <xm:f>項目!C17:$AMM$65537</xm:f>
          </x14:formula1>
          <xm:sqref>AMU65543:AMU65566</xm:sqref>
        </x14:dataValidation>
        <x14:dataValidation type="list" allowBlank="1" showInputMessage="1" showErrorMessage="1" xr:uid="{227A4CFA-4AD8-496F-B8B9-4EF34D86D6ED}">
          <x14:formula1>
            <xm:f>項目!C17:$AWI$65537</xm:f>
          </x14:formula1>
          <xm:sqref>AWQ65543:AWQ65566</xm:sqref>
        </x14:dataValidation>
        <x14:dataValidation type="list" allowBlank="1" showInputMessage="1" showErrorMessage="1" xr:uid="{C7AD994B-D055-44FB-A3BD-652B4A9A152D}">
          <x14:formula1>
            <xm:f>項目!C17:$BGE$65537</xm:f>
          </x14:formula1>
          <xm:sqref>BGM65543:BGM65566</xm:sqref>
        </x14:dataValidation>
        <x14:dataValidation type="list" allowBlank="1" showInputMessage="1" showErrorMessage="1" xr:uid="{98110D60-47A1-4674-9B92-E55DE0463C1C}">
          <x14:formula1>
            <xm:f>項目!C17:$BQA$65537</xm:f>
          </x14:formula1>
          <xm:sqref>BQI65543:BQI65566</xm:sqref>
        </x14:dataValidation>
        <x14:dataValidation type="list" allowBlank="1" showInputMessage="1" showErrorMessage="1" xr:uid="{3E92D38D-6BA7-48CD-BE42-36847999B7F0}">
          <x14:formula1>
            <xm:f>項目!C17:$BZW$65537</xm:f>
          </x14:formula1>
          <xm:sqref>CAE65543:CAE65566</xm:sqref>
        </x14:dataValidation>
        <x14:dataValidation type="list" allowBlank="1" showInputMessage="1" showErrorMessage="1" xr:uid="{5A9A6F8D-6018-48D7-8DEB-C4D7B8022EE9}">
          <x14:formula1>
            <xm:f>項目!C17:$CJS$65537</xm:f>
          </x14:formula1>
          <xm:sqref>CKA65543:CKA65566</xm:sqref>
        </x14:dataValidation>
        <x14:dataValidation type="list" allowBlank="1" showInputMessage="1" showErrorMessage="1" xr:uid="{E0BF9811-B8CE-4EE2-80FD-71C4FA0933BA}">
          <x14:formula1>
            <xm:f>項目!C17:$CTO$65537</xm:f>
          </x14:formula1>
          <xm:sqref>CTW65543:CTW65566</xm:sqref>
        </x14:dataValidation>
        <x14:dataValidation type="list" allowBlank="1" showInputMessage="1" showErrorMessage="1" xr:uid="{E9BE96F4-3C2A-47C6-82F1-EF4B78F1DB9B}">
          <x14:formula1>
            <xm:f>項目!C17:$DDK$65537</xm:f>
          </x14:formula1>
          <xm:sqref>DDS65543:DDS65566</xm:sqref>
        </x14:dataValidation>
        <x14:dataValidation type="list" allowBlank="1" showInputMessage="1" showErrorMessage="1" xr:uid="{5989C1F9-22E6-4371-877A-D0642E7A5AFA}">
          <x14:formula1>
            <xm:f>項目!C17:$DNG$65537</xm:f>
          </x14:formula1>
          <xm:sqref>DNO65543:DNO65566</xm:sqref>
        </x14:dataValidation>
        <x14:dataValidation type="list" allowBlank="1" showInputMessage="1" showErrorMessage="1" xr:uid="{F682C466-3006-48DB-AC02-EE03D291913E}">
          <x14:formula1>
            <xm:f>項目!C17:$DXC$65537</xm:f>
          </x14:formula1>
          <xm:sqref>DXK65543:DXK65566</xm:sqref>
        </x14:dataValidation>
        <x14:dataValidation type="list" allowBlank="1" showInputMessage="1" showErrorMessage="1" xr:uid="{A6EFE573-5FD3-4B2B-B309-DAB06E987AB7}">
          <x14:formula1>
            <xm:f>項目!C17:$EGY$65537</xm:f>
          </x14:formula1>
          <xm:sqref>EHG65543:EHG65566</xm:sqref>
        </x14:dataValidation>
        <x14:dataValidation type="list" allowBlank="1" showInputMessage="1" showErrorMessage="1" xr:uid="{21DA7045-73BF-4C6E-90A9-80D925088419}">
          <x14:formula1>
            <xm:f>項目!C17:$EQU$65537</xm:f>
          </x14:formula1>
          <xm:sqref>ERC65543:ERC65566</xm:sqref>
        </x14:dataValidation>
        <x14:dataValidation type="list" allowBlank="1" showInputMessage="1" showErrorMessage="1" xr:uid="{C8075D4F-DBC0-488B-94F7-6635AC305666}">
          <x14:formula1>
            <xm:f>項目!C17:$FAQ$65537</xm:f>
          </x14:formula1>
          <xm:sqref>FAY65543:FAY65566</xm:sqref>
        </x14:dataValidation>
        <x14:dataValidation type="list" allowBlank="1" showInputMessage="1" showErrorMessage="1" xr:uid="{29E308A3-D31D-4DCF-9FB0-1D48AFC9A432}">
          <x14:formula1>
            <xm:f>項目!C17:$FKM$65537</xm:f>
          </x14:formula1>
          <xm:sqref>FKU65543:FKU65566</xm:sqref>
        </x14:dataValidation>
        <x14:dataValidation type="list" allowBlank="1" showInputMessage="1" showErrorMessage="1" xr:uid="{34F15AD8-EEA6-4C07-AA91-EAF4171F5973}">
          <x14:formula1>
            <xm:f>項目!C17:$FUI$65537</xm:f>
          </x14:formula1>
          <xm:sqref>FUQ65543:FUQ65566</xm:sqref>
        </x14:dataValidation>
        <x14:dataValidation type="list" allowBlank="1" showInputMessage="1" showErrorMessage="1" xr:uid="{415DD6A9-3E84-4034-8E52-7EF24195B371}">
          <x14:formula1>
            <xm:f>項目!C17:$GEE$65537</xm:f>
          </x14:formula1>
          <xm:sqref>GEM65543:GEM65566</xm:sqref>
        </x14:dataValidation>
        <x14:dataValidation type="list" allowBlank="1" showInputMessage="1" showErrorMessage="1" xr:uid="{17A9B7E6-A17D-4309-8235-0A76784AEDB4}">
          <x14:formula1>
            <xm:f>項目!C17:$GOA$65537</xm:f>
          </x14:formula1>
          <xm:sqref>GOI65543:GOI65566</xm:sqref>
        </x14:dataValidation>
        <x14:dataValidation type="list" allowBlank="1" showInputMessage="1" showErrorMessage="1" xr:uid="{7BF202E5-9C78-4B3D-AA91-7719C6426593}">
          <x14:formula1>
            <xm:f>項目!C17:$GXW$65537</xm:f>
          </x14:formula1>
          <xm:sqref>GYE65543:GYE65566</xm:sqref>
        </x14:dataValidation>
        <x14:dataValidation type="list" allowBlank="1" showInputMessage="1" showErrorMessage="1" xr:uid="{23477DCB-6A9A-412F-8C64-318D4406C51C}">
          <x14:formula1>
            <xm:f>項目!C17:$HHS$65537</xm:f>
          </x14:formula1>
          <xm:sqref>HIA65543:HIA65566</xm:sqref>
        </x14:dataValidation>
        <x14:dataValidation type="list" allowBlank="1" showInputMessage="1" showErrorMessage="1" xr:uid="{B924F2ED-D5B1-4CBF-BB5F-C05B26CBBADF}">
          <x14:formula1>
            <xm:f>項目!C17:$HRO$65537</xm:f>
          </x14:formula1>
          <xm:sqref>HRW65543:HRW65566</xm:sqref>
        </x14:dataValidation>
        <x14:dataValidation type="list" allowBlank="1" showInputMessage="1" showErrorMessage="1" xr:uid="{D8ADBF80-B860-41D6-B1D8-8F9ABB089587}">
          <x14:formula1>
            <xm:f>項目!C17:$IBK$65537</xm:f>
          </x14:formula1>
          <xm:sqref>IBS65543:IBS65566</xm:sqref>
        </x14:dataValidation>
        <x14:dataValidation type="list" allowBlank="1" showInputMessage="1" showErrorMessage="1" xr:uid="{C7970032-B960-4F58-85D7-68FF30E752DE}">
          <x14:formula1>
            <xm:f>項目!C17:$ILG$65537</xm:f>
          </x14:formula1>
          <xm:sqref>ILO65543:ILO65566</xm:sqref>
        </x14:dataValidation>
        <x14:dataValidation type="list" allowBlank="1" showInputMessage="1" showErrorMessage="1" xr:uid="{74F9268B-A4B5-427B-B3FF-704D36A6BAD1}">
          <x14:formula1>
            <xm:f>項目!C17:$IVC$65537</xm:f>
          </x14:formula1>
          <xm:sqref>IVK65543:IVK65566</xm:sqref>
        </x14:dataValidation>
        <x14:dataValidation type="list" allowBlank="1" showInputMessage="1" showErrorMessage="1" xr:uid="{3213073D-8E54-457A-9C4B-F5C2523F71CF}">
          <x14:formula1>
            <xm:f>項目!C17:$JEY$65537</xm:f>
          </x14:formula1>
          <xm:sqref>JFG65543:JFG65566</xm:sqref>
        </x14:dataValidation>
        <x14:dataValidation type="list" allowBlank="1" showInputMessage="1" showErrorMessage="1" xr:uid="{1A3C3AED-21BF-4EBC-8EDC-744CBCA873B7}">
          <x14:formula1>
            <xm:f>項目!C17:$JOU$65537</xm:f>
          </x14:formula1>
          <xm:sqref>JPC65543:JPC65566</xm:sqref>
        </x14:dataValidation>
        <x14:dataValidation type="list" allowBlank="1" showInputMessage="1" showErrorMessage="1" xr:uid="{76DEB07E-33DE-4DC1-93D5-63825E36FFCD}">
          <x14:formula1>
            <xm:f>項目!C17:$JYQ$65537</xm:f>
          </x14:formula1>
          <xm:sqref>JYY65543:JYY65566</xm:sqref>
        </x14:dataValidation>
        <x14:dataValidation type="list" allowBlank="1" showInputMessage="1" showErrorMessage="1" xr:uid="{8EA36F5A-B85E-4F7A-9A44-704A18106D5F}">
          <x14:formula1>
            <xm:f>項目!C17:$KIM$65537</xm:f>
          </x14:formula1>
          <xm:sqref>KIU65543:KIU65566</xm:sqref>
        </x14:dataValidation>
        <x14:dataValidation type="list" allowBlank="1" showInputMessage="1" showErrorMessage="1" xr:uid="{3A6595D3-BA7A-4E00-AF69-D46BFBA3119B}">
          <x14:formula1>
            <xm:f>項目!C17:$KSI$65537</xm:f>
          </x14:formula1>
          <xm:sqref>KSQ65543:KSQ65566</xm:sqref>
        </x14:dataValidation>
        <x14:dataValidation type="list" allowBlank="1" showInputMessage="1" showErrorMessage="1" xr:uid="{5926D7EB-F8CE-4FBE-A890-CD6B0F7D0017}">
          <x14:formula1>
            <xm:f>項目!C17:$LCE$65537</xm:f>
          </x14:formula1>
          <xm:sqref>LCM65543:LCM65566</xm:sqref>
        </x14:dataValidation>
        <x14:dataValidation type="list" allowBlank="1" showInputMessage="1" showErrorMessage="1" xr:uid="{761CEC32-62A8-4F91-BD00-ACCC77349730}">
          <x14:formula1>
            <xm:f>項目!C17:$LMA$65537</xm:f>
          </x14:formula1>
          <xm:sqref>LMI65543:LMI65566</xm:sqref>
        </x14:dataValidation>
        <x14:dataValidation type="list" allowBlank="1" showInputMessage="1" showErrorMessage="1" xr:uid="{E18050A7-821A-4E4E-BF18-A80E81E9C432}">
          <x14:formula1>
            <xm:f>項目!C17:$LVW$65537</xm:f>
          </x14:formula1>
          <xm:sqref>LWE65543:LWE65566</xm:sqref>
        </x14:dataValidation>
        <x14:dataValidation type="list" allowBlank="1" showInputMessage="1" showErrorMessage="1" xr:uid="{658950FD-8D47-4361-85AA-C69CC87774D5}">
          <x14:formula1>
            <xm:f>項目!C17:$MFS$65537</xm:f>
          </x14:formula1>
          <xm:sqref>MGA65543:MGA65566</xm:sqref>
        </x14:dataValidation>
        <x14:dataValidation type="list" allowBlank="1" showInputMessage="1" showErrorMessage="1" xr:uid="{59B6AF8F-B2D6-428F-A55B-F0DB6728C0E9}">
          <x14:formula1>
            <xm:f>項目!C17:$MPO$65537</xm:f>
          </x14:formula1>
          <xm:sqref>MPW65543:MPW65566</xm:sqref>
        </x14:dataValidation>
        <x14:dataValidation type="list" allowBlank="1" showInputMessage="1" showErrorMessage="1" xr:uid="{C071FCE6-DF6D-43DD-AC09-1B5BE5D840B1}">
          <x14:formula1>
            <xm:f>項目!C17:$MZK$65537</xm:f>
          </x14:formula1>
          <xm:sqref>MZS65543:MZS65566</xm:sqref>
        </x14:dataValidation>
        <x14:dataValidation type="list" allowBlank="1" showInputMessage="1" showErrorMessage="1" xr:uid="{CB02C668-A8F5-4612-B495-EEB0930A3027}">
          <x14:formula1>
            <xm:f>項目!C17:$NJG$65537</xm:f>
          </x14:formula1>
          <xm:sqref>NJO65543:NJO65566</xm:sqref>
        </x14:dataValidation>
        <x14:dataValidation type="list" allowBlank="1" showInputMessage="1" showErrorMessage="1" xr:uid="{BC71A384-4209-492D-AD4A-898D41605D7B}">
          <x14:formula1>
            <xm:f>項目!C17:$NTC$65537</xm:f>
          </x14:formula1>
          <xm:sqref>NTK65543:NTK65566</xm:sqref>
        </x14:dataValidation>
        <x14:dataValidation type="list" allowBlank="1" showInputMessage="1" showErrorMessage="1" xr:uid="{AE523052-A403-4C74-92E4-4B89523E5801}">
          <x14:formula1>
            <xm:f>項目!C17:$OCY$65537</xm:f>
          </x14:formula1>
          <xm:sqref>ODG65543:ODG65566</xm:sqref>
        </x14:dataValidation>
        <x14:dataValidation type="list" allowBlank="1" showInputMessage="1" showErrorMessage="1" xr:uid="{E2108EFC-F72B-4B64-B45A-92973AF08E7E}">
          <x14:formula1>
            <xm:f>項目!C17:$OMU$65537</xm:f>
          </x14:formula1>
          <xm:sqref>ONC65543:ONC65566</xm:sqref>
        </x14:dataValidation>
        <x14:dataValidation type="list" allowBlank="1" showInputMessage="1" showErrorMessage="1" xr:uid="{A46F3B49-9FFA-4866-8EE6-812B68D30BD4}">
          <x14:formula1>
            <xm:f>項目!C17:$OWQ$65537</xm:f>
          </x14:formula1>
          <xm:sqref>OWY65543:OWY65566</xm:sqref>
        </x14:dataValidation>
        <x14:dataValidation type="list" allowBlank="1" showInputMessage="1" showErrorMessage="1" xr:uid="{38A5446D-DD07-449E-A7DC-FC0AB85111CD}">
          <x14:formula1>
            <xm:f>項目!C17:$PGM$65537</xm:f>
          </x14:formula1>
          <xm:sqref>PGU65543:PGU65566</xm:sqref>
        </x14:dataValidation>
        <x14:dataValidation type="list" allowBlank="1" showInputMessage="1" showErrorMessage="1" xr:uid="{926C8E0A-962B-4C0F-9F7C-412A99DA5D75}">
          <x14:formula1>
            <xm:f>項目!C17:$PQI$65537</xm:f>
          </x14:formula1>
          <xm:sqref>PQQ65543:PQQ65566</xm:sqref>
        </x14:dataValidation>
        <x14:dataValidation type="list" allowBlank="1" showInputMessage="1" showErrorMessage="1" xr:uid="{9D66C4E1-D1A6-4A5A-8A91-DC0042051CE1}">
          <x14:formula1>
            <xm:f>項目!C17:$QAE$65537</xm:f>
          </x14:formula1>
          <xm:sqref>QAM65543:QAM65566</xm:sqref>
        </x14:dataValidation>
        <x14:dataValidation type="list" allowBlank="1" showInputMessage="1" showErrorMessage="1" xr:uid="{950DC173-9734-44AB-8FB1-574B0DD5CDC8}">
          <x14:formula1>
            <xm:f>項目!C17:$QKA$65537</xm:f>
          </x14:formula1>
          <xm:sqref>QKI65543:QKI65566</xm:sqref>
        </x14:dataValidation>
        <x14:dataValidation type="list" allowBlank="1" showInputMessage="1" showErrorMessage="1" xr:uid="{1A909ABF-C750-4510-A36A-8A63AAB7AC16}">
          <x14:formula1>
            <xm:f>項目!C17:$QTW$65537</xm:f>
          </x14:formula1>
          <xm:sqref>QUE65543:QUE65566</xm:sqref>
        </x14:dataValidation>
        <x14:dataValidation type="list" allowBlank="1" showInputMessage="1" showErrorMessage="1" xr:uid="{823578DB-0ADE-485A-A21C-F2D83D30DB3B}">
          <x14:formula1>
            <xm:f>項目!C17:$RDS$65537</xm:f>
          </x14:formula1>
          <xm:sqref>REA65543:REA65566</xm:sqref>
        </x14:dataValidation>
        <x14:dataValidation type="list" allowBlank="1" showInputMessage="1" showErrorMessage="1" xr:uid="{B7DE81C6-61C7-456B-81A0-743EE39CD81A}">
          <x14:formula1>
            <xm:f>項目!C17:$RNO$65537</xm:f>
          </x14:formula1>
          <xm:sqref>RNW65543:RNW65566</xm:sqref>
        </x14:dataValidation>
        <x14:dataValidation type="list" allowBlank="1" showInputMessage="1" showErrorMessage="1" xr:uid="{78689CBF-D163-43C7-B4A7-0CD693B4E32D}">
          <x14:formula1>
            <xm:f>項目!C17:$RXK$65537</xm:f>
          </x14:formula1>
          <xm:sqref>RXS65543:RXS65566</xm:sqref>
        </x14:dataValidation>
        <x14:dataValidation type="list" allowBlank="1" showInputMessage="1" showErrorMessage="1" xr:uid="{C7EE0CCE-F771-4575-91EF-E6DED5A2A6F2}">
          <x14:formula1>
            <xm:f>項目!C17:$SHG$65537</xm:f>
          </x14:formula1>
          <xm:sqref>SHO65543:SHO65566</xm:sqref>
        </x14:dataValidation>
        <x14:dataValidation type="list" allowBlank="1" showInputMessage="1" showErrorMessage="1" xr:uid="{CA51CB0B-99F8-4F83-91A5-07A769AE11E6}">
          <x14:formula1>
            <xm:f>項目!C17:$SRC$65537</xm:f>
          </x14:formula1>
          <xm:sqref>SRK65543:SRK65566</xm:sqref>
        </x14:dataValidation>
        <x14:dataValidation type="list" allowBlank="1" showInputMessage="1" showErrorMessage="1" xr:uid="{24AB77A9-F1C8-4F86-AFF3-0CAC4961CDC5}">
          <x14:formula1>
            <xm:f>項目!C17:$TAY$65537</xm:f>
          </x14:formula1>
          <xm:sqref>TBG65543:TBG65566</xm:sqref>
        </x14:dataValidation>
        <x14:dataValidation type="list" allowBlank="1" showInputMessage="1" showErrorMessage="1" xr:uid="{F74E7EAE-7F06-4555-A552-2EF0B5992325}">
          <x14:formula1>
            <xm:f>項目!C17:$TKU$65537</xm:f>
          </x14:formula1>
          <xm:sqref>TLC65543:TLC65566</xm:sqref>
        </x14:dataValidation>
        <x14:dataValidation type="list" allowBlank="1" showInputMessage="1" showErrorMessage="1" xr:uid="{CDAF1C81-DBB2-452A-922C-0CD6605C5C5F}">
          <x14:formula1>
            <xm:f>項目!C17:$TUQ$65537</xm:f>
          </x14:formula1>
          <xm:sqref>TUY65543:TUY65566</xm:sqref>
        </x14:dataValidation>
        <x14:dataValidation type="list" allowBlank="1" showInputMessage="1" showErrorMessage="1" xr:uid="{82F035EC-8C18-4480-8EAF-A43DA74A1058}">
          <x14:formula1>
            <xm:f>項目!C17:$UEM$65537</xm:f>
          </x14:formula1>
          <xm:sqref>UEU65543:UEU65566</xm:sqref>
        </x14:dataValidation>
        <x14:dataValidation type="list" allowBlank="1" showInputMessage="1" showErrorMessage="1" xr:uid="{97918F22-AA67-4827-A77E-3DF866311A62}">
          <x14:formula1>
            <xm:f>項目!C17:$UOI$65537</xm:f>
          </x14:formula1>
          <xm:sqref>UOQ65543:UOQ65566</xm:sqref>
        </x14:dataValidation>
        <x14:dataValidation type="list" allowBlank="1" showInputMessage="1" showErrorMessage="1" xr:uid="{6170CFF0-D3F8-4A65-9D24-BA8C4E4B6832}">
          <x14:formula1>
            <xm:f>項目!C17:$UYE$65537</xm:f>
          </x14:formula1>
          <xm:sqref>UYM65543:UYM65566</xm:sqref>
        </x14:dataValidation>
        <x14:dataValidation type="list" allowBlank="1" showInputMessage="1" showErrorMessage="1" xr:uid="{54A9CA91-1E71-4278-B58C-B3CF3F8B06C0}">
          <x14:formula1>
            <xm:f>項目!C17:$VIA$65537</xm:f>
          </x14:formula1>
          <xm:sqref>VII65543:VII65566</xm:sqref>
        </x14:dataValidation>
        <x14:dataValidation type="list" allowBlank="1" showInputMessage="1" showErrorMessage="1" xr:uid="{FE94745F-3654-4D2C-87CC-4F17C8B4E8EE}">
          <x14:formula1>
            <xm:f>項目!C17:$VRW$65537</xm:f>
          </x14:formula1>
          <xm:sqref>VSE65543:VSE65566</xm:sqref>
        </x14:dataValidation>
        <x14:dataValidation type="list" allowBlank="1" showInputMessage="1" showErrorMessage="1" xr:uid="{38B4A942-48D6-4502-934B-240325E14A69}">
          <x14:formula1>
            <xm:f>項目!C17:$WBS$65537</xm:f>
          </x14:formula1>
          <xm:sqref>WCA65543:WCA65566</xm:sqref>
        </x14:dataValidation>
        <x14:dataValidation type="list" allowBlank="1" showInputMessage="1" showErrorMessage="1" xr:uid="{731620C1-0422-4E21-8699-FE957E6A76A6}">
          <x14:formula1>
            <xm:f>項目!C17:$WLO$65537</xm:f>
          </x14:formula1>
          <xm:sqref>WLW65543:WLW65566</xm:sqref>
        </x14:dataValidation>
        <x14:dataValidation type="list" allowBlank="1" showInputMessage="1" showErrorMessage="1" xr:uid="{728F99A1-5DCC-4DEE-A533-F1FF481C1B75}">
          <x14:formula1>
            <xm:f>項目!C17:$WVK$65537</xm:f>
          </x14:formula1>
          <xm:sqref>WVS65543:WVS65566</xm:sqref>
        </x14:dataValidation>
        <x14:dataValidation type="list" allowBlank="1" showInputMessage="1" showErrorMessage="1" xr:uid="{7A98F0E0-D70E-4296-8905-A298852DA20E}">
          <x14:formula1>
            <xm:f>項目!C17:$IY$131073</xm:f>
          </x14:formula1>
          <xm:sqref>JG131079:JG131102</xm:sqref>
        </x14:dataValidation>
        <x14:dataValidation type="list" allowBlank="1" showInputMessage="1" showErrorMessage="1" xr:uid="{889309B8-4CFF-49B1-9504-51CB67D8345B}">
          <x14:formula1>
            <xm:f>項目!C17:$SU$131073</xm:f>
          </x14:formula1>
          <xm:sqref>TC131079:TC131102</xm:sqref>
        </x14:dataValidation>
        <x14:dataValidation type="list" allowBlank="1" showInputMessage="1" showErrorMessage="1" xr:uid="{C5D3E277-6E90-4569-B00A-3756565E72CE}">
          <x14:formula1>
            <xm:f>項目!C17:$ACQ$131073</xm:f>
          </x14:formula1>
          <xm:sqref>ACY131079:ACY131102</xm:sqref>
        </x14:dataValidation>
        <x14:dataValidation type="list" allowBlank="1" showInputMessage="1" showErrorMessage="1" xr:uid="{A1D2AC47-68CC-43F9-B290-A4CC973EE503}">
          <x14:formula1>
            <xm:f>項目!C17:$AMM$131073</xm:f>
          </x14:formula1>
          <xm:sqref>AMU131079:AMU131102</xm:sqref>
        </x14:dataValidation>
        <x14:dataValidation type="list" allowBlank="1" showInputMessage="1" showErrorMessage="1" xr:uid="{3A243206-AF5C-4CCD-8C57-F8D025B389C5}">
          <x14:formula1>
            <xm:f>項目!C17:$AWI$131073</xm:f>
          </x14:formula1>
          <xm:sqref>AWQ131079:AWQ131102</xm:sqref>
        </x14:dataValidation>
        <x14:dataValidation type="list" allowBlank="1" showInputMessage="1" showErrorMessage="1" xr:uid="{8AF8168D-5E01-4C41-B434-61039AEFF74A}">
          <x14:formula1>
            <xm:f>項目!C17:$BGE$131073</xm:f>
          </x14:formula1>
          <xm:sqref>BGM131079:BGM131102</xm:sqref>
        </x14:dataValidation>
        <x14:dataValidation type="list" allowBlank="1" showInputMessage="1" showErrorMessage="1" xr:uid="{40808D91-EFBB-46D0-B802-B98C04CDF61F}">
          <x14:formula1>
            <xm:f>項目!C17:$BQA$131073</xm:f>
          </x14:formula1>
          <xm:sqref>BQI131079:BQI131102</xm:sqref>
        </x14:dataValidation>
        <x14:dataValidation type="list" allowBlank="1" showInputMessage="1" showErrorMessage="1" xr:uid="{DB6C4E18-7ECC-4248-B153-F20911D3D0A2}">
          <x14:formula1>
            <xm:f>項目!C17:$BZW$131073</xm:f>
          </x14:formula1>
          <xm:sqref>CAE131079:CAE131102</xm:sqref>
        </x14:dataValidation>
        <x14:dataValidation type="list" allowBlank="1" showInputMessage="1" showErrorMessage="1" xr:uid="{CD9FF7C4-EB67-4C54-949C-1B43016726E3}">
          <x14:formula1>
            <xm:f>項目!C17:$CJS$131073</xm:f>
          </x14:formula1>
          <xm:sqref>CKA131079:CKA131102</xm:sqref>
        </x14:dataValidation>
        <x14:dataValidation type="list" allowBlank="1" showInputMessage="1" showErrorMessage="1" xr:uid="{AF784118-ABBA-4574-B20A-BA14C675F649}">
          <x14:formula1>
            <xm:f>項目!C17:$CTO$131073</xm:f>
          </x14:formula1>
          <xm:sqref>CTW131079:CTW131102</xm:sqref>
        </x14:dataValidation>
        <x14:dataValidation type="list" allowBlank="1" showInputMessage="1" showErrorMessage="1" xr:uid="{3C227C41-2ED6-470C-BDA0-858B8F126269}">
          <x14:formula1>
            <xm:f>項目!C17:$DDK$131073</xm:f>
          </x14:formula1>
          <xm:sqref>DDS131079:DDS131102</xm:sqref>
        </x14:dataValidation>
        <x14:dataValidation type="list" allowBlank="1" showInputMessage="1" showErrorMessage="1" xr:uid="{E9ACF633-B38E-404C-9F35-CC8BA1BC0D95}">
          <x14:formula1>
            <xm:f>項目!C17:$DNG$131073</xm:f>
          </x14:formula1>
          <xm:sqref>DNO131079:DNO131102</xm:sqref>
        </x14:dataValidation>
        <x14:dataValidation type="list" allowBlank="1" showInputMessage="1" showErrorMessage="1" xr:uid="{FDA4DF2B-FD94-4594-B5C5-B2DA11AE6AF5}">
          <x14:formula1>
            <xm:f>項目!C17:$DXC$131073</xm:f>
          </x14:formula1>
          <xm:sqref>DXK131079:DXK131102</xm:sqref>
        </x14:dataValidation>
        <x14:dataValidation type="list" allowBlank="1" showInputMessage="1" showErrorMessage="1" xr:uid="{6D122DE4-36D8-4B65-9351-46D2EA26E473}">
          <x14:formula1>
            <xm:f>項目!C17:$EGY$131073</xm:f>
          </x14:formula1>
          <xm:sqref>EHG131079:EHG131102</xm:sqref>
        </x14:dataValidation>
        <x14:dataValidation type="list" allowBlank="1" showInputMessage="1" showErrorMessage="1" xr:uid="{F4235FE7-8BA9-4079-BB76-45C0307256C1}">
          <x14:formula1>
            <xm:f>項目!C17:$EQU$131073</xm:f>
          </x14:formula1>
          <xm:sqref>ERC131079:ERC131102</xm:sqref>
        </x14:dataValidation>
        <x14:dataValidation type="list" allowBlank="1" showInputMessage="1" showErrorMessage="1" xr:uid="{FB85DCB1-67E1-417B-8220-BE690C1F5167}">
          <x14:formula1>
            <xm:f>項目!C17:$FAQ$131073</xm:f>
          </x14:formula1>
          <xm:sqref>FAY131079:FAY131102</xm:sqref>
        </x14:dataValidation>
        <x14:dataValidation type="list" allowBlank="1" showInputMessage="1" showErrorMessage="1" xr:uid="{FE75D636-AB62-4F8F-9AAD-AF47C71E05D4}">
          <x14:formula1>
            <xm:f>項目!C17:$FKM$131073</xm:f>
          </x14:formula1>
          <xm:sqref>FKU131079:FKU131102</xm:sqref>
        </x14:dataValidation>
        <x14:dataValidation type="list" allowBlank="1" showInputMessage="1" showErrorMessage="1" xr:uid="{9F3FA967-E898-4D99-BD15-53BB4FC6EC6D}">
          <x14:formula1>
            <xm:f>項目!C17:$FUI$131073</xm:f>
          </x14:formula1>
          <xm:sqref>FUQ131079:FUQ131102</xm:sqref>
        </x14:dataValidation>
        <x14:dataValidation type="list" allowBlank="1" showInputMessage="1" showErrorMessage="1" xr:uid="{C4F7FFC2-C11B-4CC3-A94F-2D912733E520}">
          <x14:formula1>
            <xm:f>項目!C17:$GEE$131073</xm:f>
          </x14:formula1>
          <xm:sqref>GEM131079:GEM131102</xm:sqref>
        </x14:dataValidation>
        <x14:dataValidation type="list" allowBlank="1" showInputMessage="1" showErrorMessage="1" xr:uid="{AF308C6D-0A80-47BE-BCAE-875B2993EE19}">
          <x14:formula1>
            <xm:f>項目!C17:$GOA$131073</xm:f>
          </x14:formula1>
          <xm:sqref>GOI131079:GOI131102</xm:sqref>
        </x14:dataValidation>
        <x14:dataValidation type="list" allowBlank="1" showInputMessage="1" showErrorMessage="1" xr:uid="{8B437CD3-9C4F-4BD5-B9E2-0DEBF5FAE077}">
          <x14:formula1>
            <xm:f>項目!C17:$GXW$131073</xm:f>
          </x14:formula1>
          <xm:sqref>GYE131079:GYE131102</xm:sqref>
        </x14:dataValidation>
        <x14:dataValidation type="list" allowBlank="1" showInputMessage="1" showErrorMessage="1" xr:uid="{16D688C6-6135-4599-9565-F2DD5EB4A832}">
          <x14:formula1>
            <xm:f>項目!C17:$HHS$131073</xm:f>
          </x14:formula1>
          <xm:sqref>HIA131079:HIA131102</xm:sqref>
        </x14:dataValidation>
        <x14:dataValidation type="list" allowBlank="1" showInputMessage="1" showErrorMessage="1" xr:uid="{E27E7818-99CF-4493-89AE-D0352B48D419}">
          <x14:formula1>
            <xm:f>項目!C17:$HRO$131073</xm:f>
          </x14:formula1>
          <xm:sqref>HRW131079:HRW131102</xm:sqref>
        </x14:dataValidation>
        <x14:dataValidation type="list" allowBlank="1" showInputMessage="1" showErrorMessage="1" xr:uid="{13A4E3C8-D9A1-47AB-BF34-614A0F4246FC}">
          <x14:formula1>
            <xm:f>項目!C17:$IBK$131073</xm:f>
          </x14:formula1>
          <xm:sqref>IBS131079:IBS131102</xm:sqref>
        </x14:dataValidation>
        <x14:dataValidation type="list" allowBlank="1" showInputMessage="1" showErrorMessage="1" xr:uid="{3DCEFE58-EEA1-4E0C-B803-C7635A93BF2F}">
          <x14:formula1>
            <xm:f>項目!C17:$ILG$131073</xm:f>
          </x14:formula1>
          <xm:sqref>ILO131079:ILO131102</xm:sqref>
        </x14:dataValidation>
        <x14:dataValidation type="list" allowBlank="1" showInputMessage="1" showErrorMessage="1" xr:uid="{413D048A-2C65-4D44-82DF-A57EAAC299F4}">
          <x14:formula1>
            <xm:f>項目!C17:$IVC$131073</xm:f>
          </x14:formula1>
          <xm:sqref>IVK131079:IVK131102</xm:sqref>
        </x14:dataValidation>
        <x14:dataValidation type="list" allowBlank="1" showInputMessage="1" showErrorMessage="1" xr:uid="{40408810-02FB-4949-A911-440419ACB65E}">
          <x14:formula1>
            <xm:f>項目!C17:$JEY$131073</xm:f>
          </x14:formula1>
          <xm:sqref>JFG131079:JFG131102</xm:sqref>
        </x14:dataValidation>
        <x14:dataValidation type="list" allowBlank="1" showInputMessage="1" showErrorMessage="1" xr:uid="{E357044E-4F4C-48FC-A4F5-6682C9E7CF90}">
          <x14:formula1>
            <xm:f>項目!C17:$JOU$131073</xm:f>
          </x14:formula1>
          <xm:sqref>JPC131079:JPC131102</xm:sqref>
        </x14:dataValidation>
        <x14:dataValidation type="list" allowBlank="1" showInputMessage="1" showErrorMessage="1" xr:uid="{61BC5092-5C33-43B5-8F01-912BAEA5E0F2}">
          <x14:formula1>
            <xm:f>項目!C17:$JYQ$131073</xm:f>
          </x14:formula1>
          <xm:sqref>JYY131079:JYY131102</xm:sqref>
        </x14:dataValidation>
        <x14:dataValidation type="list" allowBlank="1" showInputMessage="1" showErrorMessage="1" xr:uid="{FEBA1B23-2484-45FF-9A3E-0ECEF2E17268}">
          <x14:formula1>
            <xm:f>項目!C17:$KIM$131073</xm:f>
          </x14:formula1>
          <xm:sqref>KIU131079:KIU131102</xm:sqref>
        </x14:dataValidation>
        <x14:dataValidation type="list" allowBlank="1" showInputMessage="1" showErrorMessage="1" xr:uid="{1C31EF3E-7E72-4A5F-A70A-CA6891B519A1}">
          <x14:formula1>
            <xm:f>項目!C17:$KSI$131073</xm:f>
          </x14:formula1>
          <xm:sqref>KSQ131079:KSQ131102</xm:sqref>
        </x14:dataValidation>
        <x14:dataValidation type="list" allowBlank="1" showInputMessage="1" showErrorMessage="1" xr:uid="{3BC3C753-A178-4897-985C-9A126B01B2E2}">
          <x14:formula1>
            <xm:f>項目!C17:$LCE$131073</xm:f>
          </x14:formula1>
          <xm:sqref>LCM131079:LCM131102</xm:sqref>
        </x14:dataValidation>
        <x14:dataValidation type="list" allowBlank="1" showInputMessage="1" showErrorMessage="1" xr:uid="{995C1D9E-2CEB-4863-B1D6-828665D721B3}">
          <x14:formula1>
            <xm:f>項目!C17:$LMA$131073</xm:f>
          </x14:formula1>
          <xm:sqref>LMI131079:LMI131102</xm:sqref>
        </x14:dataValidation>
        <x14:dataValidation type="list" allowBlank="1" showInputMessage="1" showErrorMessage="1" xr:uid="{F41FD3EA-5839-467B-8E8E-A2E572E08138}">
          <x14:formula1>
            <xm:f>項目!C17:$LVW$131073</xm:f>
          </x14:formula1>
          <xm:sqref>LWE131079:LWE131102</xm:sqref>
        </x14:dataValidation>
        <x14:dataValidation type="list" allowBlank="1" showInputMessage="1" showErrorMessage="1" xr:uid="{5F546251-8B6B-4432-9884-1880E811B6A7}">
          <x14:formula1>
            <xm:f>項目!C17:$MFS$131073</xm:f>
          </x14:formula1>
          <xm:sqref>MGA131079:MGA131102</xm:sqref>
        </x14:dataValidation>
        <x14:dataValidation type="list" allowBlank="1" showInputMessage="1" showErrorMessage="1" xr:uid="{CF0BBEEE-7FBD-43A1-8FE6-6A4E936285CB}">
          <x14:formula1>
            <xm:f>項目!C17:$MPO$131073</xm:f>
          </x14:formula1>
          <xm:sqref>MPW131079:MPW131102</xm:sqref>
        </x14:dataValidation>
        <x14:dataValidation type="list" allowBlank="1" showInputMessage="1" showErrorMessage="1" xr:uid="{737CFF00-D508-43EB-9EE8-BFCA362A3B91}">
          <x14:formula1>
            <xm:f>項目!C17:$MZK$131073</xm:f>
          </x14:formula1>
          <xm:sqref>MZS131079:MZS131102</xm:sqref>
        </x14:dataValidation>
        <x14:dataValidation type="list" allowBlank="1" showInputMessage="1" showErrorMessage="1" xr:uid="{C1FB4188-5BCC-4C16-AF68-18CD90E387DC}">
          <x14:formula1>
            <xm:f>項目!C17:$NJG$131073</xm:f>
          </x14:formula1>
          <xm:sqref>NJO131079:NJO131102</xm:sqref>
        </x14:dataValidation>
        <x14:dataValidation type="list" allowBlank="1" showInputMessage="1" showErrorMessage="1" xr:uid="{58769EDA-DA19-4B8F-B21B-1C0DC6ED1FD5}">
          <x14:formula1>
            <xm:f>項目!C17:$NTC$131073</xm:f>
          </x14:formula1>
          <xm:sqref>NTK131079:NTK131102</xm:sqref>
        </x14:dataValidation>
        <x14:dataValidation type="list" allowBlank="1" showInputMessage="1" showErrorMessage="1" xr:uid="{32C9E356-529B-4EB8-9E75-180AC58BD4BF}">
          <x14:formula1>
            <xm:f>項目!C17:$OCY$131073</xm:f>
          </x14:formula1>
          <xm:sqref>ODG131079:ODG131102</xm:sqref>
        </x14:dataValidation>
        <x14:dataValidation type="list" allowBlank="1" showInputMessage="1" showErrorMessage="1" xr:uid="{F39F53C9-B67F-47F6-9F32-2EE87EDC408C}">
          <x14:formula1>
            <xm:f>項目!C17:$OMU$131073</xm:f>
          </x14:formula1>
          <xm:sqref>ONC131079:ONC131102</xm:sqref>
        </x14:dataValidation>
        <x14:dataValidation type="list" allowBlank="1" showInputMessage="1" showErrorMessage="1" xr:uid="{7FC266C1-0627-4A08-B5DB-2E54F84D6AC9}">
          <x14:formula1>
            <xm:f>項目!C17:$OWQ$131073</xm:f>
          </x14:formula1>
          <xm:sqref>OWY131079:OWY131102</xm:sqref>
        </x14:dataValidation>
        <x14:dataValidation type="list" allowBlank="1" showInputMessage="1" showErrorMessage="1" xr:uid="{25C66563-EA1B-4AF0-BB3F-9BDCC4AE7029}">
          <x14:formula1>
            <xm:f>項目!C17:$PGM$131073</xm:f>
          </x14:formula1>
          <xm:sqref>PGU131079:PGU131102</xm:sqref>
        </x14:dataValidation>
        <x14:dataValidation type="list" allowBlank="1" showInputMessage="1" showErrorMessage="1" xr:uid="{499E1386-9EE2-4253-9504-E052AC4E23EA}">
          <x14:formula1>
            <xm:f>項目!C17:$PQI$131073</xm:f>
          </x14:formula1>
          <xm:sqref>PQQ131079:PQQ131102</xm:sqref>
        </x14:dataValidation>
        <x14:dataValidation type="list" allowBlank="1" showInputMessage="1" showErrorMessage="1" xr:uid="{5D7E9DAA-2B71-42EC-96F5-AD94C7782203}">
          <x14:formula1>
            <xm:f>項目!C17:$QAE$131073</xm:f>
          </x14:formula1>
          <xm:sqref>QAM131079:QAM131102</xm:sqref>
        </x14:dataValidation>
        <x14:dataValidation type="list" allowBlank="1" showInputMessage="1" showErrorMessage="1" xr:uid="{10EF00EB-96E7-477D-882E-AD7B62871A9D}">
          <x14:formula1>
            <xm:f>項目!C17:$QKA$131073</xm:f>
          </x14:formula1>
          <xm:sqref>QKI131079:QKI131102</xm:sqref>
        </x14:dataValidation>
        <x14:dataValidation type="list" allowBlank="1" showInputMessage="1" showErrorMessage="1" xr:uid="{D8A433C6-7A1F-41D0-BC0A-391E8C4E238B}">
          <x14:formula1>
            <xm:f>項目!C17:$QTW$131073</xm:f>
          </x14:formula1>
          <xm:sqref>QUE131079:QUE131102</xm:sqref>
        </x14:dataValidation>
        <x14:dataValidation type="list" allowBlank="1" showInputMessage="1" showErrorMessage="1" xr:uid="{C331619E-C23A-4EC0-BF5C-F315295B54E1}">
          <x14:formula1>
            <xm:f>項目!C17:$RDS$131073</xm:f>
          </x14:formula1>
          <xm:sqref>REA131079:REA131102</xm:sqref>
        </x14:dataValidation>
        <x14:dataValidation type="list" allowBlank="1" showInputMessage="1" showErrorMessage="1" xr:uid="{AA6336AD-ED9E-4ECE-85F5-9CC823E4A330}">
          <x14:formula1>
            <xm:f>項目!C17:$RNO$131073</xm:f>
          </x14:formula1>
          <xm:sqref>RNW131079:RNW131102</xm:sqref>
        </x14:dataValidation>
        <x14:dataValidation type="list" allowBlank="1" showInputMessage="1" showErrorMessage="1" xr:uid="{9AA2606A-2239-4E45-8369-AB8BE4C69990}">
          <x14:formula1>
            <xm:f>項目!C17:$RXK$131073</xm:f>
          </x14:formula1>
          <xm:sqref>RXS131079:RXS131102</xm:sqref>
        </x14:dataValidation>
        <x14:dataValidation type="list" allowBlank="1" showInputMessage="1" showErrorMessage="1" xr:uid="{8F8DBB20-8A2F-4409-ACD0-657D4C2E9DB4}">
          <x14:formula1>
            <xm:f>項目!C17:$SHG$131073</xm:f>
          </x14:formula1>
          <xm:sqref>SHO131079:SHO131102</xm:sqref>
        </x14:dataValidation>
        <x14:dataValidation type="list" allowBlank="1" showInputMessage="1" showErrorMessage="1" xr:uid="{D7AF7839-5A96-4934-A413-ACBE0DAF0289}">
          <x14:formula1>
            <xm:f>項目!C17:$SRC$131073</xm:f>
          </x14:formula1>
          <xm:sqref>SRK131079:SRK131102</xm:sqref>
        </x14:dataValidation>
        <x14:dataValidation type="list" allowBlank="1" showInputMessage="1" showErrorMessage="1" xr:uid="{27DDB66C-73F7-41FC-8489-6EFE905C0E29}">
          <x14:formula1>
            <xm:f>項目!C17:$TAY$131073</xm:f>
          </x14:formula1>
          <xm:sqref>TBG131079:TBG131102</xm:sqref>
        </x14:dataValidation>
        <x14:dataValidation type="list" allowBlank="1" showInputMessage="1" showErrorMessage="1" xr:uid="{AB8CA6DD-D489-4958-8065-ED925DF0ECE1}">
          <x14:formula1>
            <xm:f>項目!C17:$TKU$131073</xm:f>
          </x14:formula1>
          <xm:sqref>TLC131079:TLC131102</xm:sqref>
        </x14:dataValidation>
        <x14:dataValidation type="list" allowBlank="1" showInputMessage="1" showErrorMessage="1" xr:uid="{40790566-3A56-4C7B-B570-371F80F73F98}">
          <x14:formula1>
            <xm:f>項目!C17:$TUQ$131073</xm:f>
          </x14:formula1>
          <xm:sqref>TUY131079:TUY131102</xm:sqref>
        </x14:dataValidation>
        <x14:dataValidation type="list" allowBlank="1" showInputMessage="1" showErrorMessage="1" xr:uid="{EFC2D478-A14D-4A7F-8E51-2438FB74A231}">
          <x14:formula1>
            <xm:f>項目!C17:$UEM$131073</xm:f>
          </x14:formula1>
          <xm:sqref>UEU131079:UEU131102</xm:sqref>
        </x14:dataValidation>
        <x14:dataValidation type="list" allowBlank="1" showInputMessage="1" showErrorMessage="1" xr:uid="{0EF9CBD8-3EF8-4197-8F75-E228E7945A4A}">
          <x14:formula1>
            <xm:f>項目!C17:$UOI$131073</xm:f>
          </x14:formula1>
          <xm:sqref>UOQ131079:UOQ131102</xm:sqref>
        </x14:dataValidation>
        <x14:dataValidation type="list" allowBlank="1" showInputMessage="1" showErrorMessage="1" xr:uid="{E7A39F2E-5D71-4F00-A4C9-E702F103CA23}">
          <x14:formula1>
            <xm:f>項目!C17:$UYE$131073</xm:f>
          </x14:formula1>
          <xm:sqref>UYM131079:UYM131102</xm:sqref>
        </x14:dataValidation>
        <x14:dataValidation type="list" allowBlank="1" showInputMessage="1" showErrorMessage="1" xr:uid="{D3CB18AC-F068-4E37-A068-97E78A8A278B}">
          <x14:formula1>
            <xm:f>項目!C17:$VIA$131073</xm:f>
          </x14:formula1>
          <xm:sqref>VII131079:VII131102</xm:sqref>
        </x14:dataValidation>
        <x14:dataValidation type="list" allowBlank="1" showInputMessage="1" showErrorMessage="1" xr:uid="{DD5F016C-D01B-41F5-ADE7-FA4567FA0F12}">
          <x14:formula1>
            <xm:f>項目!C17:$VRW$131073</xm:f>
          </x14:formula1>
          <xm:sqref>VSE131079:VSE131102</xm:sqref>
        </x14:dataValidation>
        <x14:dataValidation type="list" allowBlank="1" showInputMessage="1" showErrorMessage="1" xr:uid="{CF2DE895-2815-4A16-A69C-967E2656604D}">
          <x14:formula1>
            <xm:f>項目!C17:$WBS$131073</xm:f>
          </x14:formula1>
          <xm:sqref>WCA131079:WCA131102</xm:sqref>
        </x14:dataValidation>
        <x14:dataValidation type="list" allowBlank="1" showInputMessage="1" showErrorMessage="1" xr:uid="{646AED52-09F8-4984-A23C-D5996C35083C}">
          <x14:formula1>
            <xm:f>項目!C17:$WLO$131073</xm:f>
          </x14:formula1>
          <xm:sqref>WLW131079:WLW131102</xm:sqref>
        </x14:dataValidation>
        <x14:dataValidation type="list" allowBlank="1" showInputMessage="1" showErrorMessage="1" xr:uid="{FCDF6DAE-86D1-4179-90DC-F21C9447967F}">
          <x14:formula1>
            <xm:f>項目!C17:$WVK$131073</xm:f>
          </x14:formula1>
          <xm:sqref>WVS131079:WVS131102</xm:sqref>
        </x14:dataValidation>
        <x14:dataValidation type="list" allowBlank="1" showInputMessage="1" showErrorMessage="1" xr:uid="{DE178574-F986-470E-A739-6A343EC80933}">
          <x14:formula1>
            <xm:f>項目!C17:$IY$196609</xm:f>
          </x14:formula1>
          <xm:sqref>JG196615:JG196638</xm:sqref>
        </x14:dataValidation>
        <x14:dataValidation type="list" allowBlank="1" showInputMessage="1" showErrorMessage="1" xr:uid="{609585E4-9441-4FD7-A592-8B0CB85426DC}">
          <x14:formula1>
            <xm:f>項目!C17:$SU$196609</xm:f>
          </x14:formula1>
          <xm:sqref>TC196615:TC196638</xm:sqref>
        </x14:dataValidation>
        <x14:dataValidation type="list" allowBlank="1" showInputMessage="1" showErrorMessage="1" xr:uid="{14360EDD-60DC-440F-8082-937026A756F8}">
          <x14:formula1>
            <xm:f>項目!C17:$ACQ$196609</xm:f>
          </x14:formula1>
          <xm:sqref>ACY196615:ACY196638</xm:sqref>
        </x14:dataValidation>
        <x14:dataValidation type="list" allowBlank="1" showInputMessage="1" showErrorMessage="1" xr:uid="{15036A1E-1459-48C3-81B2-E890B9850395}">
          <x14:formula1>
            <xm:f>項目!C17:$AMM$196609</xm:f>
          </x14:formula1>
          <xm:sqref>AMU196615:AMU196638</xm:sqref>
        </x14:dataValidation>
        <x14:dataValidation type="list" allowBlank="1" showInputMessage="1" showErrorMessage="1" xr:uid="{E443936D-4AD6-4252-B184-35B7B148F363}">
          <x14:formula1>
            <xm:f>項目!C17:$AWI$196609</xm:f>
          </x14:formula1>
          <xm:sqref>AWQ196615:AWQ196638</xm:sqref>
        </x14:dataValidation>
        <x14:dataValidation type="list" allowBlank="1" showInputMessage="1" showErrorMessage="1" xr:uid="{74B0C7D1-027C-4ED8-98B1-C2406F1D9D08}">
          <x14:formula1>
            <xm:f>項目!C17:$BGE$196609</xm:f>
          </x14:formula1>
          <xm:sqref>BGM196615:BGM196638</xm:sqref>
        </x14:dataValidation>
        <x14:dataValidation type="list" allowBlank="1" showInputMessage="1" showErrorMessage="1" xr:uid="{F4F80EA6-BE26-4940-A7E1-5702409594DF}">
          <x14:formula1>
            <xm:f>項目!C17:$BQA$196609</xm:f>
          </x14:formula1>
          <xm:sqref>BQI196615:BQI196638</xm:sqref>
        </x14:dataValidation>
        <x14:dataValidation type="list" allowBlank="1" showInputMessage="1" showErrorMessage="1" xr:uid="{6C8FC1ED-7F4E-4B42-A52C-08464CF1E4CC}">
          <x14:formula1>
            <xm:f>項目!C17:$BZW$196609</xm:f>
          </x14:formula1>
          <xm:sqref>CAE196615:CAE196638</xm:sqref>
        </x14:dataValidation>
        <x14:dataValidation type="list" allowBlank="1" showInputMessage="1" showErrorMessage="1" xr:uid="{D4666B6F-61D1-4EF7-BD43-FD67D2048152}">
          <x14:formula1>
            <xm:f>項目!C17:$CJS$196609</xm:f>
          </x14:formula1>
          <xm:sqref>CKA196615:CKA196638</xm:sqref>
        </x14:dataValidation>
        <x14:dataValidation type="list" allowBlank="1" showInputMessage="1" showErrorMessage="1" xr:uid="{9662AC00-9002-4774-ACF0-A84087B73E2B}">
          <x14:formula1>
            <xm:f>項目!C17:$CTO$196609</xm:f>
          </x14:formula1>
          <xm:sqref>CTW196615:CTW196638</xm:sqref>
        </x14:dataValidation>
        <x14:dataValidation type="list" allowBlank="1" showInputMessage="1" showErrorMessage="1" xr:uid="{7DD21247-F915-4FF1-B611-04CA6E930BCD}">
          <x14:formula1>
            <xm:f>項目!C17:$DDK$196609</xm:f>
          </x14:formula1>
          <xm:sqref>DDS196615:DDS196638</xm:sqref>
        </x14:dataValidation>
        <x14:dataValidation type="list" allowBlank="1" showInputMessage="1" showErrorMessage="1" xr:uid="{E192B479-8E9F-4FB6-816B-8A0983A134E3}">
          <x14:formula1>
            <xm:f>項目!C17:$DNG$196609</xm:f>
          </x14:formula1>
          <xm:sqref>DNO196615:DNO196638</xm:sqref>
        </x14:dataValidation>
        <x14:dataValidation type="list" allowBlank="1" showInputMessage="1" showErrorMessage="1" xr:uid="{6516D28C-9653-4DE6-B146-0D60F703BCF5}">
          <x14:formula1>
            <xm:f>項目!C17:$DXC$196609</xm:f>
          </x14:formula1>
          <xm:sqref>DXK196615:DXK196638</xm:sqref>
        </x14:dataValidation>
        <x14:dataValidation type="list" allowBlank="1" showInputMessage="1" showErrorMessage="1" xr:uid="{C3FB22BE-02DE-44A4-B5EF-5C33B51C8E76}">
          <x14:formula1>
            <xm:f>項目!C17:$EGY$196609</xm:f>
          </x14:formula1>
          <xm:sqref>EHG196615:EHG196638</xm:sqref>
        </x14:dataValidation>
        <x14:dataValidation type="list" allowBlank="1" showInputMessage="1" showErrorMessage="1" xr:uid="{135864B6-90D8-416F-B7A2-33CF9FDD0C8B}">
          <x14:formula1>
            <xm:f>項目!C17:$EQU$196609</xm:f>
          </x14:formula1>
          <xm:sqref>ERC196615:ERC196638</xm:sqref>
        </x14:dataValidation>
        <x14:dataValidation type="list" allowBlank="1" showInputMessage="1" showErrorMessage="1" xr:uid="{D773577C-FBF7-4D10-9197-7E9F4E13D184}">
          <x14:formula1>
            <xm:f>項目!C17:$FAQ$196609</xm:f>
          </x14:formula1>
          <xm:sqref>FAY196615:FAY196638</xm:sqref>
        </x14:dataValidation>
        <x14:dataValidation type="list" allowBlank="1" showInputMessage="1" showErrorMessage="1" xr:uid="{D6636C10-0FEF-4D99-BDDA-30B02DC80182}">
          <x14:formula1>
            <xm:f>項目!C17:$FKM$196609</xm:f>
          </x14:formula1>
          <xm:sqref>FKU196615:FKU196638</xm:sqref>
        </x14:dataValidation>
        <x14:dataValidation type="list" allowBlank="1" showInputMessage="1" showErrorMessage="1" xr:uid="{05D6A05D-FD1A-4F34-97B4-C33111244AD4}">
          <x14:formula1>
            <xm:f>項目!C17:$FUI$196609</xm:f>
          </x14:formula1>
          <xm:sqref>FUQ196615:FUQ196638</xm:sqref>
        </x14:dataValidation>
        <x14:dataValidation type="list" allowBlank="1" showInputMessage="1" showErrorMessage="1" xr:uid="{E3C7E761-8747-492C-9B0A-7A554FF8A419}">
          <x14:formula1>
            <xm:f>項目!C17:$GEE$196609</xm:f>
          </x14:formula1>
          <xm:sqref>GEM196615:GEM196638</xm:sqref>
        </x14:dataValidation>
        <x14:dataValidation type="list" allowBlank="1" showInputMessage="1" showErrorMessage="1" xr:uid="{DC6166E7-05C8-4AFF-B5CF-2EFF027BA779}">
          <x14:formula1>
            <xm:f>項目!C17:$GOA$196609</xm:f>
          </x14:formula1>
          <xm:sqref>GOI196615:GOI196638</xm:sqref>
        </x14:dataValidation>
        <x14:dataValidation type="list" allowBlank="1" showInputMessage="1" showErrorMessage="1" xr:uid="{68EB3BBD-D5E6-484B-BF4C-11574AC3DD45}">
          <x14:formula1>
            <xm:f>項目!C17:$GXW$196609</xm:f>
          </x14:formula1>
          <xm:sqref>GYE196615:GYE196638</xm:sqref>
        </x14:dataValidation>
        <x14:dataValidation type="list" allowBlank="1" showInputMessage="1" showErrorMessage="1" xr:uid="{166BD888-3126-4542-8682-C583C614CC86}">
          <x14:formula1>
            <xm:f>項目!C17:$HHS$196609</xm:f>
          </x14:formula1>
          <xm:sqref>HIA196615:HIA196638</xm:sqref>
        </x14:dataValidation>
        <x14:dataValidation type="list" allowBlank="1" showInputMessage="1" showErrorMessage="1" xr:uid="{6A88204E-EF8E-406C-BA8C-DDE04C6E270E}">
          <x14:formula1>
            <xm:f>項目!C17:$HRO$196609</xm:f>
          </x14:formula1>
          <xm:sqref>HRW196615:HRW196638</xm:sqref>
        </x14:dataValidation>
        <x14:dataValidation type="list" allowBlank="1" showInputMessage="1" showErrorMessage="1" xr:uid="{94A7A57B-BE2D-4519-8F89-FB3417118647}">
          <x14:formula1>
            <xm:f>項目!C17:$IBK$196609</xm:f>
          </x14:formula1>
          <xm:sqref>IBS196615:IBS196638</xm:sqref>
        </x14:dataValidation>
        <x14:dataValidation type="list" allowBlank="1" showInputMessage="1" showErrorMessage="1" xr:uid="{5BDA9D9B-271B-4EA9-9C1C-ADDBF52A8976}">
          <x14:formula1>
            <xm:f>項目!C17:$ILG$196609</xm:f>
          </x14:formula1>
          <xm:sqref>ILO196615:ILO196638</xm:sqref>
        </x14:dataValidation>
        <x14:dataValidation type="list" allowBlank="1" showInputMessage="1" showErrorMessage="1" xr:uid="{CBDF4CF7-6991-4F18-A243-1D5EAE22FDC7}">
          <x14:formula1>
            <xm:f>項目!C17:$IVC$196609</xm:f>
          </x14:formula1>
          <xm:sqref>IVK196615:IVK196638</xm:sqref>
        </x14:dataValidation>
        <x14:dataValidation type="list" allowBlank="1" showInputMessage="1" showErrorMessage="1" xr:uid="{3D96F247-CF0D-424B-8158-49A70D029642}">
          <x14:formula1>
            <xm:f>項目!C17:$JEY$196609</xm:f>
          </x14:formula1>
          <xm:sqref>JFG196615:JFG196638</xm:sqref>
        </x14:dataValidation>
        <x14:dataValidation type="list" allowBlank="1" showInputMessage="1" showErrorMessage="1" xr:uid="{877827B3-84EF-41FB-B0E0-2C4068318C5B}">
          <x14:formula1>
            <xm:f>項目!C17:$JOU$196609</xm:f>
          </x14:formula1>
          <xm:sqref>JPC196615:JPC196638</xm:sqref>
        </x14:dataValidation>
        <x14:dataValidation type="list" allowBlank="1" showInputMessage="1" showErrorMessage="1" xr:uid="{74F1F66C-3650-45C8-A0C7-15E1AB868A37}">
          <x14:formula1>
            <xm:f>項目!C17:$JYQ$196609</xm:f>
          </x14:formula1>
          <xm:sqref>JYY196615:JYY196638</xm:sqref>
        </x14:dataValidation>
        <x14:dataValidation type="list" allowBlank="1" showInputMessage="1" showErrorMessage="1" xr:uid="{3D81BAD0-57B3-4EFD-93D3-B69E5BF7CE23}">
          <x14:formula1>
            <xm:f>項目!C17:$KIM$196609</xm:f>
          </x14:formula1>
          <xm:sqref>KIU196615:KIU196638</xm:sqref>
        </x14:dataValidation>
        <x14:dataValidation type="list" allowBlank="1" showInputMessage="1" showErrorMessage="1" xr:uid="{B76407A0-CFA0-463B-9895-5D05D5493A4F}">
          <x14:formula1>
            <xm:f>項目!C17:$KSI$196609</xm:f>
          </x14:formula1>
          <xm:sqref>KSQ196615:KSQ196638</xm:sqref>
        </x14:dataValidation>
        <x14:dataValidation type="list" allowBlank="1" showInputMessage="1" showErrorMessage="1" xr:uid="{893F1671-6970-4877-A726-B251D1756E0C}">
          <x14:formula1>
            <xm:f>項目!C17:$LCE$196609</xm:f>
          </x14:formula1>
          <xm:sqref>LCM196615:LCM196638</xm:sqref>
        </x14:dataValidation>
        <x14:dataValidation type="list" allowBlank="1" showInputMessage="1" showErrorMessage="1" xr:uid="{D0A90BCC-27F5-4E4D-9B7F-05BD2D585C98}">
          <x14:formula1>
            <xm:f>項目!C17:$LMA$196609</xm:f>
          </x14:formula1>
          <xm:sqref>LMI196615:LMI196638</xm:sqref>
        </x14:dataValidation>
        <x14:dataValidation type="list" allowBlank="1" showInputMessage="1" showErrorMessage="1" xr:uid="{D9CFFD06-3855-4792-A8E5-923BC0EDA1EF}">
          <x14:formula1>
            <xm:f>項目!C17:$LVW$196609</xm:f>
          </x14:formula1>
          <xm:sqref>LWE196615:LWE196638</xm:sqref>
        </x14:dataValidation>
        <x14:dataValidation type="list" allowBlank="1" showInputMessage="1" showErrorMessage="1" xr:uid="{E97B7CF5-CAD0-4112-BCF6-AB9A8D5E4781}">
          <x14:formula1>
            <xm:f>項目!C17:$MFS$196609</xm:f>
          </x14:formula1>
          <xm:sqref>MGA196615:MGA196638</xm:sqref>
        </x14:dataValidation>
        <x14:dataValidation type="list" allowBlank="1" showInputMessage="1" showErrorMessage="1" xr:uid="{653DF42D-77FC-4D56-A3EA-21D7F85E44F1}">
          <x14:formula1>
            <xm:f>項目!C17:$MPO$196609</xm:f>
          </x14:formula1>
          <xm:sqref>MPW196615:MPW196638</xm:sqref>
        </x14:dataValidation>
        <x14:dataValidation type="list" allowBlank="1" showInputMessage="1" showErrorMessage="1" xr:uid="{F5FF5696-06A5-4288-9E19-DE5E531A5AD5}">
          <x14:formula1>
            <xm:f>項目!C17:$MZK$196609</xm:f>
          </x14:formula1>
          <xm:sqref>MZS196615:MZS196638</xm:sqref>
        </x14:dataValidation>
        <x14:dataValidation type="list" allowBlank="1" showInputMessage="1" showErrorMessage="1" xr:uid="{467FD080-DB81-47B9-9C8F-7583ECE3642E}">
          <x14:formula1>
            <xm:f>項目!C17:$NJG$196609</xm:f>
          </x14:formula1>
          <xm:sqref>NJO196615:NJO196638</xm:sqref>
        </x14:dataValidation>
        <x14:dataValidation type="list" allowBlank="1" showInputMessage="1" showErrorMessage="1" xr:uid="{7C6821FF-7B0C-4FA5-8561-716F5D91CFF4}">
          <x14:formula1>
            <xm:f>項目!C17:$NTC$196609</xm:f>
          </x14:formula1>
          <xm:sqref>NTK196615:NTK196638</xm:sqref>
        </x14:dataValidation>
        <x14:dataValidation type="list" allowBlank="1" showInputMessage="1" showErrorMessage="1" xr:uid="{E23BB343-0473-40E0-97E7-FBB09386F1AD}">
          <x14:formula1>
            <xm:f>項目!C17:$OCY$196609</xm:f>
          </x14:formula1>
          <xm:sqref>ODG196615:ODG196638</xm:sqref>
        </x14:dataValidation>
        <x14:dataValidation type="list" allowBlank="1" showInputMessage="1" showErrorMessage="1" xr:uid="{130A0850-D387-4B56-AF85-FF0275CA0831}">
          <x14:formula1>
            <xm:f>項目!C17:$OMU$196609</xm:f>
          </x14:formula1>
          <xm:sqref>ONC196615:ONC196638</xm:sqref>
        </x14:dataValidation>
        <x14:dataValidation type="list" allowBlank="1" showInputMessage="1" showErrorMessage="1" xr:uid="{8F166916-CEDF-4D57-AFB6-91FB86192960}">
          <x14:formula1>
            <xm:f>項目!C17:$OWQ$196609</xm:f>
          </x14:formula1>
          <xm:sqref>OWY196615:OWY196638</xm:sqref>
        </x14:dataValidation>
        <x14:dataValidation type="list" allowBlank="1" showInputMessage="1" showErrorMessage="1" xr:uid="{484AC52B-D1DF-409D-94C1-26DCD2243C0B}">
          <x14:formula1>
            <xm:f>項目!C17:$PGM$196609</xm:f>
          </x14:formula1>
          <xm:sqref>PGU196615:PGU196638</xm:sqref>
        </x14:dataValidation>
        <x14:dataValidation type="list" allowBlank="1" showInputMessage="1" showErrorMessage="1" xr:uid="{290E21D5-7BBE-4938-8907-E0B78B416E20}">
          <x14:formula1>
            <xm:f>項目!C17:$PQI$196609</xm:f>
          </x14:formula1>
          <xm:sqref>PQQ196615:PQQ196638</xm:sqref>
        </x14:dataValidation>
        <x14:dataValidation type="list" allowBlank="1" showInputMessage="1" showErrorMessage="1" xr:uid="{55CCC2C5-6753-46ED-B594-4F7D751DC630}">
          <x14:formula1>
            <xm:f>項目!C17:$QAE$196609</xm:f>
          </x14:formula1>
          <xm:sqref>QAM196615:QAM196638</xm:sqref>
        </x14:dataValidation>
        <x14:dataValidation type="list" allowBlank="1" showInputMessage="1" showErrorMessage="1" xr:uid="{79A06FF8-86C0-47DB-91BB-1CC0F1C3045F}">
          <x14:formula1>
            <xm:f>項目!C17:$QKA$196609</xm:f>
          </x14:formula1>
          <xm:sqref>QKI196615:QKI196638</xm:sqref>
        </x14:dataValidation>
        <x14:dataValidation type="list" allowBlank="1" showInputMessage="1" showErrorMessage="1" xr:uid="{3D63F417-8C65-4F25-BFED-EA562DDFF366}">
          <x14:formula1>
            <xm:f>項目!C17:$QTW$196609</xm:f>
          </x14:formula1>
          <xm:sqref>QUE196615:QUE196638</xm:sqref>
        </x14:dataValidation>
        <x14:dataValidation type="list" allowBlank="1" showInputMessage="1" showErrorMessage="1" xr:uid="{78F125BF-166A-452F-B453-71B11935CF15}">
          <x14:formula1>
            <xm:f>項目!C17:$RDS$196609</xm:f>
          </x14:formula1>
          <xm:sqref>REA196615:REA196638</xm:sqref>
        </x14:dataValidation>
        <x14:dataValidation type="list" allowBlank="1" showInputMessage="1" showErrorMessage="1" xr:uid="{E62101C4-6A8C-42C2-8FE9-E67B5039C3D4}">
          <x14:formula1>
            <xm:f>項目!C17:$RNO$196609</xm:f>
          </x14:formula1>
          <xm:sqref>RNW196615:RNW196638</xm:sqref>
        </x14:dataValidation>
        <x14:dataValidation type="list" allowBlank="1" showInputMessage="1" showErrorMessage="1" xr:uid="{AB35BB08-AA20-4605-8B83-0F39B1863C21}">
          <x14:formula1>
            <xm:f>項目!C17:$RXK$196609</xm:f>
          </x14:formula1>
          <xm:sqref>RXS196615:RXS196638</xm:sqref>
        </x14:dataValidation>
        <x14:dataValidation type="list" allowBlank="1" showInputMessage="1" showErrorMessage="1" xr:uid="{43FFA497-1A9B-48C4-9F15-44670C403626}">
          <x14:formula1>
            <xm:f>項目!C17:$SHG$196609</xm:f>
          </x14:formula1>
          <xm:sqref>SHO196615:SHO196638</xm:sqref>
        </x14:dataValidation>
        <x14:dataValidation type="list" allowBlank="1" showInputMessage="1" showErrorMessage="1" xr:uid="{50E797DF-1857-40D1-999D-6D3539C30AFC}">
          <x14:formula1>
            <xm:f>項目!C17:$SRC$196609</xm:f>
          </x14:formula1>
          <xm:sqref>SRK196615:SRK196638</xm:sqref>
        </x14:dataValidation>
        <x14:dataValidation type="list" allowBlank="1" showInputMessage="1" showErrorMessage="1" xr:uid="{72BEE2CE-2A29-4599-8BD0-38E0B116117C}">
          <x14:formula1>
            <xm:f>項目!C17:$TAY$196609</xm:f>
          </x14:formula1>
          <xm:sqref>TBG196615:TBG196638</xm:sqref>
        </x14:dataValidation>
        <x14:dataValidation type="list" allowBlank="1" showInputMessage="1" showErrorMessage="1" xr:uid="{1039B930-82DD-41AE-8288-45F5968F323E}">
          <x14:formula1>
            <xm:f>項目!C17:$TKU$196609</xm:f>
          </x14:formula1>
          <xm:sqref>TLC196615:TLC196638</xm:sqref>
        </x14:dataValidation>
        <x14:dataValidation type="list" allowBlank="1" showInputMessage="1" showErrorMessage="1" xr:uid="{76EC24E5-4ADA-4A97-A3D1-0B048AD37221}">
          <x14:formula1>
            <xm:f>項目!C17:$TUQ$196609</xm:f>
          </x14:formula1>
          <xm:sqref>TUY196615:TUY196638</xm:sqref>
        </x14:dataValidation>
        <x14:dataValidation type="list" allowBlank="1" showInputMessage="1" showErrorMessage="1" xr:uid="{B1F51416-EBED-41DA-9E56-C46425D6BA31}">
          <x14:formula1>
            <xm:f>項目!C17:$UEM$196609</xm:f>
          </x14:formula1>
          <xm:sqref>UEU196615:UEU196638</xm:sqref>
        </x14:dataValidation>
        <x14:dataValidation type="list" allowBlank="1" showInputMessage="1" showErrorMessage="1" xr:uid="{59EE640B-4395-4F5B-8B72-966C53F1B8E8}">
          <x14:formula1>
            <xm:f>項目!C17:$UOI$196609</xm:f>
          </x14:formula1>
          <xm:sqref>UOQ196615:UOQ196638</xm:sqref>
        </x14:dataValidation>
        <x14:dataValidation type="list" allowBlank="1" showInputMessage="1" showErrorMessage="1" xr:uid="{2A7B55EB-0F8C-427E-ADF9-35E986F089A7}">
          <x14:formula1>
            <xm:f>項目!C17:$UYE$196609</xm:f>
          </x14:formula1>
          <xm:sqref>UYM196615:UYM196638</xm:sqref>
        </x14:dataValidation>
        <x14:dataValidation type="list" allowBlank="1" showInputMessage="1" showErrorMessage="1" xr:uid="{9937B45A-957D-4C07-B38A-DEDE0961E3B4}">
          <x14:formula1>
            <xm:f>項目!C17:$VIA$196609</xm:f>
          </x14:formula1>
          <xm:sqref>VII196615:VII196638</xm:sqref>
        </x14:dataValidation>
        <x14:dataValidation type="list" allowBlank="1" showInputMessage="1" showErrorMessage="1" xr:uid="{B6DA7AA5-95B9-4221-96F0-5B81BD40017A}">
          <x14:formula1>
            <xm:f>項目!C17:$VRW$196609</xm:f>
          </x14:formula1>
          <xm:sqref>VSE196615:VSE196638</xm:sqref>
        </x14:dataValidation>
        <x14:dataValidation type="list" allowBlank="1" showInputMessage="1" showErrorMessage="1" xr:uid="{EDFB73D1-E6BC-4375-8B2A-B8C960B69B0B}">
          <x14:formula1>
            <xm:f>項目!C17:$WBS$196609</xm:f>
          </x14:formula1>
          <xm:sqref>WCA196615:WCA196638</xm:sqref>
        </x14:dataValidation>
        <x14:dataValidation type="list" allowBlank="1" showInputMessage="1" showErrorMessage="1" xr:uid="{2DC1355C-EA1C-4498-B3D0-A1ECC318655F}">
          <x14:formula1>
            <xm:f>項目!C17:$WLO$196609</xm:f>
          </x14:formula1>
          <xm:sqref>WLW196615:WLW196638</xm:sqref>
        </x14:dataValidation>
        <x14:dataValidation type="list" allowBlank="1" showInputMessage="1" showErrorMessage="1" xr:uid="{55990A50-EC43-4EAC-8B81-85234153097C}">
          <x14:formula1>
            <xm:f>項目!C17:$WVK$196609</xm:f>
          </x14:formula1>
          <xm:sqref>WVS196615:WVS196638</xm:sqref>
        </x14:dataValidation>
        <x14:dataValidation type="list" allowBlank="1" showInputMessage="1" showErrorMessage="1" xr:uid="{4F3576DB-F951-4376-B3B5-CA1E48993F77}">
          <x14:formula1>
            <xm:f>項目!C17:$IY$262145</xm:f>
          </x14:formula1>
          <xm:sqref>JG262151:JG262174</xm:sqref>
        </x14:dataValidation>
        <x14:dataValidation type="list" allowBlank="1" showInputMessage="1" showErrorMessage="1" xr:uid="{C578F565-19B1-4FFF-BA7C-B734D5AFC33F}">
          <x14:formula1>
            <xm:f>項目!C17:$SU$262145</xm:f>
          </x14:formula1>
          <xm:sqref>TC262151:TC262174</xm:sqref>
        </x14:dataValidation>
        <x14:dataValidation type="list" allowBlank="1" showInputMessage="1" showErrorMessage="1" xr:uid="{FE13C207-C8A8-4D2C-9394-A09BFB15B67F}">
          <x14:formula1>
            <xm:f>項目!C17:$ACQ$262145</xm:f>
          </x14:formula1>
          <xm:sqref>ACY262151:ACY262174</xm:sqref>
        </x14:dataValidation>
        <x14:dataValidation type="list" allowBlank="1" showInputMessage="1" showErrorMessage="1" xr:uid="{AC1D127D-95BA-40A7-B691-FA71BA2BDBA9}">
          <x14:formula1>
            <xm:f>項目!C17:$AMM$262145</xm:f>
          </x14:formula1>
          <xm:sqref>AMU262151:AMU262174</xm:sqref>
        </x14:dataValidation>
        <x14:dataValidation type="list" allowBlank="1" showInputMessage="1" showErrorMessage="1" xr:uid="{77D6987A-5253-4DD2-B0A4-63C45458AE91}">
          <x14:formula1>
            <xm:f>項目!C17:$AWI$262145</xm:f>
          </x14:formula1>
          <xm:sqref>AWQ262151:AWQ262174</xm:sqref>
        </x14:dataValidation>
        <x14:dataValidation type="list" allowBlank="1" showInputMessage="1" showErrorMessage="1" xr:uid="{698E96AF-C8E4-429C-ABCC-F552E276E931}">
          <x14:formula1>
            <xm:f>項目!C17:$BGE$262145</xm:f>
          </x14:formula1>
          <xm:sqref>BGM262151:BGM262174</xm:sqref>
        </x14:dataValidation>
        <x14:dataValidation type="list" allowBlank="1" showInputMessage="1" showErrorMessage="1" xr:uid="{8E018CD4-F59C-42C6-A918-475C69147B7E}">
          <x14:formula1>
            <xm:f>項目!C17:$BQA$262145</xm:f>
          </x14:formula1>
          <xm:sqref>BQI262151:BQI262174</xm:sqref>
        </x14:dataValidation>
        <x14:dataValidation type="list" allowBlank="1" showInputMessage="1" showErrorMessage="1" xr:uid="{4E2C14CF-C10B-4C26-86D7-D654D75BC395}">
          <x14:formula1>
            <xm:f>項目!C17:$BZW$262145</xm:f>
          </x14:formula1>
          <xm:sqref>CAE262151:CAE262174</xm:sqref>
        </x14:dataValidation>
        <x14:dataValidation type="list" allowBlank="1" showInputMessage="1" showErrorMessage="1" xr:uid="{DDF7AFF8-AF8D-4827-9919-9FAC7E10BBA4}">
          <x14:formula1>
            <xm:f>項目!C17:$CJS$262145</xm:f>
          </x14:formula1>
          <xm:sqref>CKA262151:CKA262174</xm:sqref>
        </x14:dataValidation>
        <x14:dataValidation type="list" allowBlank="1" showInputMessage="1" showErrorMessage="1" xr:uid="{2C5F455D-30E5-445D-A9CE-D73DC628B720}">
          <x14:formula1>
            <xm:f>項目!C17:$CTO$262145</xm:f>
          </x14:formula1>
          <xm:sqref>CTW262151:CTW262174</xm:sqref>
        </x14:dataValidation>
        <x14:dataValidation type="list" allowBlank="1" showInputMessage="1" showErrorMessage="1" xr:uid="{5706D211-5E61-4241-8265-C43876B10547}">
          <x14:formula1>
            <xm:f>項目!C17:$DDK$262145</xm:f>
          </x14:formula1>
          <xm:sqref>DDS262151:DDS262174</xm:sqref>
        </x14:dataValidation>
        <x14:dataValidation type="list" allowBlank="1" showInputMessage="1" showErrorMessage="1" xr:uid="{3E20BA07-5AA2-4436-AFFE-634F9355B026}">
          <x14:formula1>
            <xm:f>項目!C17:$DNG$262145</xm:f>
          </x14:formula1>
          <xm:sqref>DNO262151:DNO262174</xm:sqref>
        </x14:dataValidation>
        <x14:dataValidation type="list" allowBlank="1" showInputMessage="1" showErrorMessage="1" xr:uid="{588D865D-5A8B-4E7C-BF31-87F1ECAB646A}">
          <x14:formula1>
            <xm:f>項目!C17:$DXC$262145</xm:f>
          </x14:formula1>
          <xm:sqref>DXK262151:DXK262174</xm:sqref>
        </x14:dataValidation>
        <x14:dataValidation type="list" allowBlank="1" showInputMessage="1" showErrorMessage="1" xr:uid="{9CAD268C-5EC7-49F0-8C89-ED43E72A5905}">
          <x14:formula1>
            <xm:f>項目!C17:$EGY$262145</xm:f>
          </x14:formula1>
          <xm:sqref>EHG262151:EHG262174</xm:sqref>
        </x14:dataValidation>
        <x14:dataValidation type="list" allowBlank="1" showInputMessage="1" showErrorMessage="1" xr:uid="{D87B4CBC-346C-41A9-AD17-7DFCBBC65D77}">
          <x14:formula1>
            <xm:f>項目!C17:$EQU$262145</xm:f>
          </x14:formula1>
          <xm:sqref>ERC262151:ERC262174</xm:sqref>
        </x14:dataValidation>
        <x14:dataValidation type="list" allowBlank="1" showInputMessage="1" showErrorMessage="1" xr:uid="{9105C7FD-8B87-4E64-9C9B-B82662AC57FF}">
          <x14:formula1>
            <xm:f>項目!C17:$FAQ$262145</xm:f>
          </x14:formula1>
          <xm:sqref>FAY262151:FAY262174</xm:sqref>
        </x14:dataValidation>
        <x14:dataValidation type="list" allowBlank="1" showInputMessage="1" showErrorMessage="1" xr:uid="{A0629A8F-2F10-47D1-87B8-5E8133352AEC}">
          <x14:formula1>
            <xm:f>項目!C17:$FKM$262145</xm:f>
          </x14:formula1>
          <xm:sqref>FKU262151:FKU262174</xm:sqref>
        </x14:dataValidation>
        <x14:dataValidation type="list" allowBlank="1" showInputMessage="1" showErrorMessage="1" xr:uid="{37E1E027-8054-4922-A0FB-49DF83B9FD8B}">
          <x14:formula1>
            <xm:f>項目!C17:$FUI$262145</xm:f>
          </x14:formula1>
          <xm:sqref>FUQ262151:FUQ262174</xm:sqref>
        </x14:dataValidation>
        <x14:dataValidation type="list" allowBlank="1" showInputMessage="1" showErrorMessage="1" xr:uid="{96F26051-6EFC-47B0-9F49-4C10A5A9293E}">
          <x14:formula1>
            <xm:f>項目!C17:$GEE$262145</xm:f>
          </x14:formula1>
          <xm:sqref>GEM262151:GEM262174</xm:sqref>
        </x14:dataValidation>
        <x14:dataValidation type="list" allowBlank="1" showInputMessage="1" showErrorMessage="1" xr:uid="{3191DAE5-E9DE-4574-9DDD-89916B6F4D9D}">
          <x14:formula1>
            <xm:f>項目!C17:$GOA$262145</xm:f>
          </x14:formula1>
          <xm:sqref>GOI262151:GOI262174</xm:sqref>
        </x14:dataValidation>
        <x14:dataValidation type="list" allowBlank="1" showInputMessage="1" showErrorMessage="1" xr:uid="{6344E700-FE60-439E-86F0-0935F68B68E9}">
          <x14:formula1>
            <xm:f>項目!C17:$GXW$262145</xm:f>
          </x14:formula1>
          <xm:sqref>GYE262151:GYE262174</xm:sqref>
        </x14:dataValidation>
        <x14:dataValidation type="list" allowBlank="1" showInputMessage="1" showErrorMessage="1" xr:uid="{81B05002-6030-443B-9D21-F01140869599}">
          <x14:formula1>
            <xm:f>項目!C17:$HHS$262145</xm:f>
          </x14:formula1>
          <xm:sqref>HIA262151:HIA262174</xm:sqref>
        </x14:dataValidation>
        <x14:dataValidation type="list" allowBlank="1" showInputMessage="1" showErrorMessage="1" xr:uid="{A34FFAC3-BAA6-456B-B547-EC213B2099C5}">
          <x14:formula1>
            <xm:f>項目!C17:$HRO$262145</xm:f>
          </x14:formula1>
          <xm:sqref>HRW262151:HRW262174</xm:sqref>
        </x14:dataValidation>
        <x14:dataValidation type="list" allowBlank="1" showInputMessage="1" showErrorMessage="1" xr:uid="{0971BC01-8B4E-4F38-AC14-D290FBAA3E39}">
          <x14:formula1>
            <xm:f>項目!C17:$IBK$262145</xm:f>
          </x14:formula1>
          <xm:sqref>IBS262151:IBS262174</xm:sqref>
        </x14:dataValidation>
        <x14:dataValidation type="list" allowBlank="1" showInputMessage="1" showErrorMessage="1" xr:uid="{7889EDCC-DD61-4A5B-81B1-87675E302317}">
          <x14:formula1>
            <xm:f>項目!C17:$ILG$262145</xm:f>
          </x14:formula1>
          <xm:sqref>ILO262151:ILO262174</xm:sqref>
        </x14:dataValidation>
        <x14:dataValidation type="list" allowBlank="1" showInputMessage="1" showErrorMessage="1" xr:uid="{B894D5F3-EA0D-4650-AE8E-E0C52890C349}">
          <x14:formula1>
            <xm:f>項目!C17:$IVC$262145</xm:f>
          </x14:formula1>
          <xm:sqref>IVK262151:IVK262174</xm:sqref>
        </x14:dataValidation>
        <x14:dataValidation type="list" allowBlank="1" showInputMessage="1" showErrorMessage="1" xr:uid="{E8B10C0E-C0B7-4200-B99A-0696D46D0CAA}">
          <x14:formula1>
            <xm:f>項目!C17:$JEY$262145</xm:f>
          </x14:formula1>
          <xm:sqref>JFG262151:JFG262174</xm:sqref>
        </x14:dataValidation>
        <x14:dataValidation type="list" allowBlank="1" showInputMessage="1" showErrorMessage="1" xr:uid="{F040ABA1-81CE-4DD3-8712-EC49E198EF9A}">
          <x14:formula1>
            <xm:f>項目!C17:$JOU$262145</xm:f>
          </x14:formula1>
          <xm:sqref>JPC262151:JPC262174</xm:sqref>
        </x14:dataValidation>
        <x14:dataValidation type="list" allowBlank="1" showInputMessage="1" showErrorMessage="1" xr:uid="{93B0F9BA-BE3D-472F-A603-B9E3FE65EBE4}">
          <x14:formula1>
            <xm:f>項目!C17:$JYQ$262145</xm:f>
          </x14:formula1>
          <xm:sqref>JYY262151:JYY262174</xm:sqref>
        </x14:dataValidation>
        <x14:dataValidation type="list" allowBlank="1" showInputMessage="1" showErrorMessage="1" xr:uid="{F97FA092-8579-4AEB-98FE-C08F65E13CBD}">
          <x14:formula1>
            <xm:f>項目!C17:$KIM$262145</xm:f>
          </x14:formula1>
          <xm:sqref>KIU262151:KIU262174</xm:sqref>
        </x14:dataValidation>
        <x14:dataValidation type="list" allowBlank="1" showInputMessage="1" showErrorMessage="1" xr:uid="{69B80B25-85FF-443D-9661-4FBA916AC829}">
          <x14:formula1>
            <xm:f>項目!C17:$KSI$262145</xm:f>
          </x14:formula1>
          <xm:sqref>KSQ262151:KSQ262174</xm:sqref>
        </x14:dataValidation>
        <x14:dataValidation type="list" allowBlank="1" showInputMessage="1" showErrorMessage="1" xr:uid="{602DF17F-6296-49A8-A534-52A4C20141D2}">
          <x14:formula1>
            <xm:f>項目!C17:$LCE$262145</xm:f>
          </x14:formula1>
          <xm:sqref>LCM262151:LCM262174</xm:sqref>
        </x14:dataValidation>
        <x14:dataValidation type="list" allowBlank="1" showInputMessage="1" showErrorMessage="1" xr:uid="{FD923581-E424-4945-AA2B-652B4EBC4F41}">
          <x14:formula1>
            <xm:f>項目!C17:$LMA$262145</xm:f>
          </x14:formula1>
          <xm:sqref>LMI262151:LMI262174</xm:sqref>
        </x14:dataValidation>
        <x14:dataValidation type="list" allowBlank="1" showInputMessage="1" showErrorMessage="1" xr:uid="{E13AE486-481D-4FEC-B460-E120D1811ADE}">
          <x14:formula1>
            <xm:f>項目!C17:$LVW$262145</xm:f>
          </x14:formula1>
          <xm:sqref>LWE262151:LWE262174</xm:sqref>
        </x14:dataValidation>
        <x14:dataValidation type="list" allowBlank="1" showInputMessage="1" showErrorMessage="1" xr:uid="{F3C3105E-0F33-4801-B01A-103CB7BF4D87}">
          <x14:formula1>
            <xm:f>項目!C17:$MFS$262145</xm:f>
          </x14:formula1>
          <xm:sqref>MGA262151:MGA262174</xm:sqref>
        </x14:dataValidation>
        <x14:dataValidation type="list" allowBlank="1" showInputMessage="1" showErrorMessage="1" xr:uid="{185168B4-5A0F-41B2-BF48-C2179184CAE2}">
          <x14:formula1>
            <xm:f>項目!C17:$MPO$262145</xm:f>
          </x14:formula1>
          <xm:sqref>MPW262151:MPW262174</xm:sqref>
        </x14:dataValidation>
        <x14:dataValidation type="list" allowBlank="1" showInputMessage="1" showErrorMessage="1" xr:uid="{796A7B95-5650-4CC6-B8C5-A81DCEAEF6DA}">
          <x14:formula1>
            <xm:f>項目!C17:$MZK$262145</xm:f>
          </x14:formula1>
          <xm:sqref>MZS262151:MZS262174</xm:sqref>
        </x14:dataValidation>
        <x14:dataValidation type="list" allowBlank="1" showInputMessage="1" showErrorMessage="1" xr:uid="{A2924FE4-56C8-4582-A32D-CCE088FD45F1}">
          <x14:formula1>
            <xm:f>項目!C17:$NJG$262145</xm:f>
          </x14:formula1>
          <xm:sqref>NJO262151:NJO262174</xm:sqref>
        </x14:dataValidation>
        <x14:dataValidation type="list" allowBlank="1" showInputMessage="1" showErrorMessage="1" xr:uid="{83E2FEA6-D4D8-42AE-890B-356785189534}">
          <x14:formula1>
            <xm:f>項目!C17:$NTC$262145</xm:f>
          </x14:formula1>
          <xm:sqref>NTK262151:NTK262174</xm:sqref>
        </x14:dataValidation>
        <x14:dataValidation type="list" allowBlank="1" showInputMessage="1" showErrorMessage="1" xr:uid="{86F4EE9D-0B03-4D08-8C96-F03091886107}">
          <x14:formula1>
            <xm:f>項目!C17:$OCY$262145</xm:f>
          </x14:formula1>
          <xm:sqref>ODG262151:ODG262174</xm:sqref>
        </x14:dataValidation>
        <x14:dataValidation type="list" allowBlank="1" showInputMessage="1" showErrorMessage="1" xr:uid="{C59577F5-9D8F-487B-A1FA-DCBF9B67EAD1}">
          <x14:formula1>
            <xm:f>項目!C17:$OMU$262145</xm:f>
          </x14:formula1>
          <xm:sqref>ONC262151:ONC262174</xm:sqref>
        </x14:dataValidation>
        <x14:dataValidation type="list" allowBlank="1" showInputMessage="1" showErrorMessage="1" xr:uid="{B9811856-8123-4B94-AE41-1AC0692E449B}">
          <x14:formula1>
            <xm:f>項目!C17:$OWQ$262145</xm:f>
          </x14:formula1>
          <xm:sqref>OWY262151:OWY262174</xm:sqref>
        </x14:dataValidation>
        <x14:dataValidation type="list" allowBlank="1" showInputMessage="1" showErrorMessage="1" xr:uid="{EA4032A8-7939-47B3-A61D-B8977A031CBB}">
          <x14:formula1>
            <xm:f>項目!C17:$PGM$262145</xm:f>
          </x14:formula1>
          <xm:sqref>PGU262151:PGU262174</xm:sqref>
        </x14:dataValidation>
        <x14:dataValidation type="list" allowBlank="1" showInputMessage="1" showErrorMessage="1" xr:uid="{D160FE19-FE1E-469A-95C2-A1AC7BCBE9D2}">
          <x14:formula1>
            <xm:f>項目!C17:$PQI$262145</xm:f>
          </x14:formula1>
          <xm:sqref>PQQ262151:PQQ262174</xm:sqref>
        </x14:dataValidation>
        <x14:dataValidation type="list" allowBlank="1" showInputMessage="1" showErrorMessage="1" xr:uid="{011160B5-7FEA-422C-A217-73184BE64D16}">
          <x14:formula1>
            <xm:f>項目!C17:$QAE$262145</xm:f>
          </x14:formula1>
          <xm:sqref>QAM262151:QAM262174</xm:sqref>
        </x14:dataValidation>
        <x14:dataValidation type="list" allowBlank="1" showInputMessage="1" showErrorMessage="1" xr:uid="{B6722CC7-164D-4F0F-BBED-BCAB9978165C}">
          <x14:formula1>
            <xm:f>項目!C17:$QKA$262145</xm:f>
          </x14:formula1>
          <xm:sqref>QKI262151:QKI262174</xm:sqref>
        </x14:dataValidation>
        <x14:dataValidation type="list" allowBlank="1" showInputMessage="1" showErrorMessage="1" xr:uid="{4052BF43-1B70-43A6-8B02-47A3B27F4277}">
          <x14:formula1>
            <xm:f>項目!C17:$QTW$262145</xm:f>
          </x14:formula1>
          <xm:sqref>QUE262151:QUE262174</xm:sqref>
        </x14:dataValidation>
        <x14:dataValidation type="list" allowBlank="1" showInputMessage="1" showErrorMessage="1" xr:uid="{634F5A30-8B93-471A-B546-E60C4AEC45B4}">
          <x14:formula1>
            <xm:f>項目!C17:$RDS$262145</xm:f>
          </x14:formula1>
          <xm:sqref>REA262151:REA262174</xm:sqref>
        </x14:dataValidation>
        <x14:dataValidation type="list" allowBlank="1" showInputMessage="1" showErrorMessage="1" xr:uid="{4BC52ABD-AB3C-49B1-85D0-99A028E738AA}">
          <x14:formula1>
            <xm:f>項目!C17:$RNO$262145</xm:f>
          </x14:formula1>
          <xm:sqref>RNW262151:RNW262174</xm:sqref>
        </x14:dataValidation>
        <x14:dataValidation type="list" allowBlank="1" showInputMessage="1" showErrorMessage="1" xr:uid="{AAC8A671-8E34-4F5D-B21B-B20505F9E19C}">
          <x14:formula1>
            <xm:f>項目!C17:$RXK$262145</xm:f>
          </x14:formula1>
          <xm:sqref>RXS262151:RXS262174</xm:sqref>
        </x14:dataValidation>
        <x14:dataValidation type="list" allowBlank="1" showInputMessage="1" showErrorMessage="1" xr:uid="{9DBEB47F-4B2B-4732-9B26-FD131EC566BC}">
          <x14:formula1>
            <xm:f>項目!C17:$SHG$262145</xm:f>
          </x14:formula1>
          <xm:sqref>SHO262151:SHO262174</xm:sqref>
        </x14:dataValidation>
        <x14:dataValidation type="list" allowBlank="1" showInputMessage="1" showErrorMessage="1" xr:uid="{753B9578-C574-4255-B2D4-26E84A6C350C}">
          <x14:formula1>
            <xm:f>項目!C17:$SRC$262145</xm:f>
          </x14:formula1>
          <xm:sqref>SRK262151:SRK262174</xm:sqref>
        </x14:dataValidation>
        <x14:dataValidation type="list" allowBlank="1" showInputMessage="1" showErrorMessage="1" xr:uid="{FC1FE8AE-6F28-4CCE-86D4-D39F00A8A617}">
          <x14:formula1>
            <xm:f>項目!C17:$TAY$262145</xm:f>
          </x14:formula1>
          <xm:sqref>TBG262151:TBG262174</xm:sqref>
        </x14:dataValidation>
        <x14:dataValidation type="list" allowBlank="1" showInputMessage="1" showErrorMessage="1" xr:uid="{B55262AF-BE8D-40F1-98CD-17F7A7457855}">
          <x14:formula1>
            <xm:f>項目!C17:$TKU$262145</xm:f>
          </x14:formula1>
          <xm:sqref>TLC262151:TLC262174</xm:sqref>
        </x14:dataValidation>
        <x14:dataValidation type="list" allowBlank="1" showInputMessage="1" showErrorMessage="1" xr:uid="{D0181355-99FB-42AB-AFAA-C6276E86CF97}">
          <x14:formula1>
            <xm:f>項目!C17:$TUQ$262145</xm:f>
          </x14:formula1>
          <xm:sqref>TUY262151:TUY262174</xm:sqref>
        </x14:dataValidation>
        <x14:dataValidation type="list" allowBlank="1" showInputMessage="1" showErrorMessage="1" xr:uid="{108FD1E6-C591-44DA-9F06-3424464462EA}">
          <x14:formula1>
            <xm:f>項目!C17:$UEM$262145</xm:f>
          </x14:formula1>
          <xm:sqref>UEU262151:UEU262174</xm:sqref>
        </x14:dataValidation>
        <x14:dataValidation type="list" allowBlank="1" showInputMessage="1" showErrorMessage="1" xr:uid="{64922D59-FCD5-4FC4-8E41-5BBC507081FD}">
          <x14:formula1>
            <xm:f>項目!C17:$UOI$262145</xm:f>
          </x14:formula1>
          <xm:sqref>UOQ262151:UOQ262174</xm:sqref>
        </x14:dataValidation>
        <x14:dataValidation type="list" allowBlank="1" showInputMessage="1" showErrorMessage="1" xr:uid="{68036159-91F1-49E7-8343-E7DAE67D5528}">
          <x14:formula1>
            <xm:f>項目!C17:$UYE$262145</xm:f>
          </x14:formula1>
          <xm:sqref>UYM262151:UYM262174</xm:sqref>
        </x14:dataValidation>
        <x14:dataValidation type="list" allowBlank="1" showInputMessage="1" showErrorMessage="1" xr:uid="{1774AC51-426A-4BEB-841C-90D10A553D27}">
          <x14:formula1>
            <xm:f>項目!C17:$VIA$262145</xm:f>
          </x14:formula1>
          <xm:sqref>VII262151:VII262174</xm:sqref>
        </x14:dataValidation>
        <x14:dataValidation type="list" allowBlank="1" showInputMessage="1" showErrorMessage="1" xr:uid="{3989D5D8-8AC0-4747-BB93-7A413C1785D6}">
          <x14:formula1>
            <xm:f>項目!C17:$VRW$262145</xm:f>
          </x14:formula1>
          <xm:sqref>VSE262151:VSE262174</xm:sqref>
        </x14:dataValidation>
        <x14:dataValidation type="list" allowBlank="1" showInputMessage="1" showErrorMessage="1" xr:uid="{E63E931D-39D2-4B1C-A802-5C4DE674D666}">
          <x14:formula1>
            <xm:f>項目!C17:$WBS$262145</xm:f>
          </x14:formula1>
          <xm:sqref>WCA262151:WCA262174</xm:sqref>
        </x14:dataValidation>
        <x14:dataValidation type="list" allowBlank="1" showInputMessage="1" showErrorMessage="1" xr:uid="{566724D0-04B5-40F9-9AE9-18DE12DE485C}">
          <x14:formula1>
            <xm:f>項目!C17:$WLO$262145</xm:f>
          </x14:formula1>
          <xm:sqref>WLW262151:WLW262174</xm:sqref>
        </x14:dataValidation>
        <x14:dataValidation type="list" allowBlank="1" showInputMessage="1" showErrorMessage="1" xr:uid="{B2018CEE-7B3C-46BC-AA89-C5207D27F690}">
          <x14:formula1>
            <xm:f>項目!C17:$WVK$262145</xm:f>
          </x14:formula1>
          <xm:sqref>WVS262151:WVS262174</xm:sqref>
        </x14:dataValidation>
        <x14:dataValidation type="list" allowBlank="1" showInputMessage="1" showErrorMessage="1" xr:uid="{9E3C3288-9D95-4634-B19B-4370D7A2E4E8}">
          <x14:formula1>
            <xm:f>項目!C17:$IY$327681</xm:f>
          </x14:formula1>
          <xm:sqref>JG327687:JG327710</xm:sqref>
        </x14:dataValidation>
        <x14:dataValidation type="list" allowBlank="1" showInputMessage="1" showErrorMessage="1" xr:uid="{8B857C40-900E-48A6-BB45-51BB064BB72C}">
          <x14:formula1>
            <xm:f>項目!C17:$SU$327681</xm:f>
          </x14:formula1>
          <xm:sqref>TC327687:TC327710</xm:sqref>
        </x14:dataValidation>
        <x14:dataValidation type="list" allowBlank="1" showInputMessage="1" showErrorMessage="1" xr:uid="{DD4A927A-C707-414B-B639-3D831AAB5AA1}">
          <x14:formula1>
            <xm:f>項目!C17:$ACQ$327681</xm:f>
          </x14:formula1>
          <xm:sqref>ACY327687:ACY327710</xm:sqref>
        </x14:dataValidation>
        <x14:dataValidation type="list" allowBlank="1" showInputMessage="1" showErrorMessage="1" xr:uid="{EBC5E95B-45C3-4EBC-BB03-090BEB922683}">
          <x14:formula1>
            <xm:f>項目!C17:$AMM$327681</xm:f>
          </x14:formula1>
          <xm:sqref>AMU327687:AMU327710</xm:sqref>
        </x14:dataValidation>
        <x14:dataValidation type="list" allowBlank="1" showInputMessage="1" showErrorMessage="1" xr:uid="{8FDBF7B0-3733-4C40-8CD5-05767043374D}">
          <x14:formula1>
            <xm:f>項目!C17:$AWI$327681</xm:f>
          </x14:formula1>
          <xm:sqref>AWQ327687:AWQ327710</xm:sqref>
        </x14:dataValidation>
        <x14:dataValidation type="list" allowBlank="1" showInputMessage="1" showErrorMessage="1" xr:uid="{AF4C719E-2134-4BF3-BF87-AC47487434AE}">
          <x14:formula1>
            <xm:f>項目!C17:$BGE$327681</xm:f>
          </x14:formula1>
          <xm:sqref>BGM327687:BGM327710</xm:sqref>
        </x14:dataValidation>
        <x14:dataValidation type="list" allowBlank="1" showInputMessage="1" showErrorMessage="1" xr:uid="{FB1F403B-682E-4084-97C4-6EF3FC84ECD0}">
          <x14:formula1>
            <xm:f>項目!C17:$BQA$327681</xm:f>
          </x14:formula1>
          <xm:sqref>BQI327687:BQI327710</xm:sqref>
        </x14:dataValidation>
        <x14:dataValidation type="list" allowBlank="1" showInputMessage="1" showErrorMessage="1" xr:uid="{7729E581-3468-4D84-9F71-BABDD2DDED70}">
          <x14:formula1>
            <xm:f>項目!C17:$BZW$327681</xm:f>
          </x14:formula1>
          <xm:sqref>CAE327687:CAE327710</xm:sqref>
        </x14:dataValidation>
        <x14:dataValidation type="list" allowBlank="1" showInputMessage="1" showErrorMessage="1" xr:uid="{1A24D26E-A36C-4B4E-93DB-0F888E67EB1F}">
          <x14:formula1>
            <xm:f>項目!C17:$CJS$327681</xm:f>
          </x14:formula1>
          <xm:sqref>CKA327687:CKA327710</xm:sqref>
        </x14:dataValidation>
        <x14:dataValidation type="list" allowBlank="1" showInputMessage="1" showErrorMessage="1" xr:uid="{A739F38F-B872-49B1-B14F-8E1BC4E64E7A}">
          <x14:formula1>
            <xm:f>項目!C17:$CTO$327681</xm:f>
          </x14:formula1>
          <xm:sqref>CTW327687:CTW327710</xm:sqref>
        </x14:dataValidation>
        <x14:dataValidation type="list" allowBlank="1" showInputMessage="1" showErrorMessage="1" xr:uid="{ACDFB969-3106-42C0-9010-4147C5E96F84}">
          <x14:formula1>
            <xm:f>項目!C17:$DDK$327681</xm:f>
          </x14:formula1>
          <xm:sqref>DDS327687:DDS327710</xm:sqref>
        </x14:dataValidation>
        <x14:dataValidation type="list" allowBlank="1" showInputMessage="1" showErrorMessage="1" xr:uid="{D0191BA2-86F1-4B6B-851B-E6962CE4E47E}">
          <x14:formula1>
            <xm:f>項目!C17:$DNG$327681</xm:f>
          </x14:formula1>
          <xm:sqref>DNO327687:DNO327710</xm:sqref>
        </x14:dataValidation>
        <x14:dataValidation type="list" allowBlank="1" showInputMessage="1" showErrorMessage="1" xr:uid="{CBB8A108-DD24-4536-845C-C168ED4ACF53}">
          <x14:formula1>
            <xm:f>項目!C17:$DXC$327681</xm:f>
          </x14:formula1>
          <xm:sqref>DXK327687:DXK327710</xm:sqref>
        </x14:dataValidation>
        <x14:dataValidation type="list" allowBlank="1" showInputMessage="1" showErrorMessage="1" xr:uid="{B99F66C0-42B5-4DD0-A541-C4FE57634A34}">
          <x14:formula1>
            <xm:f>項目!C17:$EGY$327681</xm:f>
          </x14:formula1>
          <xm:sqref>EHG327687:EHG327710</xm:sqref>
        </x14:dataValidation>
        <x14:dataValidation type="list" allowBlank="1" showInputMessage="1" showErrorMessage="1" xr:uid="{EBE85834-98A0-4AF1-910F-75A52A53F7F3}">
          <x14:formula1>
            <xm:f>項目!C17:$EQU$327681</xm:f>
          </x14:formula1>
          <xm:sqref>ERC327687:ERC327710</xm:sqref>
        </x14:dataValidation>
        <x14:dataValidation type="list" allowBlank="1" showInputMessage="1" showErrorMessage="1" xr:uid="{FC8C4F22-881F-4B37-9B6F-710095CC68B0}">
          <x14:formula1>
            <xm:f>項目!C17:$FAQ$327681</xm:f>
          </x14:formula1>
          <xm:sqref>FAY327687:FAY327710</xm:sqref>
        </x14:dataValidation>
        <x14:dataValidation type="list" allowBlank="1" showInputMessage="1" showErrorMessage="1" xr:uid="{EFD57BC1-72C3-4C83-B26D-79D6CC23121C}">
          <x14:formula1>
            <xm:f>項目!C17:$FKM$327681</xm:f>
          </x14:formula1>
          <xm:sqref>FKU327687:FKU327710</xm:sqref>
        </x14:dataValidation>
        <x14:dataValidation type="list" allowBlank="1" showInputMessage="1" showErrorMessage="1" xr:uid="{10D82576-22CD-492F-A585-2EF62565E471}">
          <x14:formula1>
            <xm:f>項目!C17:$FUI$327681</xm:f>
          </x14:formula1>
          <xm:sqref>FUQ327687:FUQ327710</xm:sqref>
        </x14:dataValidation>
        <x14:dataValidation type="list" allowBlank="1" showInputMessage="1" showErrorMessage="1" xr:uid="{08C1BBD7-B368-407F-BEAB-AF3708C84899}">
          <x14:formula1>
            <xm:f>項目!C17:$GEE$327681</xm:f>
          </x14:formula1>
          <xm:sqref>GEM327687:GEM327710</xm:sqref>
        </x14:dataValidation>
        <x14:dataValidation type="list" allowBlank="1" showInputMessage="1" showErrorMessage="1" xr:uid="{8958DEED-943E-46D2-BCDE-4C0167B29F33}">
          <x14:formula1>
            <xm:f>項目!C17:$GOA$327681</xm:f>
          </x14:formula1>
          <xm:sqref>GOI327687:GOI327710</xm:sqref>
        </x14:dataValidation>
        <x14:dataValidation type="list" allowBlank="1" showInputMessage="1" showErrorMessage="1" xr:uid="{77665173-AEB3-481C-A49C-EF91E69E3124}">
          <x14:formula1>
            <xm:f>項目!C17:$GXW$327681</xm:f>
          </x14:formula1>
          <xm:sqref>GYE327687:GYE327710</xm:sqref>
        </x14:dataValidation>
        <x14:dataValidation type="list" allowBlank="1" showInputMessage="1" showErrorMessage="1" xr:uid="{5C265C6A-9307-4DF6-9D66-678571A61548}">
          <x14:formula1>
            <xm:f>項目!C17:$HHS$327681</xm:f>
          </x14:formula1>
          <xm:sqref>HIA327687:HIA327710</xm:sqref>
        </x14:dataValidation>
        <x14:dataValidation type="list" allowBlank="1" showInputMessage="1" showErrorMessage="1" xr:uid="{39D7A055-722B-4A5A-A79A-51A57525B618}">
          <x14:formula1>
            <xm:f>項目!C17:$HRO$327681</xm:f>
          </x14:formula1>
          <xm:sqref>HRW327687:HRW327710</xm:sqref>
        </x14:dataValidation>
        <x14:dataValidation type="list" allowBlank="1" showInputMessage="1" showErrorMessage="1" xr:uid="{3827D6F6-24DC-4890-9E14-F7F76C04D004}">
          <x14:formula1>
            <xm:f>項目!C17:$IBK$327681</xm:f>
          </x14:formula1>
          <xm:sqref>IBS327687:IBS327710</xm:sqref>
        </x14:dataValidation>
        <x14:dataValidation type="list" allowBlank="1" showInputMessage="1" showErrorMessage="1" xr:uid="{0934F3A1-942A-40A1-A6DF-E97C687EEBCF}">
          <x14:formula1>
            <xm:f>項目!C17:$ILG$327681</xm:f>
          </x14:formula1>
          <xm:sqref>ILO327687:ILO327710</xm:sqref>
        </x14:dataValidation>
        <x14:dataValidation type="list" allowBlank="1" showInputMessage="1" showErrorMessage="1" xr:uid="{82A79D30-304F-4668-A583-908180F26CE7}">
          <x14:formula1>
            <xm:f>項目!C17:$IVC$327681</xm:f>
          </x14:formula1>
          <xm:sqref>IVK327687:IVK327710</xm:sqref>
        </x14:dataValidation>
        <x14:dataValidation type="list" allowBlank="1" showInputMessage="1" showErrorMessage="1" xr:uid="{64C8A90B-B7E5-454C-AA6A-F72076815B8F}">
          <x14:formula1>
            <xm:f>項目!C17:$JEY$327681</xm:f>
          </x14:formula1>
          <xm:sqref>JFG327687:JFG327710</xm:sqref>
        </x14:dataValidation>
        <x14:dataValidation type="list" allowBlank="1" showInputMessage="1" showErrorMessage="1" xr:uid="{393D97F4-ACA6-495F-BBCA-134D455A6A56}">
          <x14:formula1>
            <xm:f>項目!C17:$JOU$327681</xm:f>
          </x14:formula1>
          <xm:sqref>JPC327687:JPC327710</xm:sqref>
        </x14:dataValidation>
        <x14:dataValidation type="list" allowBlank="1" showInputMessage="1" showErrorMessage="1" xr:uid="{9B4E01B4-24E9-4421-B185-0D38CCC5E45F}">
          <x14:formula1>
            <xm:f>項目!C17:$JYQ$327681</xm:f>
          </x14:formula1>
          <xm:sqref>JYY327687:JYY327710</xm:sqref>
        </x14:dataValidation>
        <x14:dataValidation type="list" allowBlank="1" showInputMessage="1" showErrorMessage="1" xr:uid="{9ED50F19-D10A-41F9-B690-BFFACE8E2AF1}">
          <x14:formula1>
            <xm:f>項目!C17:$KIM$327681</xm:f>
          </x14:formula1>
          <xm:sqref>KIU327687:KIU327710</xm:sqref>
        </x14:dataValidation>
        <x14:dataValidation type="list" allowBlank="1" showInputMessage="1" showErrorMessage="1" xr:uid="{47DA2FC1-0566-43AB-91DB-900FBE5C027B}">
          <x14:formula1>
            <xm:f>項目!C17:$KSI$327681</xm:f>
          </x14:formula1>
          <xm:sqref>KSQ327687:KSQ327710</xm:sqref>
        </x14:dataValidation>
        <x14:dataValidation type="list" allowBlank="1" showInputMessage="1" showErrorMessage="1" xr:uid="{9B5CDA00-E980-4F32-B2A3-C2B28E0E51AC}">
          <x14:formula1>
            <xm:f>項目!C17:$LCE$327681</xm:f>
          </x14:formula1>
          <xm:sqref>LCM327687:LCM327710</xm:sqref>
        </x14:dataValidation>
        <x14:dataValidation type="list" allowBlank="1" showInputMessage="1" showErrorMessage="1" xr:uid="{1BFCE11E-434B-4563-B6CB-B0DA3DC2B523}">
          <x14:formula1>
            <xm:f>項目!C17:$LMA$327681</xm:f>
          </x14:formula1>
          <xm:sqref>LMI327687:LMI327710</xm:sqref>
        </x14:dataValidation>
        <x14:dataValidation type="list" allowBlank="1" showInputMessage="1" showErrorMessage="1" xr:uid="{2191ED2C-6337-4979-BCB1-A7387C5B6744}">
          <x14:formula1>
            <xm:f>項目!C17:$LVW$327681</xm:f>
          </x14:formula1>
          <xm:sqref>LWE327687:LWE327710</xm:sqref>
        </x14:dataValidation>
        <x14:dataValidation type="list" allowBlank="1" showInputMessage="1" showErrorMessage="1" xr:uid="{5ADDD776-383E-4FEE-84DF-B8FD9D2AFB28}">
          <x14:formula1>
            <xm:f>項目!C17:$MFS$327681</xm:f>
          </x14:formula1>
          <xm:sqref>MGA327687:MGA327710</xm:sqref>
        </x14:dataValidation>
        <x14:dataValidation type="list" allowBlank="1" showInputMessage="1" showErrorMessage="1" xr:uid="{1E4181B1-AD6C-4578-B135-1D10841930FB}">
          <x14:formula1>
            <xm:f>項目!C17:$MPO$327681</xm:f>
          </x14:formula1>
          <xm:sqref>MPW327687:MPW327710</xm:sqref>
        </x14:dataValidation>
        <x14:dataValidation type="list" allowBlank="1" showInputMessage="1" showErrorMessage="1" xr:uid="{FFD999A9-18E6-4FD1-8D4A-3B73EEFA9A8F}">
          <x14:formula1>
            <xm:f>項目!C17:$MZK$327681</xm:f>
          </x14:formula1>
          <xm:sqref>MZS327687:MZS327710</xm:sqref>
        </x14:dataValidation>
        <x14:dataValidation type="list" allowBlank="1" showInputMessage="1" showErrorMessage="1" xr:uid="{FE938A49-3265-4052-8FB0-C8081599CA08}">
          <x14:formula1>
            <xm:f>項目!C17:$NJG$327681</xm:f>
          </x14:formula1>
          <xm:sqref>NJO327687:NJO327710</xm:sqref>
        </x14:dataValidation>
        <x14:dataValidation type="list" allowBlank="1" showInputMessage="1" showErrorMessage="1" xr:uid="{B8B21E44-AADE-43B3-93B7-B600ADF41749}">
          <x14:formula1>
            <xm:f>項目!C17:$NTC$327681</xm:f>
          </x14:formula1>
          <xm:sqref>NTK327687:NTK327710</xm:sqref>
        </x14:dataValidation>
        <x14:dataValidation type="list" allowBlank="1" showInputMessage="1" showErrorMessage="1" xr:uid="{9174C426-E323-4416-8BA9-A26D8DD69595}">
          <x14:formula1>
            <xm:f>項目!C17:$OCY$327681</xm:f>
          </x14:formula1>
          <xm:sqref>ODG327687:ODG327710</xm:sqref>
        </x14:dataValidation>
        <x14:dataValidation type="list" allowBlank="1" showInputMessage="1" showErrorMessage="1" xr:uid="{9D4DFA83-853E-4A16-B880-179B8D20F007}">
          <x14:formula1>
            <xm:f>項目!C17:$OMU$327681</xm:f>
          </x14:formula1>
          <xm:sqref>ONC327687:ONC327710</xm:sqref>
        </x14:dataValidation>
        <x14:dataValidation type="list" allowBlank="1" showInputMessage="1" showErrorMessage="1" xr:uid="{CDBA20FF-3BE4-4DAA-A084-7DD42ABF3336}">
          <x14:formula1>
            <xm:f>項目!C17:$OWQ$327681</xm:f>
          </x14:formula1>
          <xm:sqref>OWY327687:OWY327710</xm:sqref>
        </x14:dataValidation>
        <x14:dataValidation type="list" allowBlank="1" showInputMessage="1" showErrorMessage="1" xr:uid="{76CAD1A9-3B91-4FBB-B068-252E8ADA613B}">
          <x14:formula1>
            <xm:f>項目!C17:$PGM$327681</xm:f>
          </x14:formula1>
          <xm:sqref>PGU327687:PGU327710</xm:sqref>
        </x14:dataValidation>
        <x14:dataValidation type="list" allowBlank="1" showInputMessage="1" showErrorMessage="1" xr:uid="{A85605C6-9F34-4052-AC16-12B8185DA733}">
          <x14:formula1>
            <xm:f>項目!C17:$PQI$327681</xm:f>
          </x14:formula1>
          <xm:sqref>PQQ327687:PQQ327710</xm:sqref>
        </x14:dataValidation>
        <x14:dataValidation type="list" allowBlank="1" showInputMessage="1" showErrorMessage="1" xr:uid="{612863E3-4398-42F5-B497-F951A54756FB}">
          <x14:formula1>
            <xm:f>項目!C17:$QAE$327681</xm:f>
          </x14:formula1>
          <xm:sqref>QAM327687:QAM327710</xm:sqref>
        </x14:dataValidation>
        <x14:dataValidation type="list" allowBlank="1" showInputMessage="1" showErrorMessage="1" xr:uid="{6C61A461-7A33-453F-8A2C-78A499572C33}">
          <x14:formula1>
            <xm:f>項目!C17:$QKA$327681</xm:f>
          </x14:formula1>
          <xm:sqref>QKI327687:QKI327710</xm:sqref>
        </x14:dataValidation>
        <x14:dataValidation type="list" allowBlank="1" showInputMessage="1" showErrorMessage="1" xr:uid="{909F9FBC-5B62-4223-8A0F-AC101E4F2F27}">
          <x14:formula1>
            <xm:f>項目!C17:$QTW$327681</xm:f>
          </x14:formula1>
          <xm:sqref>QUE327687:QUE327710</xm:sqref>
        </x14:dataValidation>
        <x14:dataValidation type="list" allowBlank="1" showInputMessage="1" showErrorMessage="1" xr:uid="{10F562A2-A243-405D-BE18-0E63311FAA0E}">
          <x14:formula1>
            <xm:f>項目!C17:$RDS$327681</xm:f>
          </x14:formula1>
          <xm:sqref>REA327687:REA327710</xm:sqref>
        </x14:dataValidation>
        <x14:dataValidation type="list" allowBlank="1" showInputMessage="1" showErrorMessage="1" xr:uid="{6C1CFB5A-04CE-40F6-95C8-61F5DEC69B58}">
          <x14:formula1>
            <xm:f>項目!C17:$RNO$327681</xm:f>
          </x14:formula1>
          <xm:sqref>RNW327687:RNW327710</xm:sqref>
        </x14:dataValidation>
        <x14:dataValidation type="list" allowBlank="1" showInputMessage="1" showErrorMessage="1" xr:uid="{3C7A7C17-8B1A-41C7-A043-8764CFB69A35}">
          <x14:formula1>
            <xm:f>項目!C17:$RXK$327681</xm:f>
          </x14:formula1>
          <xm:sqref>RXS327687:RXS327710</xm:sqref>
        </x14:dataValidation>
        <x14:dataValidation type="list" allowBlank="1" showInputMessage="1" showErrorMessage="1" xr:uid="{99774EAF-1BAF-4548-AD16-90D530928D65}">
          <x14:formula1>
            <xm:f>項目!C17:$SHG$327681</xm:f>
          </x14:formula1>
          <xm:sqref>SHO327687:SHO327710</xm:sqref>
        </x14:dataValidation>
        <x14:dataValidation type="list" allowBlank="1" showInputMessage="1" showErrorMessage="1" xr:uid="{9B716FE2-2657-4473-BFF7-670F57B34878}">
          <x14:formula1>
            <xm:f>項目!C17:$SRC$327681</xm:f>
          </x14:formula1>
          <xm:sqref>SRK327687:SRK327710</xm:sqref>
        </x14:dataValidation>
        <x14:dataValidation type="list" allowBlank="1" showInputMessage="1" showErrorMessage="1" xr:uid="{7543BCDD-E067-4FDE-B32E-A23C365386A7}">
          <x14:formula1>
            <xm:f>項目!C17:$TAY$327681</xm:f>
          </x14:formula1>
          <xm:sqref>TBG327687:TBG327710</xm:sqref>
        </x14:dataValidation>
        <x14:dataValidation type="list" allowBlank="1" showInputMessage="1" showErrorMessage="1" xr:uid="{B4198C84-D230-4540-A98D-1E5980E23D5C}">
          <x14:formula1>
            <xm:f>項目!C17:$TKU$327681</xm:f>
          </x14:formula1>
          <xm:sqref>TLC327687:TLC327710</xm:sqref>
        </x14:dataValidation>
        <x14:dataValidation type="list" allowBlank="1" showInputMessage="1" showErrorMessage="1" xr:uid="{D4566743-F020-4EEA-B5AA-16838B5C094C}">
          <x14:formula1>
            <xm:f>項目!C17:$TUQ$327681</xm:f>
          </x14:formula1>
          <xm:sqref>TUY327687:TUY327710</xm:sqref>
        </x14:dataValidation>
        <x14:dataValidation type="list" allowBlank="1" showInputMessage="1" showErrorMessage="1" xr:uid="{061645DF-FC9B-4D42-8FDE-8B616EE30E3A}">
          <x14:formula1>
            <xm:f>項目!C17:$UEM$327681</xm:f>
          </x14:formula1>
          <xm:sqref>UEU327687:UEU327710</xm:sqref>
        </x14:dataValidation>
        <x14:dataValidation type="list" allowBlank="1" showInputMessage="1" showErrorMessage="1" xr:uid="{E0E01B02-B7E3-4CC1-81F5-E2A81D7DD1DE}">
          <x14:formula1>
            <xm:f>項目!C17:$UOI$327681</xm:f>
          </x14:formula1>
          <xm:sqref>UOQ327687:UOQ327710</xm:sqref>
        </x14:dataValidation>
        <x14:dataValidation type="list" allowBlank="1" showInputMessage="1" showErrorMessage="1" xr:uid="{9B4518D0-A4FB-4BA7-88F4-C1303904F49B}">
          <x14:formula1>
            <xm:f>項目!C17:$UYE$327681</xm:f>
          </x14:formula1>
          <xm:sqref>UYM327687:UYM327710</xm:sqref>
        </x14:dataValidation>
        <x14:dataValidation type="list" allowBlank="1" showInputMessage="1" showErrorMessage="1" xr:uid="{6AA772BB-42AC-4809-B87C-B419524DDEFE}">
          <x14:formula1>
            <xm:f>項目!C17:$VIA$327681</xm:f>
          </x14:formula1>
          <xm:sqref>VII327687:VII327710</xm:sqref>
        </x14:dataValidation>
        <x14:dataValidation type="list" allowBlank="1" showInputMessage="1" showErrorMessage="1" xr:uid="{AB442B6D-FF2D-4B61-BCA3-FBB34839130F}">
          <x14:formula1>
            <xm:f>項目!C17:$VRW$327681</xm:f>
          </x14:formula1>
          <xm:sqref>VSE327687:VSE327710</xm:sqref>
        </x14:dataValidation>
        <x14:dataValidation type="list" allowBlank="1" showInputMessage="1" showErrorMessage="1" xr:uid="{3A53ECE3-EA78-4F08-AC87-5368EB750E4C}">
          <x14:formula1>
            <xm:f>項目!C17:$WBS$327681</xm:f>
          </x14:formula1>
          <xm:sqref>WCA327687:WCA327710</xm:sqref>
        </x14:dataValidation>
        <x14:dataValidation type="list" allowBlank="1" showInputMessage="1" showErrorMessage="1" xr:uid="{2E589DD6-EB81-4252-A519-AF90DA88CE4B}">
          <x14:formula1>
            <xm:f>項目!C17:$WLO$327681</xm:f>
          </x14:formula1>
          <xm:sqref>WLW327687:WLW327710</xm:sqref>
        </x14:dataValidation>
        <x14:dataValidation type="list" allowBlank="1" showInputMessage="1" showErrorMessage="1" xr:uid="{04228988-74B7-47D3-94FA-BB5505F08C2C}">
          <x14:formula1>
            <xm:f>項目!C17:$WVK$327681</xm:f>
          </x14:formula1>
          <xm:sqref>WVS327687:WVS327710</xm:sqref>
        </x14:dataValidation>
        <x14:dataValidation type="list" allowBlank="1" showInputMessage="1" showErrorMessage="1" xr:uid="{DE8A5F4E-C33B-4EC8-9DB8-43BFD26E7F57}">
          <x14:formula1>
            <xm:f>項目!C17:$IY$393217</xm:f>
          </x14:formula1>
          <xm:sqref>JG393223:JG393246</xm:sqref>
        </x14:dataValidation>
        <x14:dataValidation type="list" allowBlank="1" showInputMessage="1" showErrorMessage="1" xr:uid="{AD019B82-5C7C-4FFC-8A64-9232046F5ADB}">
          <x14:formula1>
            <xm:f>項目!C17:$SU$393217</xm:f>
          </x14:formula1>
          <xm:sqref>TC393223:TC393246</xm:sqref>
        </x14:dataValidation>
        <x14:dataValidation type="list" allowBlank="1" showInputMessage="1" showErrorMessage="1" xr:uid="{F0498C67-F300-42C9-A3B0-1AAB0591D721}">
          <x14:formula1>
            <xm:f>項目!C17:$ACQ$393217</xm:f>
          </x14:formula1>
          <xm:sqref>ACY393223:ACY393246</xm:sqref>
        </x14:dataValidation>
        <x14:dataValidation type="list" allowBlank="1" showInputMessage="1" showErrorMessage="1" xr:uid="{E7B36C6A-DF24-4E65-BC9A-B63FF3899DCF}">
          <x14:formula1>
            <xm:f>項目!C17:$AMM$393217</xm:f>
          </x14:formula1>
          <xm:sqref>AMU393223:AMU393246</xm:sqref>
        </x14:dataValidation>
        <x14:dataValidation type="list" allowBlank="1" showInputMessage="1" showErrorMessage="1" xr:uid="{E9AFC181-DEF1-4C88-BC3B-DF2BB656B9BF}">
          <x14:formula1>
            <xm:f>項目!C17:$AWI$393217</xm:f>
          </x14:formula1>
          <xm:sqref>AWQ393223:AWQ393246</xm:sqref>
        </x14:dataValidation>
        <x14:dataValidation type="list" allowBlank="1" showInputMessage="1" showErrorMessage="1" xr:uid="{264AA480-E1EF-400D-BAA2-7347EC41F55F}">
          <x14:formula1>
            <xm:f>項目!C17:$BGE$393217</xm:f>
          </x14:formula1>
          <xm:sqref>BGM393223:BGM393246</xm:sqref>
        </x14:dataValidation>
        <x14:dataValidation type="list" allowBlank="1" showInputMessage="1" showErrorMessage="1" xr:uid="{0E8B5AB0-EB87-4DEA-BFC0-89DAFB2E1BFF}">
          <x14:formula1>
            <xm:f>項目!C17:$BQA$393217</xm:f>
          </x14:formula1>
          <xm:sqref>BQI393223:BQI393246</xm:sqref>
        </x14:dataValidation>
        <x14:dataValidation type="list" allowBlank="1" showInputMessage="1" showErrorMessage="1" xr:uid="{97C1AFEC-B595-47A1-930F-AE677EE770C7}">
          <x14:formula1>
            <xm:f>項目!C17:$BZW$393217</xm:f>
          </x14:formula1>
          <xm:sqref>CAE393223:CAE393246</xm:sqref>
        </x14:dataValidation>
        <x14:dataValidation type="list" allowBlank="1" showInputMessage="1" showErrorMessage="1" xr:uid="{279654B3-393D-44E4-9CBF-E994EF8346E7}">
          <x14:formula1>
            <xm:f>項目!C17:$CJS$393217</xm:f>
          </x14:formula1>
          <xm:sqref>CKA393223:CKA393246</xm:sqref>
        </x14:dataValidation>
        <x14:dataValidation type="list" allowBlank="1" showInputMessage="1" showErrorMessage="1" xr:uid="{90D37EF4-4120-4AB2-99DA-77CE05A13CC5}">
          <x14:formula1>
            <xm:f>項目!C17:$CTO$393217</xm:f>
          </x14:formula1>
          <xm:sqref>CTW393223:CTW393246</xm:sqref>
        </x14:dataValidation>
        <x14:dataValidation type="list" allowBlank="1" showInputMessage="1" showErrorMessage="1" xr:uid="{B07FCCD4-E9E6-4727-9A0D-65FFB61250D9}">
          <x14:formula1>
            <xm:f>項目!C17:$DDK$393217</xm:f>
          </x14:formula1>
          <xm:sqref>DDS393223:DDS393246</xm:sqref>
        </x14:dataValidation>
        <x14:dataValidation type="list" allowBlank="1" showInputMessage="1" showErrorMessage="1" xr:uid="{C9363F75-9355-46C2-9A43-B6C33202E971}">
          <x14:formula1>
            <xm:f>項目!C17:$DNG$393217</xm:f>
          </x14:formula1>
          <xm:sqref>DNO393223:DNO393246</xm:sqref>
        </x14:dataValidation>
        <x14:dataValidation type="list" allowBlank="1" showInputMessage="1" showErrorMessage="1" xr:uid="{6632C3FF-F0D1-4EE4-A55E-4998C5B78F50}">
          <x14:formula1>
            <xm:f>項目!C17:$DXC$393217</xm:f>
          </x14:formula1>
          <xm:sqref>DXK393223:DXK393246</xm:sqref>
        </x14:dataValidation>
        <x14:dataValidation type="list" allowBlank="1" showInputMessage="1" showErrorMessage="1" xr:uid="{7E851382-677A-4695-A23A-D97836D35C89}">
          <x14:formula1>
            <xm:f>項目!C17:$EGY$393217</xm:f>
          </x14:formula1>
          <xm:sqref>EHG393223:EHG393246</xm:sqref>
        </x14:dataValidation>
        <x14:dataValidation type="list" allowBlank="1" showInputMessage="1" showErrorMessage="1" xr:uid="{1EF8FEF7-5189-40D3-AAD0-7634D0A2BCF3}">
          <x14:formula1>
            <xm:f>項目!C17:$EQU$393217</xm:f>
          </x14:formula1>
          <xm:sqref>ERC393223:ERC393246</xm:sqref>
        </x14:dataValidation>
        <x14:dataValidation type="list" allowBlank="1" showInputMessage="1" showErrorMessage="1" xr:uid="{6B5C97DE-BE0E-4D7A-AD8C-78F7A39B5B41}">
          <x14:formula1>
            <xm:f>項目!C17:$FAQ$393217</xm:f>
          </x14:formula1>
          <xm:sqref>FAY393223:FAY393246</xm:sqref>
        </x14:dataValidation>
        <x14:dataValidation type="list" allowBlank="1" showInputMessage="1" showErrorMessage="1" xr:uid="{67DA02D2-8422-4B0B-B0C6-8476D73E9F20}">
          <x14:formula1>
            <xm:f>項目!C17:$FKM$393217</xm:f>
          </x14:formula1>
          <xm:sqref>FKU393223:FKU393246</xm:sqref>
        </x14:dataValidation>
        <x14:dataValidation type="list" allowBlank="1" showInputMessage="1" showErrorMessage="1" xr:uid="{A9207147-2036-4A8F-8BED-B202B2F27A87}">
          <x14:formula1>
            <xm:f>項目!C17:$FUI$393217</xm:f>
          </x14:formula1>
          <xm:sqref>FUQ393223:FUQ393246</xm:sqref>
        </x14:dataValidation>
        <x14:dataValidation type="list" allowBlank="1" showInputMessage="1" showErrorMessage="1" xr:uid="{4FF29CFB-59FF-47D4-9991-E4B3EE33BE3C}">
          <x14:formula1>
            <xm:f>項目!C17:$GEE$393217</xm:f>
          </x14:formula1>
          <xm:sqref>GEM393223:GEM393246</xm:sqref>
        </x14:dataValidation>
        <x14:dataValidation type="list" allowBlank="1" showInputMessage="1" showErrorMessage="1" xr:uid="{0724F29F-4BAD-40E7-BD93-48ACB14D3314}">
          <x14:formula1>
            <xm:f>項目!C17:$GOA$393217</xm:f>
          </x14:formula1>
          <xm:sqref>GOI393223:GOI393246</xm:sqref>
        </x14:dataValidation>
        <x14:dataValidation type="list" allowBlank="1" showInputMessage="1" showErrorMessage="1" xr:uid="{C437EAC5-2FC1-455F-8320-51F54302D566}">
          <x14:formula1>
            <xm:f>項目!C17:$GXW$393217</xm:f>
          </x14:formula1>
          <xm:sqref>GYE393223:GYE393246</xm:sqref>
        </x14:dataValidation>
        <x14:dataValidation type="list" allowBlank="1" showInputMessage="1" showErrorMessage="1" xr:uid="{837C6244-CAAC-4A5D-9228-B385AB34AC7A}">
          <x14:formula1>
            <xm:f>項目!C17:$HHS$393217</xm:f>
          </x14:formula1>
          <xm:sqref>HIA393223:HIA393246</xm:sqref>
        </x14:dataValidation>
        <x14:dataValidation type="list" allowBlank="1" showInputMessage="1" showErrorMessage="1" xr:uid="{BFE2C39D-F077-4F7F-A63E-63037A891C04}">
          <x14:formula1>
            <xm:f>項目!C17:$HRO$393217</xm:f>
          </x14:formula1>
          <xm:sqref>HRW393223:HRW393246</xm:sqref>
        </x14:dataValidation>
        <x14:dataValidation type="list" allowBlank="1" showInputMessage="1" showErrorMessage="1" xr:uid="{1309B2CF-6FEE-4D88-9EA3-3DF149AE13C6}">
          <x14:formula1>
            <xm:f>項目!C17:$IBK$393217</xm:f>
          </x14:formula1>
          <xm:sqref>IBS393223:IBS393246</xm:sqref>
        </x14:dataValidation>
        <x14:dataValidation type="list" allowBlank="1" showInputMessage="1" showErrorMessage="1" xr:uid="{F628AFA8-A2D8-4848-9F63-522EB03D58EF}">
          <x14:formula1>
            <xm:f>項目!C17:$ILG$393217</xm:f>
          </x14:formula1>
          <xm:sqref>ILO393223:ILO393246</xm:sqref>
        </x14:dataValidation>
        <x14:dataValidation type="list" allowBlank="1" showInputMessage="1" showErrorMessage="1" xr:uid="{582A4E8C-E158-4D35-B308-C60C1F755BD4}">
          <x14:formula1>
            <xm:f>項目!C17:$IVC$393217</xm:f>
          </x14:formula1>
          <xm:sqref>IVK393223:IVK393246</xm:sqref>
        </x14:dataValidation>
        <x14:dataValidation type="list" allowBlank="1" showInputMessage="1" showErrorMessage="1" xr:uid="{716925FD-A58C-4535-AC9C-AE09474109DC}">
          <x14:formula1>
            <xm:f>項目!C17:$JEY$393217</xm:f>
          </x14:formula1>
          <xm:sqref>JFG393223:JFG393246</xm:sqref>
        </x14:dataValidation>
        <x14:dataValidation type="list" allowBlank="1" showInputMessage="1" showErrorMessage="1" xr:uid="{78C24AD5-3C2B-4CBD-9F08-1F36594BC7D9}">
          <x14:formula1>
            <xm:f>項目!C17:$JOU$393217</xm:f>
          </x14:formula1>
          <xm:sqref>JPC393223:JPC393246</xm:sqref>
        </x14:dataValidation>
        <x14:dataValidation type="list" allowBlank="1" showInputMessage="1" showErrorMessage="1" xr:uid="{A61F185E-8166-490F-9880-3C82DBFC8C3E}">
          <x14:formula1>
            <xm:f>項目!C17:$JYQ$393217</xm:f>
          </x14:formula1>
          <xm:sqref>JYY393223:JYY393246</xm:sqref>
        </x14:dataValidation>
        <x14:dataValidation type="list" allowBlank="1" showInputMessage="1" showErrorMessage="1" xr:uid="{A6544583-7604-41AE-A553-37EC56675A8E}">
          <x14:formula1>
            <xm:f>項目!C17:$KIM$393217</xm:f>
          </x14:formula1>
          <xm:sqref>KIU393223:KIU393246</xm:sqref>
        </x14:dataValidation>
        <x14:dataValidation type="list" allowBlank="1" showInputMessage="1" showErrorMessage="1" xr:uid="{7E267572-4D0D-4AB0-81C9-4093BD905F77}">
          <x14:formula1>
            <xm:f>項目!C17:$KSI$393217</xm:f>
          </x14:formula1>
          <xm:sqref>KSQ393223:KSQ393246</xm:sqref>
        </x14:dataValidation>
        <x14:dataValidation type="list" allowBlank="1" showInputMessage="1" showErrorMessage="1" xr:uid="{A9129E44-A78B-41E2-A451-939FEA094425}">
          <x14:formula1>
            <xm:f>項目!C17:$LCE$393217</xm:f>
          </x14:formula1>
          <xm:sqref>LCM393223:LCM393246</xm:sqref>
        </x14:dataValidation>
        <x14:dataValidation type="list" allowBlank="1" showInputMessage="1" showErrorMessage="1" xr:uid="{294239F8-CE69-48A5-8561-1B8BE83FA4DA}">
          <x14:formula1>
            <xm:f>項目!C17:$LMA$393217</xm:f>
          </x14:formula1>
          <xm:sqref>LMI393223:LMI393246</xm:sqref>
        </x14:dataValidation>
        <x14:dataValidation type="list" allowBlank="1" showInputMessage="1" showErrorMessage="1" xr:uid="{109D58C3-BBB2-49F1-B4EE-A5E854A4D88B}">
          <x14:formula1>
            <xm:f>項目!C17:$LVW$393217</xm:f>
          </x14:formula1>
          <xm:sqref>LWE393223:LWE393246</xm:sqref>
        </x14:dataValidation>
        <x14:dataValidation type="list" allowBlank="1" showInputMessage="1" showErrorMessage="1" xr:uid="{87AD20A1-E6A8-4C74-8C13-53C39643FA9F}">
          <x14:formula1>
            <xm:f>項目!C17:$MFS$393217</xm:f>
          </x14:formula1>
          <xm:sqref>MGA393223:MGA393246</xm:sqref>
        </x14:dataValidation>
        <x14:dataValidation type="list" allowBlank="1" showInputMessage="1" showErrorMessage="1" xr:uid="{7442C13C-E42F-4238-B12F-9221C12C8C3A}">
          <x14:formula1>
            <xm:f>項目!C17:$MPO$393217</xm:f>
          </x14:formula1>
          <xm:sqref>MPW393223:MPW393246</xm:sqref>
        </x14:dataValidation>
        <x14:dataValidation type="list" allowBlank="1" showInputMessage="1" showErrorMessage="1" xr:uid="{FCDD422D-D606-40B1-9C82-B882602ACEBA}">
          <x14:formula1>
            <xm:f>項目!C17:$MZK$393217</xm:f>
          </x14:formula1>
          <xm:sqref>MZS393223:MZS393246</xm:sqref>
        </x14:dataValidation>
        <x14:dataValidation type="list" allowBlank="1" showInputMessage="1" showErrorMessage="1" xr:uid="{D991B80A-F7D2-474C-A653-642FDEDDC770}">
          <x14:formula1>
            <xm:f>項目!C17:$NJG$393217</xm:f>
          </x14:formula1>
          <xm:sqref>NJO393223:NJO393246</xm:sqref>
        </x14:dataValidation>
        <x14:dataValidation type="list" allowBlank="1" showInputMessage="1" showErrorMessage="1" xr:uid="{4818A9CF-D2C4-43CC-A537-F6946E71A607}">
          <x14:formula1>
            <xm:f>項目!C17:$NTC$393217</xm:f>
          </x14:formula1>
          <xm:sqref>NTK393223:NTK393246</xm:sqref>
        </x14:dataValidation>
        <x14:dataValidation type="list" allowBlank="1" showInputMessage="1" showErrorMessage="1" xr:uid="{C081647A-A887-4D94-A170-6205837F9140}">
          <x14:formula1>
            <xm:f>項目!C17:$OCY$393217</xm:f>
          </x14:formula1>
          <xm:sqref>ODG393223:ODG393246</xm:sqref>
        </x14:dataValidation>
        <x14:dataValidation type="list" allowBlank="1" showInputMessage="1" showErrorMessage="1" xr:uid="{26DA59D1-CD0C-4C48-9DCE-A8AE6E139752}">
          <x14:formula1>
            <xm:f>項目!C17:$OMU$393217</xm:f>
          </x14:formula1>
          <xm:sqref>ONC393223:ONC393246</xm:sqref>
        </x14:dataValidation>
        <x14:dataValidation type="list" allowBlank="1" showInputMessage="1" showErrorMessage="1" xr:uid="{D65B904F-D2CA-47A0-95E0-81325F6E734E}">
          <x14:formula1>
            <xm:f>項目!C17:$OWQ$393217</xm:f>
          </x14:formula1>
          <xm:sqref>OWY393223:OWY393246</xm:sqref>
        </x14:dataValidation>
        <x14:dataValidation type="list" allowBlank="1" showInputMessage="1" showErrorMessage="1" xr:uid="{1CA83AD4-CC3F-4514-8CBA-7244CBA4A0DD}">
          <x14:formula1>
            <xm:f>項目!C17:$PGM$393217</xm:f>
          </x14:formula1>
          <xm:sqref>PGU393223:PGU393246</xm:sqref>
        </x14:dataValidation>
        <x14:dataValidation type="list" allowBlank="1" showInputMessage="1" showErrorMessage="1" xr:uid="{85EE7FE6-D0D8-45C1-B2C4-759BD1C05168}">
          <x14:formula1>
            <xm:f>項目!C17:$PQI$393217</xm:f>
          </x14:formula1>
          <xm:sqref>PQQ393223:PQQ393246</xm:sqref>
        </x14:dataValidation>
        <x14:dataValidation type="list" allowBlank="1" showInputMessage="1" showErrorMessage="1" xr:uid="{2BD5AD4F-845E-40D9-8D4D-0AF8E3467840}">
          <x14:formula1>
            <xm:f>項目!C17:$QAE$393217</xm:f>
          </x14:formula1>
          <xm:sqref>QAM393223:QAM393246</xm:sqref>
        </x14:dataValidation>
        <x14:dataValidation type="list" allowBlank="1" showInputMessage="1" showErrorMessage="1" xr:uid="{1A4BCCD5-F5FC-4926-8E31-18ED1854034E}">
          <x14:formula1>
            <xm:f>項目!C17:$QKA$393217</xm:f>
          </x14:formula1>
          <xm:sqref>QKI393223:QKI393246</xm:sqref>
        </x14:dataValidation>
        <x14:dataValidation type="list" allowBlank="1" showInputMessage="1" showErrorMessage="1" xr:uid="{9834508A-932A-46E5-97F2-907C50E7121A}">
          <x14:formula1>
            <xm:f>項目!C17:$QTW$393217</xm:f>
          </x14:formula1>
          <xm:sqref>QUE393223:QUE393246</xm:sqref>
        </x14:dataValidation>
        <x14:dataValidation type="list" allowBlank="1" showInputMessage="1" showErrorMessage="1" xr:uid="{04402101-1E8F-4A2C-A876-CAAD795C7C93}">
          <x14:formula1>
            <xm:f>項目!C17:$RDS$393217</xm:f>
          </x14:formula1>
          <xm:sqref>REA393223:REA393246</xm:sqref>
        </x14:dataValidation>
        <x14:dataValidation type="list" allowBlank="1" showInputMessage="1" showErrorMessage="1" xr:uid="{60F5C9C9-0C1D-4ABA-909A-F385A6A6546F}">
          <x14:formula1>
            <xm:f>項目!C17:$RNO$393217</xm:f>
          </x14:formula1>
          <xm:sqref>RNW393223:RNW393246</xm:sqref>
        </x14:dataValidation>
        <x14:dataValidation type="list" allowBlank="1" showInputMessage="1" showErrorMessage="1" xr:uid="{E0B1F714-55A0-41CF-9059-CC5133625DAD}">
          <x14:formula1>
            <xm:f>項目!C17:$RXK$393217</xm:f>
          </x14:formula1>
          <xm:sqref>RXS393223:RXS393246</xm:sqref>
        </x14:dataValidation>
        <x14:dataValidation type="list" allowBlank="1" showInputMessage="1" showErrorMessage="1" xr:uid="{A9755B77-FACD-4D5C-9BA8-698A90619616}">
          <x14:formula1>
            <xm:f>項目!C17:$SHG$393217</xm:f>
          </x14:formula1>
          <xm:sqref>SHO393223:SHO393246</xm:sqref>
        </x14:dataValidation>
        <x14:dataValidation type="list" allowBlank="1" showInputMessage="1" showErrorMessage="1" xr:uid="{5ECE1552-2087-4C62-8C8D-C6B5D61FAB0F}">
          <x14:formula1>
            <xm:f>項目!C17:$SRC$393217</xm:f>
          </x14:formula1>
          <xm:sqref>SRK393223:SRK393246</xm:sqref>
        </x14:dataValidation>
        <x14:dataValidation type="list" allowBlank="1" showInputMessage="1" showErrorMessage="1" xr:uid="{217CDB6A-5442-4D68-A292-5044BB688A6F}">
          <x14:formula1>
            <xm:f>項目!C17:$TAY$393217</xm:f>
          </x14:formula1>
          <xm:sqref>TBG393223:TBG393246</xm:sqref>
        </x14:dataValidation>
        <x14:dataValidation type="list" allowBlank="1" showInputMessage="1" showErrorMessage="1" xr:uid="{ADE76939-87B8-4C48-BE61-B67E9B8CF002}">
          <x14:formula1>
            <xm:f>項目!C17:$TKU$393217</xm:f>
          </x14:formula1>
          <xm:sqref>TLC393223:TLC393246</xm:sqref>
        </x14:dataValidation>
        <x14:dataValidation type="list" allowBlank="1" showInputMessage="1" showErrorMessage="1" xr:uid="{64988124-A1CE-4E2C-957C-747E23631B0A}">
          <x14:formula1>
            <xm:f>項目!C17:$TUQ$393217</xm:f>
          </x14:formula1>
          <xm:sqref>TUY393223:TUY393246</xm:sqref>
        </x14:dataValidation>
        <x14:dataValidation type="list" allowBlank="1" showInputMessage="1" showErrorMessage="1" xr:uid="{B29884F0-8916-4F10-8529-03E0AAD1CFD3}">
          <x14:formula1>
            <xm:f>項目!C17:$UEM$393217</xm:f>
          </x14:formula1>
          <xm:sqref>UEU393223:UEU393246</xm:sqref>
        </x14:dataValidation>
        <x14:dataValidation type="list" allowBlank="1" showInputMessage="1" showErrorMessage="1" xr:uid="{033693F0-465D-4FB0-A7E3-1A927E47DB2D}">
          <x14:formula1>
            <xm:f>項目!C17:$UOI$393217</xm:f>
          </x14:formula1>
          <xm:sqref>UOQ393223:UOQ393246</xm:sqref>
        </x14:dataValidation>
        <x14:dataValidation type="list" allowBlank="1" showInputMessage="1" showErrorMessage="1" xr:uid="{B31DE13C-0207-4013-944A-AAE9579FE50A}">
          <x14:formula1>
            <xm:f>項目!C17:$UYE$393217</xm:f>
          </x14:formula1>
          <xm:sqref>UYM393223:UYM393246</xm:sqref>
        </x14:dataValidation>
        <x14:dataValidation type="list" allowBlank="1" showInputMessage="1" showErrorMessage="1" xr:uid="{CF0F1799-270E-4053-9CB0-C9CFA32A83E8}">
          <x14:formula1>
            <xm:f>項目!C17:$VIA$393217</xm:f>
          </x14:formula1>
          <xm:sqref>VII393223:VII393246</xm:sqref>
        </x14:dataValidation>
        <x14:dataValidation type="list" allowBlank="1" showInputMessage="1" showErrorMessage="1" xr:uid="{B29C1F0F-8322-49C5-9384-2A80B5F4A01A}">
          <x14:formula1>
            <xm:f>項目!C17:$VRW$393217</xm:f>
          </x14:formula1>
          <xm:sqref>VSE393223:VSE393246</xm:sqref>
        </x14:dataValidation>
        <x14:dataValidation type="list" allowBlank="1" showInputMessage="1" showErrorMessage="1" xr:uid="{F76D5787-95E8-4ED2-A0CE-C6935FCBB5CD}">
          <x14:formula1>
            <xm:f>項目!C17:$WBS$393217</xm:f>
          </x14:formula1>
          <xm:sqref>WCA393223:WCA393246</xm:sqref>
        </x14:dataValidation>
        <x14:dataValidation type="list" allowBlank="1" showInputMessage="1" showErrorMessage="1" xr:uid="{55345CEE-8EF6-432A-92AD-DBB2C7AA4689}">
          <x14:formula1>
            <xm:f>項目!C17:$WLO$393217</xm:f>
          </x14:formula1>
          <xm:sqref>WLW393223:WLW393246</xm:sqref>
        </x14:dataValidation>
        <x14:dataValidation type="list" allowBlank="1" showInputMessage="1" showErrorMessage="1" xr:uid="{8B078273-72D4-4F5B-B0B3-F7DB38324A89}">
          <x14:formula1>
            <xm:f>項目!C17:$WVK$393217</xm:f>
          </x14:formula1>
          <xm:sqref>WVS393223:WVS393246</xm:sqref>
        </x14:dataValidation>
        <x14:dataValidation type="list" allowBlank="1" showInputMessage="1" showErrorMessage="1" xr:uid="{735ECB57-3DF8-4DA0-964A-3278D461C6C5}">
          <x14:formula1>
            <xm:f>項目!C17:$IY$458753</xm:f>
          </x14:formula1>
          <xm:sqref>JG458759:JG458782</xm:sqref>
        </x14:dataValidation>
        <x14:dataValidation type="list" allowBlank="1" showInputMessage="1" showErrorMessage="1" xr:uid="{0927B366-3DF3-4805-9EF2-8194B70DBBF0}">
          <x14:formula1>
            <xm:f>項目!C17:$SU$458753</xm:f>
          </x14:formula1>
          <xm:sqref>TC458759:TC458782</xm:sqref>
        </x14:dataValidation>
        <x14:dataValidation type="list" allowBlank="1" showInputMessage="1" showErrorMessage="1" xr:uid="{1F93E648-11D6-4B5D-92C0-D611DF62830B}">
          <x14:formula1>
            <xm:f>項目!C17:$ACQ$458753</xm:f>
          </x14:formula1>
          <xm:sqref>ACY458759:ACY458782</xm:sqref>
        </x14:dataValidation>
        <x14:dataValidation type="list" allowBlank="1" showInputMessage="1" showErrorMessage="1" xr:uid="{E74CA92E-D49F-443E-A119-88AE23817F90}">
          <x14:formula1>
            <xm:f>項目!C17:$AMM$458753</xm:f>
          </x14:formula1>
          <xm:sqref>AMU458759:AMU458782</xm:sqref>
        </x14:dataValidation>
        <x14:dataValidation type="list" allowBlank="1" showInputMessage="1" showErrorMessage="1" xr:uid="{9880B507-44DB-4BCD-B2DB-9ECC30125D57}">
          <x14:formula1>
            <xm:f>項目!C17:$AWI$458753</xm:f>
          </x14:formula1>
          <xm:sqref>AWQ458759:AWQ458782</xm:sqref>
        </x14:dataValidation>
        <x14:dataValidation type="list" allowBlank="1" showInputMessage="1" showErrorMessage="1" xr:uid="{FB6DA260-3F44-4968-908A-7256422A208C}">
          <x14:formula1>
            <xm:f>項目!C17:$BGE$458753</xm:f>
          </x14:formula1>
          <xm:sqref>BGM458759:BGM458782</xm:sqref>
        </x14:dataValidation>
        <x14:dataValidation type="list" allowBlank="1" showInputMessage="1" showErrorMessage="1" xr:uid="{C7533E8E-4918-413B-9185-75209ECB4FB4}">
          <x14:formula1>
            <xm:f>項目!C17:$BQA$458753</xm:f>
          </x14:formula1>
          <xm:sqref>BQI458759:BQI458782</xm:sqref>
        </x14:dataValidation>
        <x14:dataValidation type="list" allowBlank="1" showInputMessage="1" showErrorMessage="1" xr:uid="{DCD720CB-38CC-4097-B74D-81D2D542942E}">
          <x14:formula1>
            <xm:f>項目!C17:$BZW$458753</xm:f>
          </x14:formula1>
          <xm:sqref>CAE458759:CAE458782</xm:sqref>
        </x14:dataValidation>
        <x14:dataValidation type="list" allowBlank="1" showInputMessage="1" showErrorMessage="1" xr:uid="{1389D731-CBBA-4D9F-B5A4-0DF2D12A6031}">
          <x14:formula1>
            <xm:f>項目!C17:$CJS$458753</xm:f>
          </x14:formula1>
          <xm:sqref>CKA458759:CKA458782</xm:sqref>
        </x14:dataValidation>
        <x14:dataValidation type="list" allowBlank="1" showInputMessage="1" showErrorMessage="1" xr:uid="{2484791D-8F10-40BA-A652-6A802F9C1E5C}">
          <x14:formula1>
            <xm:f>項目!C17:$CTO$458753</xm:f>
          </x14:formula1>
          <xm:sqref>CTW458759:CTW458782</xm:sqref>
        </x14:dataValidation>
        <x14:dataValidation type="list" allowBlank="1" showInputMessage="1" showErrorMessage="1" xr:uid="{702057B6-C165-4441-8E4F-8AB301606A68}">
          <x14:formula1>
            <xm:f>項目!C17:$DDK$458753</xm:f>
          </x14:formula1>
          <xm:sqref>DDS458759:DDS458782</xm:sqref>
        </x14:dataValidation>
        <x14:dataValidation type="list" allowBlank="1" showInputMessage="1" showErrorMessage="1" xr:uid="{49BF4B5D-0699-4091-A0EB-D5D6030A0057}">
          <x14:formula1>
            <xm:f>項目!C17:$DNG$458753</xm:f>
          </x14:formula1>
          <xm:sqref>DNO458759:DNO458782</xm:sqref>
        </x14:dataValidation>
        <x14:dataValidation type="list" allowBlank="1" showInputMessage="1" showErrorMessage="1" xr:uid="{865035B3-2121-4054-A2DB-5F1F0F6424DD}">
          <x14:formula1>
            <xm:f>項目!C17:$DXC$458753</xm:f>
          </x14:formula1>
          <xm:sqref>DXK458759:DXK458782</xm:sqref>
        </x14:dataValidation>
        <x14:dataValidation type="list" allowBlank="1" showInputMessage="1" showErrorMessage="1" xr:uid="{D1D52E21-166E-47F3-8F3F-971888D18D30}">
          <x14:formula1>
            <xm:f>項目!C17:$EGY$458753</xm:f>
          </x14:formula1>
          <xm:sqref>EHG458759:EHG458782</xm:sqref>
        </x14:dataValidation>
        <x14:dataValidation type="list" allowBlank="1" showInputMessage="1" showErrorMessage="1" xr:uid="{8A1BDBAA-6F8F-4D83-A285-AB8E2D3540EC}">
          <x14:formula1>
            <xm:f>項目!C17:$EQU$458753</xm:f>
          </x14:formula1>
          <xm:sqref>ERC458759:ERC458782</xm:sqref>
        </x14:dataValidation>
        <x14:dataValidation type="list" allowBlank="1" showInputMessage="1" showErrorMessage="1" xr:uid="{9D0429B4-7F0F-49F8-BD67-FAB7004B6C20}">
          <x14:formula1>
            <xm:f>項目!C17:$FAQ$458753</xm:f>
          </x14:formula1>
          <xm:sqref>FAY458759:FAY458782</xm:sqref>
        </x14:dataValidation>
        <x14:dataValidation type="list" allowBlank="1" showInputMessage="1" showErrorMessage="1" xr:uid="{96161C2A-424D-4E5A-B100-D34111F56651}">
          <x14:formula1>
            <xm:f>項目!C17:$FKM$458753</xm:f>
          </x14:formula1>
          <xm:sqref>FKU458759:FKU458782</xm:sqref>
        </x14:dataValidation>
        <x14:dataValidation type="list" allowBlank="1" showInputMessage="1" showErrorMessage="1" xr:uid="{929AFA73-D565-4A71-8388-D418D42D9D35}">
          <x14:formula1>
            <xm:f>項目!C17:$FUI$458753</xm:f>
          </x14:formula1>
          <xm:sqref>FUQ458759:FUQ458782</xm:sqref>
        </x14:dataValidation>
        <x14:dataValidation type="list" allowBlank="1" showInputMessage="1" showErrorMessage="1" xr:uid="{23096B3E-21F1-4E60-B823-976100E3085C}">
          <x14:formula1>
            <xm:f>項目!C17:$GEE$458753</xm:f>
          </x14:formula1>
          <xm:sqref>GEM458759:GEM458782</xm:sqref>
        </x14:dataValidation>
        <x14:dataValidation type="list" allowBlank="1" showInputMessage="1" showErrorMessage="1" xr:uid="{0A39B76D-BD8B-42B0-B05F-FE3E2566D360}">
          <x14:formula1>
            <xm:f>項目!C17:$GOA$458753</xm:f>
          </x14:formula1>
          <xm:sqref>GOI458759:GOI458782</xm:sqref>
        </x14:dataValidation>
        <x14:dataValidation type="list" allowBlank="1" showInputMessage="1" showErrorMessage="1" xr:uid="{BDAE76A4-AC38-477A-A911-0C0A0FE6E24E}">
          <x14:formula1>
            <xm:f>項目!C17:$GXW$458753</xm:f>
          </x14:formula1>
          <xm:sqref>GYE458759:GYE458782</xm:sqref>
        </x14:dataValidation>
        <x14:dataValidation type="list" allowBlank="1" showInputMessage="1" showErrorMessage="1" xr:uid="{F90B17AE-2890-48D7-A270-2B504953C7F2}">
          <x14:formula1>
            <xm:f>項目!C17:$HHS$458753</xm:f>
          </x14:formula1>
          <xm:sqref>HIA458759:HIA458782</xm:sqref>
        </x14:dataValidation>
        <x14:dataValidation type="list" allowBlank="1" showInputMessage="1" showErrorMessage="1" xr:uid="{A66AADF1-7DC1-4221-BAFB-F424C447B1E5}">
          <x14:formula1>
            <xm:f>項目!C17:$HRO$458753</xm:f>
          </x14:formula1>
          <xm:sqref>HRW458759:HRW458782</xm:sqref>
        </x14:dataValidation>
        <x14:dataValidation type="list" allowBlank="1" showInputMessage="1" showErrorMessage="1" xr:uid="{CB40D672-A0ED-41A5-B74C-7CD4A2604760}">
          <x14:formula1>
            <xm:f>項目!C17:$IBK$458753</xm:f>
          </x14:formula1>
          <xm:sqref>IBS458759:IBS458782</xm:sqref>
        </x14:dataValidation>
        <x14:dataValidation type="list" allowBlank="1" showInputMessage="1" showErrorMessage="1" xr:uid="{343ACDEE-8C5E-446E-8AB0-0ACC404F5130}">
          <x14:formula1>
            <xm:f>項目!C17:$ILG$458753</xm:f>
          </x14:formula1>
          <xm:sqref>ILO458759:ILO458782</xm:sqref>
        </x14:dataValidation>
        <x14:dataValidation type="list" allowBlank="1" showInputMessage="1" showErrorMessage="1" xr:uid="{0986F67B-5E5A-4833-8FCB-BE9A37E9ECD6}">
          <x14:formula1>
            <xm:f>項目!C17:$IVC$458753</xm:f>
          </x14:formula1>
          <xm:sqref>IVK458759:IVK458782</xm:sqref>
        </x14:dataValidation>
        <x14:dataValidation type="list" allowBlank="1" showInputMessage="1" showErrorMessage="1" xr:uid="{69573F96-959F-448C-BD76-D254CB24404E}">
          <x14:formula1>
            <xm:f>項目!C17:$JEY$458753</xm:f>
          </x14:formula1>
          <xm:sqref>JFG458759:JFG458782</xm:sqref>
        </x14:dataValidation>
        <x14:dataValidation type="list" allowBlank="1" showInputMessage="1" showErrorMessage="1" xr:uid="{E7EFFDA2-8D1B-4E8B-89D5-B240DD9AA8D6}">
          <x14:formula1>
            <xm:f>項目!C17:$JOU$458753</xm:f>
          </x14:formula1>
          <xm:sqref>JPC458759:JPC458782</xm:sqref>
        </x14:dataValidation>
        <x14:dataValidation type="list" allowBlank="1" showInputMessage="1" showErrorMessage="1" xr:uid="{CF9912C4-4092-486D-8A4C-9BF14BAD5E93}">
          <x14:formula1>
            <xm:f>項目!C17:$JYQ$458753</xm:f>
          </x14:formula1>
          <xm:sqref>JYY458759:JYY458782</xm:sqref>
        </x14:dataValidation>
        <x14:dataValidation type="list" allowBlank="1" showInputMessage="1" showErrorMessage="1" xr:uid="{F4CC20D1-98DE-4FAB-B39B-9EFC2B1D41A3}">
          <x14:formula1>
            <xm:f>項目!C17:$KIM$458753</xm:f>
          </x14:formula1>
          <xm:sqref>KIU458759:KIU458782</xm:sqref>
        </x14:dataValidation>
        <x14:dataValidation type="list" allowBlank="1" showInputMessage="1" showErrorMessage="1" xr:uid="{17587C20-B043-45B0-A3DE-DF31A47041A1}">
          <x14:formula1>
            <xm:f>項目!C17:$KSI$458753</xm:f>
          </x14:formula1>
          <xm:sqref>KSQ458759:KSQ458782</xm:sqref>
        </x14:dataValidation>
        <x14:dataValidation type="list" allowBlank="1" showInputMessage="1" showErrorMessage="1" xr:uid="{76ABAC26-7520-42FC-B977-E1E66AA19D5A}">
          <x14:formula1>
            <xm:f>項目!C17:$LCE$458753</xm:f>
          </x14:formula1>
          <xm:sqref>LCM458759:LCM458782</xm:sqref>
        </x14:dataValidation>
        <x14:dataValidation type="list" allowBlank="1" showInputMessage="1" showErrorMessage="1" xr:uid="{17F2BA6D-69DF-4911-B062-C3EE932F8DC8}">
          <x14:formula1>
            <xm:f>項目!C17:$LMA$458753</xm:f>
          </x14:formula1>
          <xm:sqref>LMI458759:LMI458782</xm:sqref>
        </x14:dataValidation>
        <x14:dataValidation type="list" allowBlank="1" showInputMessage="1" showErrorMessage="1" xr:uid="{D041A23D-35EE-41AE-BB41-768B47C54EB8}">
          <x14:formula1>
            <xm:f>項目!C17:$LVW$458753</xm:f>
          </x14:formula1>
          <xm:sqref>LWE458759:LWE458782</xm:sqref>
        </x14:dataValidation>
        <x14:dataValidation type="list" allowBlank="1" showInputMessage="1" showErrorMessage="1" xr:uid="{7ADA9566-05C7-4ECF-9E11-AD4FE694D265}">
          <x14:formula1>
            <xm:f>項目!C17:$MFS$458753</xm:f>
          </x14:formula1>
          <xm:sqref>MGA458759:MGA458782</xm:sqref>
        </x14:dataValidation>
        <x14:dataValidation type="list" allowBlank="1" showInputMessage="1" showErrorMessage="1" xr:uid="{78D28297-4C16-4E3D-9268-1A2650048559}">
          <x14:formula1>
            <xm:f>項目!C17:$MPO$458753</xm:f>
          </x14:formula1>
          <xm:sqref>MPW458759:MPW458782</xm:sqref>
        </x14:dataValidation>
        <x14:dataValidation type="list" allowBlank="1" showInputMessage="1" showErrorMessage="1" xr:uid="{DB3F2049-4997-4E5A-A478-F42E6760E56B}">
          <x14:formula1>
            <xm:f>項目!C17:$MZK$458753</xm:f>
          </x14:formula1>
          <xm:sqref>MZS458759:MZS458782</xm:sqref>
        </x14:dataValidation>
        <x14:dataValidation type="list" allowBlank="1" showInputMessage="1" showErrorMessage="1" xr:uid="{9731200A-4D5A-47C3-9CED-296148415685}">
          <x14:formula1>
            <xm:f>項目!C17:$NJG$458753</xm:f>
          </x14:formula1>
          <xm:sqref>NJO458759:NJO458782</xm:sqref>
        </x14:dataValidation>
        <x14:dataValidation type="list" allowBlank="1" showInputMessage="1" showErrorMessage="1" xr:uid="{D611452E-3BA1-4521-86BA-8F0DEA6B3F82}">
          <x14:formula1>
            <xm:f>項目!C17:$NTC$458753</xm:f>
          </x14:formula1>
          <xm:sqref>NTK458759:NTK458782</xm:sqref>
        </x14:dataValidation>
        <x14:dataValidation type="list" allowBlank="1" showInputMessage="1" showErrorMessage="1" xr:uid="{1934BE40-5288-4503-9A65-8450D0BA3B7C}">
          <x14:formula1>
            <xm:f>項目!C17:$OCY$458753</xm:f>
          </x14:formula1>
          <xm:sqref>ODG458759:ODG458782</xm:sqref>
        </x14:dataValidation>
        <x14:dataValidation type="list" allowBlank="1" showInputMessage="1" showErrorMessage="1" xr:uid="{C86D5202-F887-4A51-BBDF-B7D0371FB733}">
          <x14:formula1>
            <xm:f>項目!C17:$OMU$458753</xm:f>
          </x14:formula1>
          <xm:sqref>ONC458759:ONC458782</xm:sqref>
        </x14:dataValidation>
        <x14:dataValidation type="list" allowBlank="1" showInputMessage="1" showErrorMessage="1" xr:uid="{D969E3ED-FAD4-4231-8401-445396018CCF}">
          <x14:formula1>
            <xm:f>項目!C17:$OWQ$458753</xm:f>
          </x14:formula1>
          <xm:sqref>OWY458759:OWY458782</xm:sqref>
        </x14:dataValidation>
        <x14:dataValidation type="list" allowBlank="1" showInputMessage="1" showErrorMessage="1" xr:uid="{95D72C75-906E-44DA-BE33-94A48BACAC23}">
          <x14:formula1>
            <xm:f>項目!C17:$PGM$458753</xm:f>
          </x14:formula1>
          <xm:sqref>PGU458759:PGU458782</xm:sqref>
        </x14:dataValidation>
        <x14:dataValidation type="list" allowBlank="1" showInputMessage="1" showErrorMessage="1" xr:uid="{83DBA9BD-2B83-40FF-B5BB-8A36B825EFAD}">
          <x14:formula1>
            <xm:f>項目!C17:$PQI$458753</xm:f>
          </x14:formula1>
          <xm:sqref>PQQ458759:PQQ458782</xm:sqref>
        </x14:dataValidation>
        <x14:dataValidation type="list" allowBlank="1" showInputMessage="1" showErrorMessage="1" xr:uid="{0600D640-9647-49E2-91C9-69D8A89E96B5}">
          <x14:formula1>
            <xm:f>項目!C17:$QAE$458753</xm:f>
          </x14:formula1>
          <xm:sqref>QAM458759:QAM458782</xm:sqref>
        </x14:dataValidation>
        <x14:dataValidation type="list" allowBlank="1" showInputMessage="1" showErrorMessage="1" xr:uid="{00B4D932-5F1C-4B46-8181-B99629316936}">
          <x14:formula1>
            <xm:f>項目!C17:$QKA$458753</xm:f>
          </x14:formula1>
          <xm:sqref>QKI458759:QKI458782</xm:sqref>
        </x14:dataValidation>
        <x14:dataValidation type="list" allowBlank="1" showInputMessage="1" showErrorMessage="1" xr:uid="{6F0A4167-8713-4C6C-97F1-F34E9B72C106}">
          <x14:formula1>
            <xm:f>項目!C17:$QTW$458753</xm:f>
          </x14:formula1>
          <xm:sqref>QUE458759:QUE458782</xm:sqref>
        </x14:dataValidation>
        <x14:dataValidation type="list" allowBlank="1" showInputMessage="1" showErrorMessage="1" xr:uid="{9FE163DD-C221-4DAE-9CD4-25D9F5A3FBA7}">
          <x14:formula1>
            <xm:f>項目!C17:$RDS$458753</xm:f>
          </x14:formula1>
          <xm:sqref>REA458759:REA458782</xm:sqref>
        </x14:dataValidation>
        <x14:dataValidation type="list" allowBlank="1" showInputMessage="1" showErrorMessage="1" xr:uid="{F0069F95-4926-4A82-BFDE-4938048398C6}">
          <x14:formula1>
            <xm:f>項目!C17:$RNO$458753</xm:f>
          </x14:formula1>
          <xm:sqref>RNW458759:RNW458782</xm:sqref>
        </x14:dataValidation>
        <x14:dataValidation type="list" allowBlank="1" showInputMessage="1" showErrorMessage="1" xr:uid="{006C84FA-083C-42D8-B578-D76E47BAE854}">
          <x14:formula1>
            <xm:f>項目!C17:$RXK$458753</xm:f>
          </x14:formula1>
          <xm:sqref>RXS458759:RXS458782</xm:sqref>
        </x14:dataValidation>
        <x14:dataValidation type="list" allowBlank="1" showInputMessage="1" showErrorMessage="1" xr:uid="{E8EFE700-2B6C-45B2-A8CB-A82AFCC6DD7F}">
          <x14:formula1>
            <xm:f>項目!C17:$SHG$458753</xm:f>
          </x14:formula1>
          <xm:sqref>SHO458759:SHO458782</xm:sqref>
        </x14:dataValidation>
        <x14:dataValidation type="list" allowBlank="1" showInputMessage="1" showErrorMessage="1" xr:uid="{095C225F-7D7F-43CB-8C77-B85733B95D3C}">
          <x14:formula1>
            <xm:f>項目!C17:$SRC$458753</xm:f>
          </x14:formula1>
          <xm:sqref>SRK458759:SRK458782</xm:sqref>
        </x14:dataValidation>
        <x14:dataValidation type="list" allowBlank="1" showInputMessage="1" showErrorMessage="1" xr:uid="{2795DFF9-0BEA-47C8-A467-ADB334744598}">
          <x14:formula1>
            <xm:f>項目!C17:$TAY$458753</xm:f>
          </x14:formula1>
          <xm:sqref>TBG458759:TBG458782</xm:sqref>
        </x14:dataValidation>
        <x14:dataValidation type="list" allowBlank="1" showInputMessage="1" showErrorMessage="1" xr:uid="{DA84179D-620B-4024-B22C-E18ABC222E25}">
          <x14:formula1>
            <xm:f>項目!C17:$TKU$458753</xm:f>
          </x14:formula1>
          <xm:sqref>TLC458759:TLC458782</xm:sqref>
        </x14:dataValidation>
        <x14:dataValidation type="list" allowBlank="1" showInputMessage="1" showErrorMessage="1" xr:uid="{C4211D93-BC18-45B3-A2E7-201F1F0EBFCD}">
          <x14:formula1>
            <xm:f>項目!C17:$TUQ$458753</xm:f>
          </x14:formula1>
          <xm:sqref>TUY458759:TUY458782</xm:sqref>
        </x14:dataValidation>
        <x14:dataValidation type="list" allowBlank="1" showInputMessage="1" showErrorMessage="1" xr:uid="{21A6166B-69C5-418B-A275-C9813AFF1046}">
          <x14:formula1>
            <xm:f>項目!C17:$UEM$458753</xm:f>
          </x14:formula1>
          <xm:sqref>UEU458759:UEU458782</xm:sqref>
        </x14:dataValidation>
        <x14:dataValidation type="list" allowBlank="1" showInputMessage="1" showErrorMessage="1" xr:uid="{8B4F9046-6FB4-4F65-A23C-2BE159377828}">
          <x14:formula1>
            <xm:f>項目!C17:$UOI$458753</xm:f>
          </x14:formula1>
          <xm:sqref>UOQ458759:UOQ458782</xm:sqref>
        </x14:dataValidation>
        <x14:dataValidation type="list" allowBlank="1" showInputMessage="1" showErrorMessage="1" xr:uid="{74531202-8FCA-4896-948B-6251C270ED6B}">
          <x14:formula1>
            <xm:f>項目!C17:$UYE$458753</xm:f>
          </x14:formula1>
          <xm:sqref>UYM458759:UYM458782</xm:sqref>
        </x14:dataValidation>
        <x14:dataValidation type="list" allowBlank="1" showInputMessage="1" showErrorMessage="1" xr:uid="{B04F64A9-8443-48BD-8056-EDFBC92B2D41}">
          <x14:formula1>
            <xm:f>項目!C17:$VIA$458753</xm:f>
          </x14:formula1>
          <xm:sqref>VII458759:VII458782</xm:sqref>
        </x14:dataValidation>
        <x14:dataValidation type="list" allowBlank="1" showInputMessage="1" showErrorMessage="1" xr:uid="{E55A6555-504D-4FDA-B8E1-650557FBFD6A}">
          <x14:formula1>
            <xm:f>項目!C17:$VRW$458753</xm:f>
          </x14:formula1>
          <xm:sqref>VSE458759:VSE458782</xm:sqref>
        </x14:dataValidation>
        <x14:dataValidation type="list" allowBlank="1" showInputMessage="1" showErrorMessage="1" xr:uid="{55394627-383E-4E04-97EF-F15350E9B72E}">
          <x14:formula1>
            <xm:f>項目!C17:$WBS$458753</xm:f>
          </x14:formula1>
          <xm:sqref>WCA458759:WCA458782</xm:sqref>
        </x14:dataValidation>
        <x14:dataValidation type="list" allowBlank="1" showInputMessage="1" showErrorMessage="1" xr:uid="{46B823C3-0CA3-4FCB-BBA9-12D383E89D5E}">
          <x14:formula1>
            <xm:f>項目!C17:$WLO$458753</xm:f>
          </x14:formula1>
          <xm:sqref>WLW458759:WLW458782</xm:sqref>
        </x14:dataValidation>
        <x14:dataValidation type="list" allowBlank="1" showInputMessage="1" showErrorMessage="1" xr:uid="{5AAAC6D2-6FCA-48F6-B9B4-105084918210}">
          <x14:formula1>
            <xm:f>項目!C17:$WVK$458753</xm:f>
          </x14:formula1>
          <xm:sqref>WVS458759:WVS458782</xm:sqref>
        </x14:dataValidation>
        <x14:dataValidation type="list" allowBlank="1" showInputMessage="1" showErrorMessage="1" xr:uid="{BCDE059F-B874-4DDE-93B1-24251D4C4E1F}">
          <x14:formula1>
            <xm:f>項目!C17:$IY$524289</xm:f>
          </x14:formula1>
          <xm:sqref>JG524295:JG524318</xm:sqref>
        </x14:dataValidation>
        <x14:dataValidation type="list" allowBlank="1" showInputMessage="1" showErrorMessage="1" xr:uid="{04E99BE8-555F-487B-985C-D91181AAF531}">
          <x14:formula1>
            <xm:f>項目!C17:$SU$524289</xm:f>
          </x14:formula1>
          <xm:sqref>TC524295:TC524318</xm:sqref>
        </x14:dataValidation>
        <x14:dataValidation type="list" allowBlank="1" showInputMessage="1" showErrorMessage="1" xr:uid="{84EA200F-B51F-4512-90E6-5DB2175ADD4F}">
          <x14:formula1>
            <xm:f>項目!C17:$ACQ$524289</xm:f>
          </x14:formula1>
          <xm:sqref>ACY524295:ACY524318</xm:sqref>
        </x14:dataValidation>
        <x14:dataValidation type="list" allowBlank="1" showInputMessage="1" showErrorMessage="1" xr:uid="{026F1E6B-7B68-4912-9DE6-320DD18E570E}">
          <x14:formula1>
            <xm:f>項目!C17:$AMM$524289</xm:f>
          </x14:formula1>
          <xm:sqref>AMU524295:AMU524318</xm:sqref>
        </x14:dataValidation>
        <x14:dataValidation type="list" allowBlank="1" showInputMessage="1" showErrorMessage="1" xr:uid="{84BC0688-32FE-47E4-942A-AAF9728DEA3D}">
          <x14:formula1>
            <xm:f>項目!C17:$AWI$524289</xm:f>
          </x14:formula1>
          <xm:sqref>AWQ524295:AWQ524318</xm:sqref>
        </x14:dataValidation>
        <x14:dataValidation type="list" allowBlank="1" showInputMessage="1" showErrorMessage="1" xr:uid="{8941DBA7-77CB-4EEE-AAA6-B53B16A6CDC8}">
          <x14:formula1>
            <xm:f>項目!C17:$BGE$524289</xm:f>
          </x14:formula1>
          <xm:sqref>BGM524295:BGM524318</xm:sqref>
        </x14:dataValidation>
        <x14:dataValidation type="list" allowBlank="1" showInputMessage="1" showErrorMessage="1" xr:uid="{CF229404-D50E-43A8-851B-AC42C7B30C2C}">
          <x14:formula1>
            <xm:f>項目!C17:$BQA$524289</xm:f>
          </x14:formula1>
          <xm:sqref>BQI524295:BQI524318</xm:sqref>
        </x14:dataValidation>
        <x14:dataValidation type="list" allowBlank="1" showInputMessage="1" showErrorMessage="1" xr:uid="{F236CC58-BE39-43D1-80F3-BFE973F9D989}">
          <x14:formula1>
            <xm:f>項目!C17:$BZW$524289</xm:f>
          </x14:formula1>
          <xm:sqref>CAE524295:CAE524318</xm:sqref>
        </x14:dataValidation>
        <x14:dataValidation type="list" allowBlank="1" showInputMessage="1" showErrorMessage="1" xr:uid="{8F07CB11-88C8-45E3-BB2C-8AE9C522B8A5}">
          <x14:formula1>
            <xm:f>項目!C17:$CJS$524289</xm:f>
          </x14:formula1>
          <xm:sqref>CKA524295:CKA524318</xm:sqref>
        </x14:dataValidation>
        <x14:dataValidation type="list" allowBlank="1" showInputMessage="1" showErrorMessage="1" xr:uid="{C62EAA00-FDD9-4768-8821-90016BBE4E87}">
          <x14:formula1>
            <xm:f>項目!C17:$CTO$524289</xm:f>
          </x14:formula1>
          <xm:sqref>CTW524295:CTW524318</xm:sqref>
        </x14:dataValidation>
        <x14:dataValidation type="list" allowBlank="1" showInputMessage="1" showErrorMessage="1" xr:uid="{E6BB0F1D-E4D3-45D1-A20D-EE5A78811874}">
          <x14:formula1>
            <xm:f>項目!C17:$DDK$524289</xm:f>
          </x14:formula1>
          <xm:sqref>DDS524295:DDS524318</xm:sqref>
        </x14:dataValidation>
        <x14:dataValidation type="list" allowBlank="1" showInputMessage="1" showErrorMessage="1" xr:uid="{AA15001A-9134-4876-938F-DA4CAC286E97}">
          <x14:formula1>
            <xm:f>項目!C17:$DNG$524289</xm:f>
          </x14:formula1>
          <xm:sqref>DNO524295:DNO524318</xm:sqref>
        </x14:dataValidation>
        <x14:dataValidation type="list" allowBlank="1" showInputMessage="1" showErrorMessage="1" xr:uid="{9B8E0074-3C96-44E3-97C3-58E4D8C296EB}">
          <x14:formula1>
            <xm:f>項目!C17:$DXC$524289</xm:f>
          </x14:formula1>
          <xm:sqref>DXK524295:DXK524318</xm:sqref>
        </x14:dataValidation>
        <x14:dataValidation type="list" allowBlank="1" showInputMessage="1" showErrorMessage="1" xr:uid="{57AB41B7-4500-4E6B-8BD4-71A931ACE387}">
          <x14:formula1>
            <xm:f>項目!C17:$EGY$524289</xm:f>
          </x14:formula1>
          <xm:sqref>EHG524295:EHG524318</xm:sqref>
        </x14:dataValidation>
        <x14:dataValidation type="list" allowBlank="1" showInputMessage="1" showErrorMessage="1" xr:uid="{667499E1-5CA1-44E2-A201-6EAEC00A951F}">
          <x14:formula1>
            <xm:f>項目!C17:$EQU$524289</xm:f>
          </x14:formula1>
          <xm:sqref>ERC524295:ERC524318</xm:sqref>
        </x14:dataValidation>
        <x14:dataValidation type="list" allowBlank="1" showInputMessage="1" showErrorMessage="1" xr:uid="{727A92AF-E1E0-4E49-9DC7-B00C6051F395}">
          <x14:formula1>
            <xm:f>項目!C17:$FAQ$524289</xm:f>
          </x14:formula1>
          <xm:sqref>FAY524295:FAY524318</xm:sqref>
        </x14:dataValidation>
        <x14:dataValidation type="list" allowBlank="1" showInputMessage="1" showErrorMessage="1" xr:uid="{219E361A-AA10-416E-86E3-ABB32E9C7948}">
          <x14:formula1>
            <xm:f>項目!C17:$FKM$524289</xm:f>
          </x14:formula1>
          <xm:sqref>FKU524295:FKU524318</xm:sqref>
        </x14:dataValidation>
        <x14:dataValidation type="list" allowBlank="1" showInputMessage="1" showErrorMessage="1" xr:uid="{5CF7034F-EDE0-4EF3-9312-531211313C0B}">
          <x14:formula1>
            <xm:f>項目!C17:$FUI$524289</xm:f>
          </x14:formula1>
          <xm:sqref>FUQ524295:FUQ524318</xm:sqref>
        </x14:dataValidation>
        <x14:dataValidation type="list" allowBlank="1" showInputMessage="1" showErrorMessage="1" xr:uid="{7AC821E4-4CB8-41F6-82B8-C6933D798A17}">
          <x14:formula1>
            <xm:f>項目!C17:$GEE$524289</xm:f>
          </x14:formula1>
          <xm:sqref>GEM524295:GEM524318</xm:sqref>
        </x14:dataValidation>
        <x14:dataValidation type="list" allowBlank="1" showInputMessage="1" showErrorMessage="1" xr:uid="{4514BEDA-5D48-48CA-9FA1-2934336E248F}">
          <x14:formula1>
            <xm:f>項目!C17:$GOA$524289</xm:f>
          </x14:formula1>
          <xm:sqref>GOI524295:GOI524318</xm:sqref>
        </x14:dataValidation>
        <x14:dataValidation type="list" allowBlank="1" showInputMessage="1" showErrorMessage="1" xr:uid="{A1A768FC-DF9D-47A1-BA24-47149D53A92D}">
          <x14:formula1>
            <xm:f>項目!C17:$GXW$524289</xm:f>
          </x14:formula1>
          <xm:sqref>GYE524295:GYE524318</xm:sqref>
        </x14:dataValidation>
        <x14:dataValidation type="list" allowBlank="1" showInputMessage="1" showErrorMessage="1" xr:uid="{345C6408-4441-4F21-9DCF-3834F8D5F8A7}">
          <x14:formula1>
            <xm:f>項目!C17:$HHS$524289</xm:f>
          </x14:formula1>
          <xm:sqref>HIA524295:HIA524318</xm:sqref>
        </x14:dataValidation>
        <x14:dataValidation type="list" allowBlank="1" showInputMessage="1" showErrorMessage="1" xr:uid="{78964D26-1091-4B81-BC66-18411847B6BF}">
          <x14:formula1>
            <xm:f>項目!C17:$HRO$524289</xm:f>
          </x14:formula1>
          <xm:sqref>HRW524295:HRW524318</xm:sqref>
        </x14:dataValidation>
        <x14:dataValidation type="list" allowBlank="1" showInputMessage="1" showErrorMessage="1" xr:uid="{F24B49AF-6498-47A0-BFA3-91DD7DEE51D9}">
          <x14:formula1>
            <xm:f>項目!C17:$IBK$524289</xm:f>
          </x14:formula1>
          <xm:sqref>IBS524295:IBS524318</xm:sqref>
        </x14:dataValidation>
        <x14:dataValidation type="list" allowBlank="1" showInputMessage="1" showErrorMessage="1" xr:uid="{910268EB-F4CD-465B-87FA-D3D7DA1114B0}">
          <x14:formula1>
            <xm:f>項目!C17:$ILG$524289</xm:f>
          </x14:formula1>
          <xm:sqref>ILO524295:ILO524318</xm:sqref>
        </x14:dataValidation>
        <x14:dataValidation type="list" allowBlank="1" showInputMessage="1" showErrorMessage="1" xr:uid="{2E6F7F03-B3D3-4349-99C4-C2627F323378}">
          <x14:formula1>
            <xm:f>項目!C17:$IVC$524289</xm:f>
          </x14:formula1>
          <xm:sqref>IVK524295:IVK524318</xm:sqref>
        </x14:dataValidation>
        <x14:dataValidation type="list" allowBlank="1" showInputMessage="1" showErrorMessage="1" xr:uid="{01BD0BC2-4657-4F1E-B5A7-21DCF763BF9C}">
          <x14:formula1>
            <xm:f>項目!C17:$JEY$524289</xm:f>
          </x14:formula1>
          <xm:sqref>JFG524295:JFG524318</xm:sqref>
        </x14:dataValidation>
        <x14:dataValidation type="list" allowBlank="1" showInputMessage="1" showErrorMessage="1" xr:uid="{2AE7F932-6ADA-4947-85AF-6C807690124F}">
          <x14:formula1>
            <xm:f>項目!C17:$JOU$524289</xm:f>
          </x14:formula1>
          <xm:sqref>JPC524295:JPC524318</xm:sqref>
        </x14:dataValidation>
        <x14:dataValidation type="list" allowBlank="1" showInputMessage="1" showErrorMessage="1" xr:uid="{E66BD8ED-849F-4F76-9F39-3D3299AF4204}">
          <x14:formula1>
            <xm:f>項目!C17:$JYQ$524289</xm:f>
          </x14:formula1>
          <xm:sqref>JYY524295:JYY524318</xm:sqref>
        </x14:dataValidation>
        <x14:dataValidation type="list" allowBlank="1" showInputMessage="1" showErrorMessage="1" xr:uid="{467EBF1C-EA11-40A5-B5A5-25B725EE69C2}">
          <x14:formula1>
            <xm:f>項目!C17:$KIM$524289</xm:f>
          </x14:formula1>
          <xm:sqref>KIU524295:KIU524318</xm:sqref>
        </x14:dataValidation>
        <x14:dataValidation type="list" allowBlank="1" showInputMessage="1" showErrorMessage="1" xr:uid="{D1D6CD2A-68E0-402D-B6C7-AF12CA8FC1B5}">
          <x14:formula1>
            <xm:f>項目!C17:$KSI$524289</xm:f>
          </x14:formula1>
          <xm:sqref>KSQ524295:KSQ524318</xm:sqref>
        </x14:dataValidation>
        <x14:dataValidation type="list" allowBlank="1" showInputMessage="1" showErrorMessage="1" xr:uid="{9618DBBF-320B-498E-B6ED-F3C77E459BB1}">
          <x14:formula1>
            <xm:f>項目!C17:$LCE$524289</xm:f>
          </x14:formula1>
          <xm:sqref>LCM524295:LCM524318</xm:sqref>
        </x14:dataValidation>
        <x14:dataValidation type="list" allowBlank="1" showInputMessage="1" showErrorMessage="1" xr:uid="{26D16229-1F8F-4BCD-8164-BEAEFABDA013}">
          <x14:formula1>
            <xm:f>項目!C17:$LMA$524289</xm:f>
          </x14:formula1>
          <xm:sqref>LMI524295:LMI524318</xm:sqref>
        </x14:dataValidation>
        <x14:dataValidation type="list" allowBlank="1" showInputMessage="1" showErrorMessage="1" xr:uid="{7DBFB619-D5D2-4A04-A91C-1A8AB875DA1E}">
          <x14:formula1>
            <xm:f>項目!C17:$LVW$524289</xm:f>
          </x14:formula1>
          <xm:sqref>LWE524295:LWE524318</xm:sqref>
        </x14:dataValidation>
        <x14:dataValidation type="list" allowBlank="1" showInputMessage="1" showErrorMessage="1" xr:uid="{E2EA0030-0580-4689-86F3-B3DF7423C914}">
          <x14:formula1>
            <xm:f>項目!C17:$MFS$524289</xm:f>
          </x14:formula1>
          <xm:sqref>MGA524295:MGA524318</xm:sqref>
        </x14:dataValidation>
        <x14:dataValidation type="list" allowBlank="1" showInputMessage="1" showErrorMessage="1" xr:uid="{6823FB5D-3587-4B10-ACDA-C45DEFE0C3D9}">
          <x14:formula1>
            <xm:f>項目!C17:$MPO$524289</xm:f>
          </x14:formula1>
          <xm:sqref>MPW524295:MPW524318</xm:sqref>
        </x14:dataValidation>
        <x14:dataValidation type="list" allowBlank="1" showInputMessage="1" showErrorMessage="1" xr:uid="{E7956549-F018-4B90-B295-275FB05F5E4D}">
          <x14:formula1>
            <xm:f>項目!C17:$MZK$524289</xm:f>
          </x14:formula1>
          <xm:sqref>MZS524295:MZS524318</xm:sqref>
        </x14:dataValidation>
        <x14:dataValidation type="list" allowBlank="1" showInputMessage="1" showErrorMessage="1" xr:uid="{2382B5C0-D1F3-4447-B03C-412D0578C442}">
          <x14:formula1>
            <xm:f>項目!C17:$NJG$524289</xm:f>
          </x14:formula1>
          <xm:sqref>NJO524295:NJO524318</xm:sqref>
        </x14:dataValidation>
        <x14:dataValidation type="list" allowBlank="1" showInputMessage="1" showErrorMessage="1" xr:uid="{706E4789-4FD4-41DE-8787-46CFA2A418EE}">
          <x14:formula1>
            <xm:f>項目!C17:$NTC$524289</xm:f>
          </x14:formula1>
          <xm:sqref>NTK524295:NTK524318</xm:sqref>
        </x14:dataValidation>
        <x14:dataValidation type="list" allowBlank="1" showInputMessage="1" showErrorMessage="1" xr:uid="{50F4C276-4B00-4E29-8246-FF734C0BC035}">
          <x14:formula1>
            <xm:f>項目!C17:$OCY$524289</xm:f>
          </x14:formula1>
          <xm:sqref>ODG524295:ODG524318</xm:sqref>
        </x14:dataValidation>
        <x14:dataValidation type="list" allowBlank="1" showInputMessage="1" showErrorMessage="1" xr:uid="{EA3FDC05-FDFF-4980-B63F-A1A07B344B01}">
          <x14:formula1>
            <xm:f>項目!C17:$OMU$524289</xm:f>
          </x14:formula1>
          <xm:sqref>ONC524295:ONC524318</xm:sqref>
        </x14:dataValidation>
        <x14:dataValidation type="list" allowBlank="1" showInputMessage="1" showErrorMessage="1" xr:uid="{60D9EA8B-8B10-4D71-B1DD-ACB63559F40E}">
          <x14:formula1>
            <xm:f>項目!C17:$OWQ$524289</xm:f>
          </x14:formula1>
          <xm:sqref>OWY524295:OWY524318</xm:sqref>
        </x14:dataValidation>
        <x14:dataValidation type="list" allowBlank="1" showInputMessage="1" showErrorMessage="1" xr:uid="{B989439B-DA9D-44C2-A942-2F935509CF2C}">
          <x14:formula1>
            <xm:f>項目!C17:$PGM$524289</xm:f>
          </x14:formula1>
          <xm:sqref>PGU524295:PGU524318</xm:sqref>
        </x14:dataValidation>
        <x14:dataValidation type="list" allowBlank="1" showInputMessage="1" showErrorMessage="1" xr:uid="{DA4B4FE5-B6FD-4AC7-8294-30BF9D6A4DAF}">
          <x14:formula1>
            <xm:f>項目!C17:$PQI$524289</xm:f>
          </x14:formula1>
          <xm:sqref>PQQ524295:PQQ524318</xm:sqref>
        </x14:dataValidation>
        <x14:dataValidation type="list" allowBlank="1" showInputMessage="1" showErrorMessage="1" xr:uid="{F6100A5D-635B-439F-AE91-444E0D972C66}">
          <x14:formula1>
            <xm:f>項目!C17:$QAE$524289</xm:f>
          </x14:formula1>
          <xm:sqref>QAM524295:QAM524318</xm:sqref>
        </x14:dataValidation>
        <x14:dataValidation type="list" allowBlank="1" showInputMessage="1" showErrorMessage="1" xr:uid="{2638FF04-1C5C-47D0-AD34-185B9901CA52}">
          <x14:formula1>
            <xm:f>項目!C17:$QKA$524289</xm:f>
          </x14:formula1>
          <xm:sqref>QKI524295:QKI524318</xm:sqref>
        </x14:dataValidation>
        <x14:dataValidation type="list" allowBlank="1" showInputMessage="1" showErrorMessage="1" xr:uid="{F3D5F15E-937B-4684-9777-1B5BA7860987}">
          <x14:formula1>
            <xm:f>項目!C17:$QTW$524289</xm:f>
          </x14:formula1>
          <xm:sqref>QUE524295:QUE524318</xm:sqref>
        </x14:dataValidation>
        <x14:dataValidation type="list" allowBlank="1" showInputMessage="1" showErrorMessage="1" xr:uid="{5B47DFC0-81DD-4016-A87C-E2763D9FEF75}">
          <x14:formula1>
            <xm:f>項目!C17:$RDS$524289</xm:f>
          </x14:formula1>
          <xm:sqref>REA524295:REA524318</xm:sqref>
        </x14:dataValidation>
        <x14:dataValidation type="list" allowBlank="1" showInputMessage="1" showErrorMessage="1" xr:uid="{B566703E-DBAE-4C32-AA59-F2C6627856B4}">
          <x14:formula1>
            <xm:f>項目!C17:$RNO$524289</xm:f>
          </x14:formula1>
          <xm:sqref>RNW524295:RNW524318</xm:sqref>
        </x14:dataValidation>
        <x14:dataValidation type="list" allowBlank="1" showInputMessage="1" showErrorMessage="1" xr:uid="{21209EC3-F693-448B-8A0D-F57499FDD35F}">
          <x14:formula1>
            <xm:f>項目!C17:$RXK$524289</xm:f>
          </x14:formula1>
          <xm:sqref>RXS524295:RXS524318</xm:sqref>
        </x14:dataValidation>
        <x14:dataValidation type="list" allowBlank="1" showInputMessage="1" showErrorMessage="1" xr:uid="{376027C3-B629-45FD-86B2-5B8A152F9882}">
          <x14:formula1>
            <xm:f>項目!C17:$SHG$524289</xm:f>
          </x14:formula1>
          <xm:sqref>SHO524295:SHO524318</xm:sqref>
        </x14:dataValidation>
        <x14:dataValidation type="list" allowBlank="1" showInputMessage="1" showErrorMessage="1" xr:uid="{FA9B6A00-4E08-4F6E-B6C9-B2FADBB4CE32}">
          <x14:formula1>
            <xm:f>項目!C17:$SRC$524289</xm:f>
          </x14:formula1>
          <xm:sqref>SRK524295:SRK524318</xm:sqref>
        </x14:dataValidation>
        <x14:dataValidation type="list" allowBlank="1" showInputMessage="1" showErrorMessage="1" xr:uid="{7D8F9702-B4F5-4934-9F96-0AA54326817B}">
          <x14:formula1>
            <xm:f>項目!C17:$TAY$524289</xm:f>
          </x14:formula1>
          <xm:sqref>TBG524295:TBG524318</xm:sqref>
        </x14:dataValidation>
        <x14:dataValidation type="list" allowBlank="1" showInputMessage="1" showErrorMessage="1" xr:uid="{64671FB9-494E-48E9-ADDF-FECE6516E342}">
          <x14:formula1>
            <xm:f>項目!C17:$TKU$524289</xm:f>
          </x14:formula1>
          <xm:sqref>TLC524295:TLC524318</xm:sqref>
        </x14:dataValidation>
        <x14:dataValidation type="list" allowBlank="1" showInputMessage="1" showErrorMessage="1" xr:uid="{4B7F974B-35A2-4AD2-AFB8-74648BB5C7EE}">
          <x14:formula1>
            <xm:f>項目!C17:$TUQ$524289</xm:f>
          </x14:formula1>
          <xm:sqref>TUY524295:TUY524318</xm:sqref>
        </x14:dataValidation>
        <x14:dataValidation type="list" allowBlank="1" showInputMessage="1" showErrorMessage="1" xr:uid="{8D680619-1269-4833-9DAB-ADF013492F99}">
          <x14:formula1>
            <xm:f>項目!C17:$UEM$524289</xm:f>
          </x14:formula1>
          <xm:sqref>UEU524295:UEU524318</xm:sqref>
        </x14:dataValidation>
        <x14:dataValidation type="list" allowBlank="1" showInputMessage="1" showErrorMessage="1" xr:uid="{B08E10F1-FD8C-46FC-8DBF-7F0EC9FADC0C}">
          <x14:formula1>
            <xm:f>項目!C17:$UOI$524289</xm:f>
          </x14:formula1>
          <xm:sqref>UOQ524295:UOQ524318</xm:sqref>
        </x14:dataValidation>
        <x14:dataValidation type="list" allowBlank="1" showInputMessage="1" showErrorMessage="1" xr:uid="{4EDE0129-819A-4155-B6E3-2F110063285A}">
          <x14:formula1>
            <xm:f>項目!C17:$UYE$524289</xm:f>
          </x14:formula1>
          <xm:sqref>UYM524295:UYM524318</xm:sqref>
        </x14:dataValidation>
        <x14:dataValidation type="list" allowBlank="1" showInputMessage="1" showErrorMessage="1" xr:uid="{67EB3390-5703-4DB4-83CA-C792B591D93B}">
          <x14:formula1>
            <xm:f>項目!C17:$VIA$524289</xm:f>
          </x14:formula1>
          <xm:sqref>VII524295:VII524318</xm:sqref>
        </x14:dataValidation>
        <x14:dataValidation type="list" allowBlank="1" showInputMessage="1" showErrorMessage="1" xr:uid="{1E890459-72EC-4B07-B308-E52814E7470B}">
          <x14:formula1>
            <xm:f>項目!C17:$VRW$524289</xm:f>
          </x14:formula1>
          <xm:sqref>VSE524295:VSE524318</xm:sqref>
        </x14:dataValidation>
        <x14:dataValidation type="list" allowBlank="1" showInputMessage="1" showErrorMessage="1" xr:uid="{78E19C0E-3C0D-404E-9877-13AF69A6AC90}">
          <x14:formula1>
            <xm:f>項目!C17:$WBS$524289</xm:f>
          </x14:formula1>
          <xm:sqref>WCA524295:WCA524318</xm:sqref>
        </x14:dataValidation>
        <x14:dataValidation type="list" allowBlank="1" showInputMessage="1" showErrorMessage="1" xr:uid="{A8130352-3B6E-4486-90A6-30DF524C4B86}">
          <x14:formula1>
            <xm:f>項目!C17:$WLO$524289</xm:f>
          </x14:formula1>
          <xm:sqref>WLW524295:WLW524318</xm:sqref>
        </x14:dataValidation>
        <x14:dataValidation type="list" allowBlank="1" showInputMessage="1" showErrorMessage="1" xr:uid="{B7A2AFCE-5E4F-4B08-9E38-19A55C8A5B24}">
          <x14:formula1>
            <xm:f>項目!C17:$WVK$524289</xm:f>
          </x14:formula1>
          <xm:sqref>WVS524295:WVS524318</xm:sqref>
        </x14:dataValidation>
        <x14:dataValidation type="list" allowBlank="1" showInputMessage="1" showErrorMessage="1" xr:uid="{2ECF7648-723B-497A-AB7B-5744A6783CEB}">
          <x14:formula1>
            <xm:f>項目!C17:$IY$589825</xm:f>
          </x14:formula1>
          <xm:sqref>JG589831:JG589854</xm:sqref>
        </x14:dataValidation>
        <x14:dataValidation type="list" allowBlank="1" showInputMessage="1" showErrorMessage="1" xr:uid="{E2AA66A5-1EDB-4567-B680-FAED9D625DE3}">
          <x14:formula1>
            <xm:f>項目!C17:$SU$589825</xm:f>
          </x14:formula1>
          <xm:sqref>TC589831:TC589854</xm:sqref>
        </x14:dataValidation>
        <x14:dataValidation type="list" allowBlank="1" showInputMessage="1" showErrorMessage="1" xr:uid="{0D659463-B114-46DE-AAB5-8528FAF7AE92}">
          <x14:formula1>
            <xm:f>項目!C17:$ACQ$589825</xm:f>
          </x14:formula1>
          <xm:sqref>ACY589831:ACY589854</xm:sqref>
        </x14:dataValidation>
        <x14:dataValidation type="list" allowBlank="1" showInputMessage="1" showErrorMessage="1" xr:uid="{CFE7A408-D16F-4712-B824-C7E7E84BA59B}">
          <x14:formula1>
            <xm:f>項目!C17:$AMM$589825</xm:f>
          </x14:formula1>
          <xm:sqref>AMU589831:AMU589854</xm:sqref>
        </x14:dataValidation>
        <x14:dataValidation type="list" allowBlank="1" showInputMessage="1" showErrorMessage="1" xr:uid="{2F43A90B-74F4-417B-89E4-2F3AC7F8FCD5}">
          <x14:formula1>
            <xm:f>項目!C17:$AWI$589825</xm:f>
          </x14:formula1>
          <xm:sqref>AWQ589831:AWQ589854</xm:sqref>
        </x14:dataValidation>
        <x14:dataValidation type="list" allowBlank="1" showInputMessage="1" showErrorMessage="1" xr:uid="{FB7446D1-2185-4683-86D3-1944355885FB}">
          <x14:formula1>
            <xm:f>項目!C17:$BGE$589825</xm:f>
          </x14:formula1>
          <xm:sqref>BGM589831:BGM589854</xm:sqref>
        </x14:dataValidation>
        <x14:dataValidation type="list" allowBlank="1" showInputMessage="1" showErrorMessage="1" xr:uid="{10237B3C-1404-4622-9401-B65122AF0307}">
          <x14:formula1>
            <xm:f>項目!C17:$BQA$589825</xm:f>
          </x14:formula1>
          <xm:sqref>BQI589831:BQI589854</xm:sqref>
        </x14:dataValidation>
        <x14:dataValidation type="list" allowBlank="1" showInputMessage="1" showErrorMessage="1" xr:uid="{FBF247CA-505A-4457-B1EA-FF3B716995CA}">
          <x14:formula1>
            <xm:f>項目!C17:$BZW$589825</xm:f>
          </x14:formula1>
          <xm:sqref>CAE589831:CAE589854</xm:sqref>
        </x14:dataValidation>
        <x14:dataValidation type="list" allowBlank="1" showInputMessage="1" showErrorMessage="1" xr:uid="{4532E834-438F-455D-BDB0-993DEDE73FA3}">
          <x14:formula1>
            <xm:f>項目!C17:$CJS$589825</xm:f>
          </x14:formula1>
          <xm:sqref>CKA589831:CKA589854</xm:sqref>
        </x14:dataValidation>
        <x14:dataValidation type="list" allowBlank="1" showInputMessage="1" showErrorMessage="1" xr:uid="{F2D17EC0-2CF3-4635-A27D-221761A0EFD4}">
          <x14:formula1>
            <xm:f>項目!C17:$CTO$589825</xm:f>
          </x14:formula1>
          <xm:sqref>CTW589831:CTW589854</xm:sqref>
        </x14:dataValidation>
        <x14:dataValidation type="list" allowBlank="1" showInputMessage="1" showErrorMessage="1" xr:uid="{EE1AB020-AD6E-4004-A77E-80DFAE8E0588}">
          <x14:formula1>
            <xm:f>項目!C17:$DDK$589825</xm:f>
          </x14:formula1>
          <xm:sqref>DDS589831:DDS589854</xm:sqref>
        </x14:dataValidation>
        <x14:dataValidation type="list" allowBlank="1" showInputMessage="1" showErrorMessage="1" xr:uid="{F2BADB8A-3949-4BAC-A042-D39455DEB6D6}">
          <x14:formula1>
            <xm:f>項目!C17:$DNG$589825</xm:f>
          </x14:formula1>
          <xm:sqref>DNO589831:DNO589854</xm:sqref>
        </x14:dataValidation>
        <x14:dataValidation type="list" allowBlank="1" showInputMessage="1" showErrorMessage="1" xr:uid="{2FF641B8-389F-4AE8-B44A-DB831B5B0400}">
          <x14:formula1>
            <xm:f>項目!C17:$DXC$589825</xm:f>
          </x14:formula1>
          <xm:sqref>DXK589831:DXK589854</xm:sqref>
        </x14:dataValidation>
        <x14:dataValidation type="list" allowBlank="1" showInputMessage="1" showErrorMessage="1" xr:uid="{8CD6EC2D-C4A6-4357-B014-EDE042983731}">
          <x14:formula1>
            <xm:f>項目!C17:$EGY$589825</xm:f>
          </x14:formula1>
          <xm:sqref>EHG589831:EHG589854</xm:sqref>
        </x14:dataValidation>
        <x14:dataValidation type="list" allowBlank="1" showInputMessage="1" showErrorMessage="1" xr:uid="{B3B20F06-D725-4237-B5C9-3AC93F806D65}">
          <x14:formula1>
            <xm:f>項目!C17:$EQU$589825</xm:f>
          </x14:formula1>
          <xm:sqref>ERC589831:ERC589854</xm:sqref>
        </x14:dataValidation>
        <x14:dataValidation type="list" allowBlank="1" showInputMessage="1" showErrorMessage="1" xr:uid="{BA0BE00A-3C50-42F1-97E3-64C188D0102C}">
          <x14:formula1>
            <xm:f>項目!C17:$FAQ$589825</xm:f>
          </x14:formula1>
          <xm:sqref>FAY589831:FAY589854</xm:sqref>
        </x14:dataValidation>
        <x14:dataValidation type="list" allowBlank="1" showInputMessage="1" showErrorMessage="1" xr:uid="{8B326F02-797F-44F3-BC04-D006AB77FE06}">
          <x14:formula1>
            <xm:f>項目!C17:$FKM$589825</xm:f>
          </x14:formula1>
          <xm:sqref>FKU589831:FKU589854</xm:sqref>
        </x14:dataValidation>
        <x14:dataValidation type="list" allowBlank="1" showInputMessage="1" showErrorMessage="1" xr:uid="{3BC84321-2BB4-4D1B-BBB1-76954ADF6E46}">
          <x14:formula1>
            <xm:f>項目!C17:$FUI$589825</xm:f>
          </x14:formula1>
          <xm:sqref>FUQ589831:FUQ589854</xm:sqref>
        </x14:dataValidation>
        <x14:dataValidation type="list" allowBlank="1" showInputMessage="1" showErrorMessage="1" xr:uid="{769959B6-B607-427D-8B14-6A67E8E436FB}">
          <x14:formula1>
            <xm:f>項目!C17:$GEE$589825</xm:f>
          </x14:formula1>
          <xm:sqref>GEM589831:GEM589854</xm:sqref>
        </x14:dataValidation>
        <x14:dataValidation type="list" allowBlank="1" showInputMessage="1" showErrorMessage="1" xr:uid="{AE7F60E5-A62B-45E7-8E55-DAA2EA872398}">
          <x14:formula1>
            <xm:f>項目!C17:$GOA$589825</xm:f>
          </x14:formula1>
          <xm:sqref>GOI589831:GOI589854</xm:sqref>
        </x14:dataValidation>
        <x14:dataValidation type="list" allowBlank="1" showInputMessage="1" showErrorMessage="1" xr:uid="{E90C1BFD-4363-49D1-871B-FA73F9206B7E}">
          <x14:formula1>
            <xm:f>項目!C17:$GXW$589825</xm:f>
          </x14:formula1>
          <xm:sqref>GYE589831:GYE589854</xm:sqref>
        </x14:dataValidation>
        <x14:dataValidation type="list" allowBlank="1" showInputMessage="1" showErrorMessage="1" xr:uid="{1404BF05-D51E-48BB-BC14-23917C5EF482}">
          <x14:formula1>
            <xm:f>項目!C17:$HHS$589825</xm:f>
          </x14:formula1>
          <xm:sqref>HIA589831:HIA589854</xm:sqref>
        </x14:dataValidation>
        <x14:dataValidation type="list" allowBlank="1" showInputMessage="1" showErrorMessage="1" xr:uid="{072A2A68-511B-4843-8C57-23C3AFAFDDFD}">
          <x14:formula1>
            <xm:f>項目!C17:$HRO$589825</xm:f>
          </x14:formula1>
          <xm:sqref>HRW589831:HRW589854</xm:sqref>
        </x14:dataValidation>
        <x14:dataValidation type="list" allowBlank="1" showInputMessage="1" showErrorMessage="1" xr:uid="{30B45B0A-3DF2-4E8F-BC70-37098627CD52}">
          <x14:formula1>
            <xm:f>項目!C17:$IBK$589825</xm:f>
          </x14:formula1>
          <xm:sqref>IBS589831:IBS589854</xm:sqref>
        </x14:dataValidation>
        <x14:dataValidation type="list" allowBlank="1" showInputMessage="1" showErrorMessage="1" xr:uid="{44183765-1078-435B-82E1-093FFB2EE454}">
          <x14:formula1>
            <xm:f>項目!C17:$ILG$589825</xm:f>
          </x14:formula1>
          <xm:sqref>ILO589831:ILO589854</xm:sqref>
        </x14:dataValidation>
        <x14:dataValidation type="list" allowBlank="1" showInputMessage="1" showErrorMessage="1" xr:uid="{1362C206-47EC-46AB-98B2-F08C364EA8D6}">
          <x14:formula1>
            <xm:f>項目!C17:$IVC$589825</xm:f>
          </x14:formula1>
          <xm:sqref>IVK589831:IVK589854</xm:sqref>
        </x14:dataValidation>
        <x14:dataValidation type="list" allowBlank="1" showInputMessage="1" showErrorMessage="1" xr:uid="{5CB5E6E8-730D-443F-B62B-0E597C229E35}">
          <x14:formula1>
            <xm:f>項目!C17:$JEY$589825</xm:f>
          </x14:formula1>
          <xm:sqref>JFG589831:JFG589854</xm:sqref>
        </x14:dataValidation>
        <x14:dataValidation type="list" allowBlank="1" showInputMessage="1" showErrorMessage="1" xr:uid="{1D274A14-58A8-4F95-A43E-CF712572791C}">
          <x14:formula1>
            <xm:f>項目!C17:$JOU$589825</xm:f>
          </x14:formula1>
          <xm:sqref>JPC589831:JPC589854</xm:sqref>
        </x14:dataValidation>
        <x14:dataValidation type="list" allowBlank="1" showInputMessage="1" showErrorMessage="1" xr:uid="{F55EE067-6367-42FC-853B-755B70239330}">
          <x14:formula1>
            <xm:f>項目!C17:$JYQ$589825</xm:f>
          </x14:formula1>
          <xm:sqref>JYY589831:JYY589854</xm:sqref>
        </x14:dataValidation>
        <x14:dataValidation type="list" allowBlank="1" showInputMessage="1" showErrorMessage="1" xr:uid="{F5CE2DC2-9D18-42E5-A2DD-6C3638BED253}">
          <x14:formula1>
            <xm:f>項目!C17:$KIM$589825</xm:f>
          </x14:formula1>
          <xm:sqref>KIU589831:KIU589854</xm:sqref>
        </x14:dataValidation>
        <x14:dataValidation type="list" allowBlank="1" showInputMessage="1" showErrorMessage="1" xr:uid="{16A8C121-298E-4BE9-B02F-AEBA706139AB}">
          <x14:formula1>
            <xm:f>項目!C17:$KSI$589825</xm:f>
          </x14:formula1>
          <xm:sqref>KSQ589831:KSQ589854</xm:sqref>
        </x14:dataValidation>
        <x14:dataValidation type="list" allowBlank="1" showInputMessage="1" showErrorMessage="1" xr:uid="{49C77996-3D7E-40CB-A16F-213F99ED1A49}">
          <x14:formula1>
            <xm:f>項目!C17:$LCE$589825</xm:f>
          </x14:formula1>
          <xm:sqref>LCM589831:LCM589854</xm:sqref>
        </x14:dataValidation>
        <x14:dataValidation type="list" allowBlank="1" showInputMessage="1" showErrorMessage="1" xr:uid="{1219A92D-D776-48B8-96B1-17E68AF78FB5}">
          <x14:formula1>
            <xm:f>項目!C17:$LMA$589825</xm:f>
          </x14:formula1>
          <xm:sqref>LMI589831:LMI589854</xm:sqref>
        </x14:dataValidation>
        <x14:dataValidation type="list" allowBlank="1" showInputMessage="1" showErrorMessage="1" xr:uid="{89F6D454-F0EB-461A-9C2C-2DD0AC89EA45}">
          <x14:formula1>
            <xm:f>項目!C17:$LVW$589825</xm:f>
          </x14:formula1>
          <xm:sqref>LWE589831:LWE589854</xm:sqref>
        </x14:dataValidation>
        <x14:dataValidation type="list" allowBlank="1" showInputMessage="1" showErrorMessage="1" xr:uid="{59DCF403-3BD0-42B3-A94F-183A54AADB80}">
          <x14:formula1>
            <xm:f>項目!C17:$MFS$589825</xm:f>
          </x14:formula1>
          <xm:sqref>MGA589831:MGA589854</xm:sqref>
        </x14:dataValidation>
        <x14:dataValidation type="list" allowBlank="1" showInputMessage="1" showErrorMessage="1" xr:uid="{45F6936C-D7AD-4171-BD26-BC2E72841E6B}">
          <x14:formula1>
            <xm:f>項目!C17:$MPO$589825</xm:f>
          </x14:formula1>
          <xm:sqref>MPW589831:MPW589854</xm:sqref>
        </x14:dataValidation>
        <x14:dataValidation type="list" allowBlank="1" showInputMessage="1" showErrorMessage="1" xr:uid="{B90452A1-F68A-4924-AD54-4DAA576A0EF1}">
          <x14:formula1>
            <xm:f>項目!C17:$MZK$589825</xm:f>
          </x14:formula1>
          <xm:sqref>MZS589831:MZS589854</xm:sqref>
        </x14:dataValidation>
        <x14:dataValidation type="list" allowBlank="1" showInputMessage="1" showErrorMessage="1" xr:uid="{CAB4E4A4-248E-4EA5-AF27-6371D20AAB38}">
          <x14:formula1>
            <xm:f>項目!C17:$NJG$589825</xm:f>
          </x14:formula1>
          <xm:sqref>NJO589831:NJO589854</xm:sqref>
        </x14:dataValidation>
        <x14:dataValidation type="list" allowBlank="1" showInputMessage="1" showErrorMessage="1" xr:uid="{BAF7D091-1AF9-4D58-9F5D-562C71A9761F}">
          <x14:formula1>
            <xm:f>項目!C17:$NTC$589825</xm:f>
          </x14:formula1>
          <xm:sqref>NTK589831:NTK589854</xm:sqref>
        </x14:dataValidation>
        <x14:dataValidation type="list" allowBlank="1" showInputMessage="1" showErrorMessage="1" xr:uid="{41A47D48-05D0-4579-A2DA-F4DF70A808FA}">
          <x14:formula1>
            <xm:f>項目!C17:$OCY$589825</xm:f>
          </x14:formula1>
          <xm:sqref>ODG589831:ODG589854</xm:sqref>
        </x14:dataValidation>
        <x14:dataValidation type="list" allowBlank="1" showInputMessage="1" showErrorMessage="1" xr:uid="{C4EBF246-1A44-4FE9-87CF-53FEAAB17EFE}">
          <x14:formula1>
            <xm:f>項目!C17:$OMU$589825</xm:f>
          </x14:formula1>
          <xm:sqref>ONC589831:ONC589854</xm:sqref>
        </x14:dataValidation>
        <x14:dataValidation type="list" allowBlank="1" showInputMessage="1" showErrorMessage="1" xr:uid="{094D97CC-3C87-42DA-B890-0DC4C60237A1}">
          <x14:formula1>
            <xm:f>項目!C17:$OWQ$589825</xm:f>
          </x14:formula1>
          <xm:sqref>OWY589831:OWY589854</xm:sqref>
        </x14:dataValidation>
        <x14:dataValidation type="list" allowBlank="1" showInputMessage="1" showErrorMessage="1" xr:uid="{24320963-A8CC-4295-A362-871B8FF83D94}">
          <x14:formula1>
            <xm:f>項目!C17:$PGM$589825</xm:f>
          </x14:formula1>
          <xm:sqref>PGU589831:PGU589854</xm:sqref>
        </x14:dataValidation>
        <x14:dataValidation type="list" allowBlank="1" showInputMessage="1" showErrorMessage="1" xr:uid="{A4191BBC-1519-40BC-AF3B-18C8512EA006}">
          <x14:formula1>
            <xm:f>項目!C17:$PQI$589825</xm:f>
          </x14:formula1>
          <xm:sqref>PQQ589831:PQQ589854</xm:sqref>
        </x14:dataValidation>
        <x14:dataValidation type="list" allowBlank="1" showInputMessage="1" showErrorMessage="1" xr:uid="{BF007CD6-E2C9-4F59-8823-FEEAE9E6FCD8}">
          <x14:formula1>
            <xm:f>項目!C17:$QAE$589825</xm:f>
          </x14:formula1>
          <xm:sqref>QAM589831:QAM589854</xm:sqref>
        </x14:dataValidation>
        <x14:dataValidation type="list" allowBlank="1" showInputMessage="1" showErrorMessage="1" xr:uid="{355CE44F-2D24-4CF9-83AE-E3E924E2A0D4}">
          <x14:formula1>
            <xm:f>項目!C17:$QKA$589825</xm:f>
          </x14:formula1>
          <xm:sqref>QKI589831:QKI589854</xm:sqref>
        </x14:dataValidation>
        <x14:dataValidation type="list" allowBlank="1" showInputMessage="1" showErrorMessage="1" xr:uid="{90FB255E-360F-42F5-A40D-9833817DC35E}">
          <x14:formula1>
            <xm:f>項目!C17:$QTW$589825</xm:f>
          </x14:formula1>
          <xm:sqref>QUE589831:QUE589854</xm:sqref>
        </x14:dataValidation>
        <x14:dataValidation type="list" allowBlank="1" showInputMessage="1" showErrorMessage="1" xr:uid="{ED06CB1A-BEA9-44BE-AE6A-505ADDD2277E}">
          <x14:formula1>
            <xm:f>項目!C17:$RDS$589825</xm:f>
          </x14:formula1>
          <xm:sqref>REA589831:REA589854</xm:sqref>
        </x14:dataValidation>
        <x14:dataValidation type="list" allowBlank="1" showInputMessage="1" showErrorMessage="1" xr:uid="{C82F9CC3-3FB5-4C18-8F5E-0C8C0F7E49D4}">
          <x14:formula1>
            <xm:f>項目!C17:$RNO$589825</xm:f>
          </x14:formula1>
          <xm:sqref>RNW589831:RNW589854</xm:sqref>
        </x14:dataValidation>
        <x14:dataValidation type="list" allowBlank="1" showInputMessage="1" showErrorMessage="1" xr:uid="{97FF83CA-FF92-46E9-A9CA-10B53B853EEC}">
          <x14:formula1>
            <xm:f>項目!C17:$RXK$589825</xm:f>
          </x14:formula1>
          <xm:sqref>RXS589831:RXS589854</xm:sqref>
        </x14:dataValidation>
        <x14:dataValidation type="list" allowBlank="1" showInputMessage="1" showErrorMessage="1" xr:uid="{45E1C85F-1544-4015-9DF0-E43BC6A45667}">
          <x14:formula1>
            <xm:f>項目!C17:$SHG$589825</xm:f>
          </x14:formula1>
          <xm:sqref>SHO589831:SHO589854</xm:sqref>
        </x14:dataValidation>
        <x14:dataValidation type="list" allowBlank="1" showInputMessage="1" showErrorMessage="1" xr:uid="{712D92F1-3516-4BAB-B876-1C17DA2C0FE4}">
          <x14:formula1>
            <xm:f>項目!C17:$SRC$589825</xm:f>
          </x14:formula1>
          <xm:sqref>SRK589831:SRK589854</xm:sqref>
        </x14:dataValidation>
        <x14:dataValidation type="list" allowBlank="1" showInputMessage="1" showErrorMessage="1" xr:uid="{4AEAC529-8F7B-4B50-98C9-8C257C5E579F}">
          <x14:formula1>
            <xm:f>項目!C17:$TAY$589825</xm:f>
          </x14:formula1>
          <xm:sqref>TBG589831:TBG589854</xm:sqref>
        </x14:dataValidation>
        <x14:dataValidation type="list" allowBlank="1" showInputMessage="1" showErrorMessage="1" xr:uid="{9F606E68-74E7-4069-AEE8-ACF41C9EA6AE}">
          <x14:formula1>
            <xm:f>項目!C17:$TKU$589825</xm:f>
          </x14:formula1>
          <xm:sqref>TLC589831:TLC589854</xm:sqref>
        </x14:dataValidation>
        <x14:dataValidation type="list" allowBlank="1" showInputMessage="1" showErrorMessage="1" xr:uid="{F40CC79E-F1EE-4371-85FB-7E2B61F11741}">
          <x14:formula1>
            <xm:f>項目!C17:$TUQ$589825</xm:f>
          </x14:formula1>
          <xm:sqref>TUY589831:TUY589854</xm:sqref>
        </x14:dataValidation>
        <x14:dataValidation type="list" allowBlank="1" showInputMessage="1" showErrorMessage="1" xr:uid="{E5E1DAEF-6DFC-4700-AA60-5DD3A4454173}">
          <x14:formula1>
            <xm:f>項目!C17:$UEM$589825</xm:f>
          </x14:formula1>
          <xm:sqref>UEU589831:UEU589854</xm:sqref>
        </x14:dataValidation>
        <x14:dataValidation type="list" allowBlank="1" showInputMessage="1" showErrorMessage="1" xr:uid="{D37C07EC-9796-4377-8B38-ADE73061508F}">
          <x14:formula1>
            <xm:f>項目!C17:$UOI$589825</xm:f>
          </x14:formula1>
          <xm:sqref>UOQ589831:UOQ589854</xm:sqref>
        </x14:dataValidation>
        <x14:dataValidation type="list" allowBlank="1" showInputMessage="1" showErrorMessage="1" xr:uid="{AFB04F38-EAB0-4FDA-9B1D-CB14DDC997CC}">
          <x14:formula1>
            <xm:f>項目!C17:$UYE$589825</xm:f>
          </x14:formula1>
          <xm:sqref>UYM589831:UYM589854</xm:sqref>
        </x14:dataValidation>
        <x14:dataValidation type="list" allowBlank="1" showInputMessage="1" showErrorMessage="1" xr:uid="{CBA899BB-A2AE-41FC-999F-A5E2168DB04E}">
          <x14:formula1>
            <xm:f>項目!C17:$VIA$589825</xm:f>
          </x14:formula1>
          <xm:sqref>VII589831:VII589854</xm:sqref>
        </x14:dataValidation>
        <x14:dataValidation type="list" allowBlank="1" showInputMessage="1" showErrorMessage="1" xr:uid="{523926D4-9FE2-494E-B2EE-DC3C07839F63}">
          <x14:formula1>
            <xm:f>項目!C17:$VRW$589825</xm:f>
          </x14:formula1>
          <xm:sqref>VSE589831:VSE589854</xm:sqref>
        </x14:dataValidation>
        <x14:dataValidation type="list" allowBlank="1" showInputMessage="1" showErrorMessage="1" xr:uid="{13FCF46B-A5F2-40B4-AF28-77957434A865}">
          <x14:formula1>
            <xm:f>項目!C17:$WBS$589825</xm:f>
          </x14:formula1>
          <xm:sqref>WCA589831:WCA589854</xm:sqref>
        </x14:dataValidation>
        <x14:dataValidation type="list" allowBlank="1" showInputMessage="1" showErrorMessage="1" xr:uid="{522D9C5F-D510-4F31-A2CF-A7AEEDD4BB6A}">
          <x14:formula1>
            <xm:f>項目!C17:$WLO$589825</xm:f>
          </x14:formula1>
          <xm:sqref>WLW589831:WLW589854</xm:sqref>
        </x14:dataValidation>
        <x14:dataValidation type="list" allowBlank="1" showInputMessage="1" showErrorMessage="1" xr:uid="{C7DF9313-4C26-4FD4-B522-D64E50ACF7F1}">
          <x14:formula1>
            <xm:f>項目!C17:$WVK$589825</xm:f>
          </x14:formula1>
          <xm:sqref>WVS589831:WVS589854</xm:sqref>
        </x14:dataValidation>
        <x14:dataValidation type="list" allowBlank="1" showInputMessage="1" showErrorMessage="1" xr:uid="{9C1C35FB-24DE-4519-B823-82F116DE6135}">
          <x14:formula1>
            <xm:f>項目!C17:$IY$655361</xm:f>
          </x14:formula1>
          <xm:sqref>JG655367:JG655390</xm:sqref>
        </x14:dataValidation>
        <x14:dataValidation type="list" allowBlank="1" showInputMessage="1" showErrorMessage="1" xr:uid="{CABCE6DF-1DE1-4A19-8FF1-CBC76C63AEEC}">
          <x14:formula1>
            <xm:f>項目!C17:$SU$655361</xm:f>
          </x14:formula1>
          <xm:sqref>TC655367:TC655390</xm:sqref>
        </x14:dataValidation>
        <x14:dataValidation type="list" allowBlank="1" showInputMessage="1" showErrorMessage="1" xr:uid="{F00F05E9-9FCE-4375-9C0B-7E85A7CC0B4F}">
          <x14:formula1>
            <xm:f>項目!C17:$ACQ$655361</xm:f>
          </x14:formula1>
          <xm:sqref>ACY655367:ACY655390</xm:sqref>
        </x14:dataValidation>
        <x14:dataValidation type="list" allowBlank="1" showInputMessage="1" showErrorMessage="1" xr:uid="{AE8605A8-A49D-49F4-9E4F-02109BC1A89F}">
          <x14:formula1>
            <xm:f>項目!C17:$AMM$655361</xm:f>
          </x14:formula1>
          <xm:sqref>AMU655367:AMU655390</xm:sqref>
        </x14:dataValidation>
        <x14:dataValidation type="list" allowBlank="1" showInputMessage="1" showErrorMessage="1" xr:uid="{C6389580-2736-4A9E-BC97-0F83EAD81040}">
          <x14:formula1>
            <xm:f>項目!C17:$AWI$655361</xm:f>
          </x14:formula1>
          <xm:sqref>AWQ655367:AWQ655390</xm:sqref>
        </x14:dataValidation>
        <x14:dataValidation type="list" allowBlank="1" showInputMessage="1" showErrorMessage="1" xr:uid="{30BCC697-A832-4C10-9A05-5F4BC61040AE}">
          <x14:formula1>
            <xm:f>項目!C17:$BGE$655361</xm:f>
          </x14:formula1>
          <xm:sqref>BGM655367:BGM655390</xm:sqref>
        </x14:dataValidation>
        <x14:dataValidation type="list" allowBlank="1" showInputMessage="1" showErrorMessage="1" xr:uid="{39DF6FD9-8772-43E7-9259-26C2FACA3FA7}">
          <x14:formula1>
            <xm:f>項目!C17:$BQA$655361</xm:f>
          </x14:formula1>
          <xm:sqref>BQI655367:BQI655390</xm:sqref>
        </x14:dataValidation>
        <x14:dataValidation type="list" allowBlank="1" showInputMessage="1" showErrorMessage="1" xr:uid="{7F96EB48-34BE-4B39-A10F-CEA057F7FCBA}">
          <x14:formula1>
            <xm:f>項目!C17:$BZW$655361</xm:f>
          </x14:formula1>
          <xm:sqref>CAE655367:CAE655390</xm:sqref>
        </x14:dataValidation>
        <x14:dataValidation type="list" allowBlank="1" showInputMessage="1" showErrorMessage="1" xr:uid="{6F6B8606-32EA-4BA7-8B32-6E0B7634B18D}">
          <x14:formula1>
            <xm:f>項目!C17:$CJS$655361</xm:f>
          </x14:formula1>
          <xm:sqref>CKA655367:CKA655390</xm:sqref>
        </x14:dataValidation>
        <x14:dataValidation type="list" allowBlank="1" showInputMessage="1" showErrorMessage="1" xr:uid="{0F07A0D7-F62B-4FBA-8D0F-CDDE57642791}">
          <x14:formula1>
            <xm:f>項目!C17:$CTO$655361</xm:f>
          </x14:formula1>
          <xm:sqref>CTW655367:CTW655390</xm:sqref>
        </x14:dataValidation>
        <x14:dataValidation type="list" allowBlank="1" showInputMessage="1" showErrorMessage="1" xr:uid="{ED97DAB4-CD1B-4A9F-9EB5-544C4EF27B69}">
          <x14:formula1>
            <xm:f>項目!C17:$DDK$655361</xm:f>
          </x14:formula1>
          <xm:sqref>DDS655367:DDS655390</xm:sqref>
        </x14:dataValidation>
        <x14:dataValidation type="list" allowBlank="1" showInputMessage="1" showErrorMessage="1" xr:uid="{A98E1169-9028-43CE-8234-F1CF791F5CEA}">
          <x14:formula1>
            <xm:f>項目!C17:$DNG$655361</xm:f>
          </x14:formula1>
          <xm:sqref>DNO655367:DNO655390</xm:sqref>
        </x14:dataValidation>
        <x14:dataValidation type="list" allowBlank="1" showInputMessage="1" showErrorMessage="1" xr:uid="{D53DE555-07D3-4E84-A197-E67E20069224}">
          <x14:formula1>
            <xm:f>項目!C17:$DXC$655361</xm:f>
          </x14:formula1>
          <xm:sqref>DXK655367:DXK655390</xm:sqref>
        </x14:dataValidation>
        <x14:dataValidation type="list" allowBlank="1" showInputMessage="1" showErrorMessage="1" xr:uid="{6F52ED54-E83C-434F-A035-5C4444CB4898}">
          <x14:formula1>
            <xm:f>項目!C17:$EGY$655361</xm:f>
          </x14:formula1>
          <xm:sqref>EHG655367:EHG655390</xm:sqref>
        </x14:dataValidation>
        <x14:dataValidation type="list" allowBlank="1" showInputMessage="1" showErrorMessage="1" xr:uid="{84329A0F-0F0D-4FA3-B8AD-7ECEFF3AE221}">
          <x14:formula1>
            <xm:f>項目!C17:$EQU$655361</xm:f>
          </x14:formula1>
          <xm:sqref>ERC655367:ERC655390</xm:sqref>
        </x14:dataValidation>
        <x14:dataValidation type="list" allowBlank="1" showInputMessage="1" showErrorMessage="1" xr:uid="{E22B91AF-11A2-4F69-9960-D63ADB32779E}">
          <x14:formula1>
            <xm:f>項目!C17:$FAQ$655361</xm:f>
          </x14:formula1>
          <xm:sqref>FAY655367:FAY655390</xm:sqref>
        </x14:dataValidation>
        <x14:dataValidation type="list" allowBlank="1" showInputMessage="1" showErrorMessage="1" xr:uid="{976E12AF-0264-4E95-8FB7-DE18078AF0B3}">
          <x14:formula1>
            <xm:f>項目!C17:$FKM$655361</xm:f>
          </x14:formula1>
          <xm:sqref>FKU655367:FKU655390</xm:sqref>
        </x14:dataValidation>
        <x14:dataValidation type="list" allowBlank="1" showInputMessage="1" showErrorMessage="1" xr:uid="{D214A052-E937-4053-BABA-FEA59F407C03}">
          <x14:formula1>
            <xm:f>項目!C17:$FUI$655361</xm:f>
          </x14:formula1>
          <xm:sqref>FUQ655367:FUQ655390</xm:sqref>
        </x14:dataValidation>
        <x14:dataValidation type="list" allowBlank="1" showInputMessage="1" showErrorMessage="1" xr:uid="{D0605940-04B5-4910-B1BA-5D0615779521}">
          <x14:formula1>
            <xm:f>項目!C17:$GEE$655361</xm:f>
          </x14:formula1>
          <xm:sqref>GEM655367:GEM655390</xm:sqref>
        </x14:dataValidation>
        <x14:dataValidation type="list" allowBlank="1" showInputMessage="1" showErrorMessage="1" xr:uid="{5EFE7DE8-96AA-4F72-868B-FF94F2E2A7AE}">
          <x14:formula1>
            <xm:f>項目!C17:$GOA$655361</xm:f>
          </x14:formula1>
          <xm:sqref>GOI655367:GOI655390</xm:sqref>
        </x14:dataValidation>
        <x14:dataValidation type="list" allowBlank="1" showInputMessage="1" showErrorMessage="1" xr:uid="{D090F7A6-870F-44C9-B8AF-793B10ED58BC}">
          <x14:formula1>
            <xm:f>項目!C17:$GXW$655361</xm:f>
          </x14:formula1>
          <xm:sqref>GYE655367:GYE655390</xm:sqref>
        </x14:dataValidation>
        <x14:dataValidation type="list" allowBlank="1" showInputMessage="1" showErrorMessage="1" xr:uid="{6B0DA95D-9B4B-434F-BB59-C946E6DA3034}">
          <x14:formula1>
            <xm:f>項目!C17:$HHS$655361</xm:f>
          </x14:formula1>
          <xm:sqref>HIA655367:HIA655390</xm:sqref>
        </x14:dataValidation>
        <x14:dataValidation type="list" allowBlank="1" showInputMessage="1" showErrorMessage="1" xr:uid="{713C01BE-2842-4B8E-8387-B48B607604E2}">
          <x14:formula1>
            <xm:f>項目!C17:$HRO$655361</xm:f>
          </x14:formula1>
          <xm:sqref>HRW655367:HRW655390</xm:sqref>
        </x14:dataValidation>
        <x14:dataValidation type="list" allowBlank="1" showInputMessage="1" showErrorMessage="1" xr:uid="{3698129B-1ECC-4C45-BFAC-9654E8C338B9}">
          <x14:formula1>
            <xm:f>項目!C17:$IBK$655361</xm:f>
          </x14:formula1>
          <xm:sqref>IBS655367:IBS655390</xm:sqref>
        </x14:dataValidation>
        <x14:dataValidation type="list" allowBlank="1" showInputMessage="1" showErrorMessage="1" xr:uid="{1696010B-46C7-4466-B33D-212B5F3DB42B}">
          <x14:formula1>
            <xm:f>項目!C17:$ILG$655361</xm:f>
          </x14:formula1>
          <xm:sqref>ILO655367:ILO655390</xm:sqref>
        </x14:dataValidation>
        <x14:dataValidation type="list" allowBlank="1" showInputMessage="1" showErrorMessage="1" xr:uid="{0D8C9843-19EF-420A-9078-6F6E943A85C4}">
          <x14:formula1>
            <xm:f>項目!C17:$IVC$655361</xm:f>
          </x14:formula1>
          <xm:sqref>IVK655367:IVK655390</xm:sqref>
        </x14:dataValidation>
        <x14:dataValidation type="list" allowBlank="1" showInputMessage="1" showErrorMessage="1" xr:uid="{4D7FD940-7AA8-46E4-AC26-F92714A8D069}">
          <x14:formula1>
            <xm:f>項目!C17:$JEY$655361</xm:f>
          </x14:formula1>
          <xm:sqref>JFG655367:JFG655390</xm:sqref>
        </x14:dataValidation>
        <x14:dataValidation type="list" allowBlank="1" showInputMessage="1" showErrorMessage="1" xr:uid="{DC315DF8-5698-4F3A-88BD-1E4322DCD4D6}">
          <x14:formula1>
            <xm:f>項目!C17:$JOU$655361</xm:f>
          </x14:formula1>
          <xm:sqref>JPC655367:JPC655390</xm:sqref>
        </x14:dataValidation>
        <x14:dataValidation type="list" allowBlank="1" showInputMessage="1" showErrorMessage="1" xr:uid="{C440F030-B4BA-41A1-94A6-703EA9310C56}">
          <x14:formula1>
            <xm:f>項目!C17:$JYQ$655361</xm:f>
          </x14:formula1>
          <xm:sqref>JYY655367:JYY655390</xm:sqref>
        </x14:dataValidation>
        <x14:dataValidation type="list" allowBlank="1" showInputMessage="1" showErrorMessage="1" xr:uid="{C902FDF9-0180-482C-AEEB-E6D247FDF49E}">
          <x14:formula1>
            <xm:f>項目!C17:$KIM$655361</xm:f>
          </x14:formula1>
          <xm:sqref>KIU655367:KIU655390</xm:sqref>
        </x14:dataValidation>
        <x14:dataValidation type="list" allowBlank="1" showInputMessage="1" showErrorMessage="1" xr:uid="{D10242BD-429C-49D1-804C-11F4FF2E015E}">
          <x14:formula1>
            <xm:f>項目!C17:$KSI$655361</xm:f>
          </x14:formula1>
          <xm:sqref>KSQ655367:KSQ655390</xm:sqref>
        </x14:dataValidation>
        <x14:dataValidation type="list" allowBlank="1" showInputMessage="1" showErrorMessage="1" xr:uid="{622E7525-B9BF-42ED-996A-09AED12FCED9}">
          <x14:formula1>
            <xm:f>項目!C17:$LCE$655361</xm:f>
          </x14:formula1>
          <xm:sqref>LCM655367:LCM655390</xm:sqref>
        </x14:dataValidation>
        <x14:dataValidation type="list" allowBlank="1" showInputMessage="1" showErrorMessage="1" xr:uid="{1F4A5097-CE72-4F84-8F90-D4C3A81D6216}">
          <x14:formula1>
            <xm:f>項目!C17:$LMA$655361</xm:f>
          </x14:formula1>
          <xm:sqref>LMI655367:LMI655390</xm:sqref>
        </x14:dataValidation>
        <x14:dataValidation type="list" allowBlank="1" showInputMessage="1" showErrorMessage="1" xr:uid="{D33754BC-06DA-4C4A-B999-BC7274EACB59}">
          <x14:formula1>
            <xm:f>項目!C17:$LVW$655361</xm:f>
          </x14:formula1>
          <xm:sqref>LWE655367:LWE655390</xm:sqref>
        </x14:dataValidation>
        <x14:dataValidation type="list" allowBlank="1" showInputMessage="1" showErrorMessage="1" xr:uid="{4BC00B30-F6E8-46C6-BBD7-897532D02993}">
          <x14:formula1>
            <xm:f>項目!C17:$MFS$655361</xm:f>
          </x14:formula1>
          <xm:sqref>MGA655367:MGA655390</xm:sqref>
        </x14:dataValidation>
        <x14:dataValidation type="list" allowBlank="1" showInputMessage="1" showErrorMessage="1" xr:uid="{6E6414AB-5C26-4581-99DF-BF2015AAF35C}">
          <x14:formula1>
            <xm:f>項目!C17:$MPO$655361</xm:f>
          </x14:formula1>
          <xm:sqref>MPW655367:MPW655390</xm:sqref>
        </x14:dataValidation>
        <x14:dataValidation type="list" allowBlank="1" showInputMessage="1" showErrorMessage="1" xr:uid="{8C04244F-57B1-4C08-9C82-7BE47B3FE6C4}">
          <x14:formula1>
            <xm:f>項目!C17:$MZK$655361</xm:f>
          </x14:formula1>
          <xm:sqref>MZS655367:MZS655390</xm:sqref>
        </x14:dataValidation>
        <x14:dataValidation type="list" allowBlank="1" showInputMessage="1" showErrorMessage="1" xr:uid="{B23483EF-92DC-4E35-B1E4-2AB1ADCCAD4E}">
          <x14:formula1>
            <xm:f>項目!C17:$NJG$655361</xm:f>
          </x14:formula1>
          <xm:sqref>NJO655367:NJO655390</xm:sqref>
        </x14:dataValidation>
        <x14:dataValidation type="list" allowBlank="1" showInputMessage="1" showErrorMessage="1" xr:uid="{C3A886E4-98A9-4833-804A-0FBF6EC4402F}">
          <x14:formula1>
            <xm:f>項目!C17:$NTC$655361</xm:f>
          </x14:formula1>
          <xm:sqref>NTK655367:NTK655390</xm:sqref>
        </x14:dataValidation>
        <x14:dataValidation type="list" allowBlank="1" showInputMessage="1" showErrorMessage="1" xr:uid="{CEC3DE5C-BA5F-49D7-8E78-1D91635DBE60}">
          <x14:formula1>
            <xm:f>項目!C17:$OCY$655361</xm:f>
          </x14:formula1>
          <xm:sqref>ODG655367:ODG655390</xm:sqref>
        </x14:dataValidation>
        <x14:dataValidation type="list" allowBlank="1" showInputMessage="1" showErrorMessage="1" xr:uid="{0874DE4C-01E5-4488-A345-E6FF7BE90A24}">
          <x14:formula1>
            <xm:f>項目!C17:$OMU$655361</xm:f>
          </x14:formula1>
          <xm:sqref>ONC655367:ONC655390</xm:sqref>
        </x14:dataValidation>
        <x14:dataValidation type="list" allowBlank="1" showInputMessage="1" showErrorMessage="1" xr:uid="{17C1DC89-0BA5-440E-8ED8-F20F1F11A4F5}">
          <x14:formula1>
            <xm:f>項目!C17:$OWQ$655361</xm:f>
          </x14:formula1>
          <xm:sqref>OWY655367:OWY655390</xm:sqref>
        </x14:dataValidation>
        <x14:dataValidation type="list" allowBlank="1" showInputMessage="1" showErrorMessage="1" xr:uid="{72F45787-8E2E-46F9-AB19-3DD2EE557B20}">
          <x14:formula1>
            <xm:f>項目!C17:$PGM$655361</xm:f>
          </x14:formula1>
          <xm:sqref>PGU655367:PGU655390</xm:sqref>
        </x14:dataValidation>
        <x14:dataValidation type="list" allowBlank="1" showInputMessage="1" showErrorMessage="1" xr:uid="{14E224AB-2997-42F4-AF7C-A673560EE7EE}">
          <x14:formula1>
            <xm:f>項目!C17:$PQI$655361</xm:f>
          </x14:formula1>
          <xm:sqref>PQQ655367:PQQ655390</xm:sqref>
        </x14:dataValidation>
        <x14:dataValidation type="list" allowBlank="1" showInputMessage="1" showErrorMessage="1" xr:uid="{5E35A0A2-E039-4FC2-BDCF-D32819B7F443}">
          <x14:formula1>
            <xm:f>項目!C17:$QAE$655361</xm:f>
          </x14:formula1>
          <xm:sqref>QAM655367:QAM655390</xm:sqref>
        </x14:dataValidation>
        <x14:dataValidation type="list" allowBlank="1" showInputMessage="1" showErrorMessage="1" xr:uid="{732FDCB0-AD59-448D-AA90-ECE450EF1226}">
          <x14:formula1>
            <xm:f>項目!C17:$QKA$655361</xm:f>
          </x14:formula1>
          <xm:sqref>QKI655367:QKI655390</xm:sqref>
        </x14:dataValidation>
        <x14:dataValidation type="list" allowBlank="1" showInputMessage="1" showErrorMessage="1" xr:uid="{1CE900AC-68CE-4963-AF7B-C4F0C29C800E}">
          <x14:formula1>
            <xm:f>項目!C17:$QTW$655361</xm:f>
          </x14:formula1>
          <xm:sqref>QUE655367:QUE655390</xm:sqref>
        </x14:dataValidation>
        <x14:dataValidation type="list" allowBlank="1" showInputMessage="1" showErrorMessage="1" xr:uid="{61ADD8B7-7603-4E08-B555-9AA8E6EC6393}">
          <x14:formula1>
            <xm:f>項目!C17:$RDS$655361</xm:f>
          </x14:formula1>
          <xm:sqref>REA655367:REA655390</xm:sqref>
        </x14:dataValidation>
        <x14:dataValidation type="list" allowBlank="1" showInputMessage="1" showErrorMessage="1" xr:uid="{E80836C4-FD30-4636-BB7F-8D405BB4BC73}">
          <x14:formula1>
            <xm:f>項目!C17:$RNO$655361</xm:f>
          </x14:formula1>
          <xm:sqref>RNW655367:RNW655390</xm:sqref>
        </x14:dataValidation>
        <x14:dataValidation type="list" allowBlank="1" showInputMessage="1" showErrorMessage="1" xr:uid="{FF88BBD1-5DFA-4339-B72E-AD1BA6E9DB13}">
          <x14:formula1>
            <xm:f>項目!C17:$RXK$655361</xm:f>
          </x14:formula1>
          <xm:sqref>RXS655367:RXS655390</xm:sqref>
        </x14:dataValidation>
        <x14:dataValidation type="list" allowBlank="1" showInputMessage="1" showErrorMessage="1" xr:uid="{5B90D5F5-C523-4480-A45F-47F2C9C6F496}">
          <x14:formula1>
            <xm:f>項目!C17:$SHG$655361</xm:f>
          </x14:formula1>
          <xm:sqref>SHO655367:SHO655390</xm:sqref>
        </x14:dataValidation>
        <x14:dataValidation type="list" allowBlank="1" showInputMessage="1" showErrorMessage="1" xr:uid="{E99B5DDC-409B-467A-B974-AEF697C7AA85}">
          <x14:formula1>
            <xm:f>項目!C17:$SRC$655361</xm:f>
          </x14:formula1>
          <xm:sqref>SRK655367:SRK655390</xm:sqref>
        </x14:dataValidation>
        <x14:dataValidation type="list" allowBlank="1" showInputMessage="1" showErrorMessage="1" xr:uid="{5AC298C1-D1A3-47C9-8C4C-DD0422084EF3}">
          <x14:formula1>
            <xm:f>項目!C17:$TAY$655361</xm:f>
          </x14:formula1>
          <xm:sqref>TBG655367:TBG655390</xm:sqref>
        </x14:dataValidation>
        <x14:dataValidation type="list" allowBlank="1" showInputMessage="1" showErrorMessage="1" xr:uid="{654D8B57-0972-4C4F-BC71-E3915231E63D}">
          <x14:formula1>
            <xm:f>項目!C17:$TKU$655361</xm:f>
          </x14:formula1>
          <xm:sqref>TLC655367:TLC655390</xm:sqref>
        </x14:dataValidation>
        <x14:dataValidation type="list" allowBlank="1" showInputMessage="1" showErrorMessage="1" xr:uid="{73C71D35-989A-4638-ADBD-7399F8117FB4}">
          <x14:formula1>
            <xm:f>項目!C17:$TUQ$655361</xm:f>
          </x14:formula1>
          <xm:sqref>TUY655367:TUY655390</xm:sqref>
        </x14:dataValidation>
        <x14:dataValidation type="list" allowBlank="1" showInputMessage="1" showErrorMessage="1" xr:uid="{3D6A4AC5-7BD5-440B-921A-053F8F8CD594}">
          <x14:formula1>
            <xm:f>項目!C17:$UEM$655361</xm:f>
          </x14:formula1>
          <xm:sqref>UEU655367:UEU655390</xm:sqref>
        </x14:dataValidation>
        <x14:dataValidation type="list" allowBlank="1" showInputMessage="1" showErrorMessage="1" xr:uid="{9AD8C1F4-0F1C-427E-84F4-72403485A945}">
          <x14:formula1>
            <xm:f>項目!C17:$UOI$655361</xm:f>
          </x14:formula1>
          <xm:sqref>UOQ655367:UOQ655390</xm:sqref>
        </x14:dataValidation>
        <x14:dataValidation type="list" allowBlank="1" showInputMessage="1" showErrorMessage="1" xr:uid="{554BAE6C-8A48-4FCF-91CA-4A77D16AC6DA}">
          <x14:formula1>
            <xm:f>項目!C17:$UYE$655361</xm:f>
          </x14:formula1>
          <xm:sqref>UYM655367:UYM655390</xm:sqref>
        </x14:dataValidation>
        <x14:dataValidation type="list" allowBlank="1" showInputMessage="1" showErrorMessage="1" xr:uid="{5ED9AB3D-BAC9-46F5-B043-E1AE4DC3F42F}">
          <x14:formula1>
            <xm:f>項目!C17:$VIA$655361</xm:f>
          </x14:formula1>
          <xm:sqref>VII655367:VII655390</xm:sqref>
        </x14:dataValidation>
        <x14:dataValidation type="list" allowBlank="1" showInputMessage="1" showErrorMessage="1" xr:uid="{9A5746AA-6A64-498E-A67E-1E8A7A8B50AD}">
          <x14:formula1>
            <xm:f>項目!C17:$VRW$655361</xm:f>
          </x14:formula1>
          <xm:sqref>VSE655367:VSE655390</xm:sqref>
        </x14:dataValidation>
        <x14:dataValidation type="list" allowBlank="1" showInputMessage="1" showErrorMessage="1" xr:uid="{578F7139-181C-4B4F-AE4E-6FF56B833082}">
          <x14:formula1>
            <xm:f>項目!C17:$WBS$655361</xm:f>
          </x14:formula1>
          <xm:sqref>WCA655367:WCA655390</xm:sqref>
        </x14:dataValidation>
        <x14:dataValidation type="list" allowBlank="1" showInputMessage="1" showErrorMessage="1" xr:uid="{278144EF-332E-42D8-8CF9-DB07DC9E062E}">
          <x14:formula1>
            <xm:f>項目!C17:$WLO$655361</xm:f>
          </x14:formula1>
          <xm:sqref>WLW655367:WLW655390</xm:sqref>
        </x14:dataValidation>
        <x14:dataValidation type="list" allowBlank="1" showInputMessage="1" showErrorMessage="1" xr:uid="{108D1916-32CE-4FFC-98EE-9C49B5B450A4}">
          <x14:formula1>
            <xm:f>項目!C17:$WVK$655361</xm:f>
          </x14:formula1>
          <xm:sqref>WVS655367:WVS655390</xm:sqref>
        </x14:dataValidation>
        <x14:dataValidation type="list" allowBlank="1" showInputMessage="1" showErrorMessage="1" xr:uid="{095FE737-A347-4290-BCA3-80281D3D31EF}">
          <x14:formula1>
            <xm:f>項目!C17:$IY$720897</xm:f>
          </x14:formula1>
          <xm:sqref>JG720903:JG720926</xm:sqref>
        </x14:dataValidation>
        <x14:dataValidation type="list" allowBlank="1" showInputMessage="1" showErrorMessage="1" xr:uid="{490CCF92-D261-4401-86B9-661CB667F738}">
          <x14:formula1>
            <xm:f>項目!C17:$SU$720897</xm:f>
          </x14:formula1>
          <xm:sqref>TC720903:TC720926</xm:sqref>
        </x14:dataValidation>
        <x14:dataValidation type="list" allowBlank="1" showInputMessage="1" showErrorMessage="1" xr:uid="{68544F52-2099-43D7-9C53-8A0FF5F79FEB}">
          <x14:formula1>
            <xm:f>項目!C17:$ACQ$720897</xm:f>
          </x14:formula1>
          <xm:sqref>ACY720903:ACY720926</xm:sqref>
        </x14:dataValidation>
        <x14:dataValidation type="list" allowBlank="1" showInputMessage="1" showErrorMessage="1" xr:uid="{B7D9CFEE-59E7-411A-85A2-2735EEED58D5}">
          <x14:formula1>
            <xm:f>項目!C17:$AMM$720897</xm:f>
          </x14:formula1>
          <xm:sqref>AMU720903:AMU720926</xm:sqref>
        </x14:dataValidation>
        <x14:dataValidation type="list" allowBlank="1" showInputMessage="1" showErrorMessage="1" xr:uid="{2790E3D0-0E92-4F11-84D7-E4A40892CC0A}">
          <x14:formula1>
            <xm:f>項目!C17:$AWI$720897</xm:f>
          </x14:formula1>
          <xm:sqref>AWQ720903:AWQ720926</xm:sqref>
        </x14:dataValidation>
        <x14:dataValidation type="list" allowBlank="1" showInputMessage="1" showErrorMessage="1" xr:uid="{EFDF4929-61AD-4283-97E4-7B0131CA5178}">
          <x14:formula1>
            <xm:f>項目!C17:$BGE$720897</xm:f>
          </x14:formula1>
          <xm:sqref>BGM720903:BGM720926</xm:sqref>
        </x14:dataValidation>
        <x14:dataValidation type="list" allowBlank="1" showInputMessage="1" showErrorMessage="1" xr:uid="{8C159A0D-8B8A-48A0-8418-B4F0C376A967}">
          <x14:formula1>
            <xm:f>項目!C17:$BQA$720897</xm:f>
          </x14:formula1>
          <xm:sqref>BQI720903:BQI720926</xm:sqref>
        </x14:dataValidation>
        <x14:dataValidation type="list" allowBlank="1" showInputMessage="1" showErrorMessage="1" xr:uid="{6F3BD17C-A08B-4E23-9B6E-5413A68B1AA3}">
          <x14:formula1>
            <xm:f>項目!C17:$BZW$720897</xm:f>
          </x14:formula1>
          <xm:sqref>CAE720903:CAE720926</xm:sqref>
        </x14:dataValidation>
        <x14:dataValidation type="list" allowBlank="1" showInputMessage="1" showErrorMessage="1" xr:uid="{F7DE013F-D184-427D-9B04-FF0AABE1CCEC}">
          <x14:formula1>
            <xm:f>項目!C17:$CJS$720897</xm:f>
          </x14:formula1>
          <xm:sqref>CKA720903:CKA720926</xm:sqref>
        </x14:dataValidation>
        <x14:dataValidation type="list" allowBlank="1" showInputMessage="1" showErrorMessage="1" xr:uid="{7E14D968-B3EC-45CD-B8FC-0BB8B1448FDE}">
          <x14:formula1>
            <xm:f>項目!C17:$CTO$720897</xm:f>
          </x14:formula1>
          <xm:sqref>CTW720903:CTW720926</xm:sqref>
        </x14:dataValidation>
        <x14:dataValidation type="list" allowBlank="1" showInputMessage="1" showErrorMessage="1" xr:uid="{84E6DB1E-B2FD-43B8-AB36-AA2BB658A093}">
          <x14:formula1>
            <xm:f>項目!C17:$DDK$720897</xm:f>
          </x14:formula1>
          <xm:sqref>DDS720903:DDS720926</xm:sqref>
        </x14:dataValidation>
        <x14:dataValidation type="list" allowBlank="1" showInputMessage="1" showErrorMessage="1" xr:uid="{8B862FFF-FAC4-4B76-8281-AB18C467346E}">
          <x14:formula1>
            <xm:f>項目!C17:$DNG$720897</xm:f>
          </x14:formula1>
          <xm:sqref>DNO720903:DNO720926</xm:sqref>
        </x14:dataValidation>
        <x14:dataValidation type="list" allowBlank="1" showInputMessage="1" showErrorMessage="1" xr:uid="{4EE25BB6-3F2B-410A-8067-10AF5984275E}">
          <x14:formula1>
            <xm:f>項目!C17:$DXC$720897</xm:f>
          </x14:formula1>
          <xm:sqref>DXK720903:DXK720926</xm:sqref>
        </x14:dataValidation>
        <x14:dataValidation type="list" allowBlank="1" showInputMessage="1" showErrorMessage="1" xr:uid="{91B168AC-B5B0-4060-9195-AA929C481BAE}">
          <x14:formula1>
            <xm:f>項目!C17:$EGY$720897</xm:f>
          </x14:formula1>
          <xm:sqref>EHG720903:EHG720926</xm:sqref>
        </x14:dataValidation>
        <x14:dataValidation type="list" allowBlank="1" showInputMessage="1" showErrorMessage="1" xr:uid="{9766C542-9C6A-48AA-9B92-21C4D3D41C85}">
          <x14:formula1>
            <xm:f>項目!C17:$EQU$720897</xm:f>
          </x14:formula1>
          <xm:sqref>ERC720903:ERC720926</xm:sqref>
        </x14:dataValidation>
        <x14:dataValidation type="list" allowBlank="1" showInputMessage="1" showErrorMessage="1" xr:uid="{928DB74F-7E4D-4E95-879B-78A806F29F93}">
          <x14:formula1>
            <xm:f>項目!C17:$FAQ$720897</xm:f>
          </x14:formula1>
          <xm:sqref>FAY720903:FAY720926</xm:sqref>
        </x14:dataValidation>
        <x14:dataValidation type="list" allowBlank="1" showInputMessage="1" showErrorMessage="1" xr:uid="{9CD500D0-3E71-4B1D-9D6A-0C8E13C2126D}">
          <x14:formula1>
            <xm:f>項目!C17:$FKM$720897</xm:f>
          </x14:formula1>
          <xm:sqref>FKU720903:FKU720926</xm:sqref>
        </x14:dataValidation>
        <x14:dataValidation type="list" allowBlank="1" showInputMessage="1" showErrorMessage="1" xr:uid="{C6AE4D38-CDE9-4258-BEB4-790CEE13AA8A}">
          <x14:formula1>
            <xm:f>項目!C17:$FUI$720897</xm:f>
          </x14:formula1>
          <xm:sqref>FUQ720903:FUQ720926</xm:sqref>
        </x14:dataValidation>
        <x14:dataValidation type="list" allowBlank="1" showInputMessage="1" showErrorMessage="1" xr:uid="{4D87800F-D299-4F18-BB61-AE0ECB673F47}">
          <x14:formula1>
            <xm:f>項目!C17:$GEE$720897</xm:f>
          </x14:formula1>
          <xm:sqref>GEM720903:GEM720926</xm:sqref>
        </x14:dataValidation>
        <x14:dataValidation type="list" allowBlank="1" showInputMessage="1" showErrorMessage="1" xr:uid="{7A67D4C1-5D9E-4B21-95D9-BABDB4DE0508}">
          <x14:formula1>
            <xm:f>項目!C17:$GOA$720897</xm:f>
          </x14:formula1>
          <xm:sqref>GOI720903:GOI720926</xm:sqref>
        </x14:dataValidation>
        <x14:dataValidation type="list" allowBlank="1" showInputMessage="1" showErrorMessage="1" xr:uid="{E542D95C-DB50-447B-92C8-DAFC498AFB2D}">
          <x14:formula1>
            <xm:f>項目!C17:$GXW$720897</xm:f>
          </x14:formula1>
          <xm:sqref>GYE720903:GYE720926</xm:sqref>
        </x14:dataValidation>
        <x14:dataValidation type="list" allowBlank="1" showInputMessage="1" showErrorMessage="1" xr:uid="{6584A09C-879B-481E-AF0E-3E9A385F7A6D}">
          <x14:formula1>
            <xm:f>項目!C17:$HHS$720897</xm:f>
          </x14:formula1>
          <xm:sqref>HIA720903:HIA720926</xm:sqref>
        </x14:dataValidation>
        <x14:dataValidation type="list" allowBlank="1" showInputMessage="1" showErrorMessage="1" xr:uid="{3D52590A-8D3B-461D-BDEF-2F4EF632B2B0}">
          <x14:formula1>
            <xm:f>項目!C17:$HRO$720897</xm:f>
          </x14:formula1>
          <xm:sqref>HRW720903:HRW720926</xm:sqref>
        </x14:dataValidation>
        <x14:dataValidation type="list" allowBlank="1" showInputMessage="1" showErrorMessage="1" xr:uid="{5A1744E9-2B10-4644-B2DE-6ECBC37C055E}">
          <x14:formula1>
            <xm:f>項目!C17:$IBK$720897</xm:f>
          </x14:formula1>
          <xm:sqref>IBS720903:IBS720926</xm:sqref>
        </x14:dataValidation>
        <x14:dataValidation type="list" allowBlank="1" showInputMessage="1" showErrorMessage="1" xr:uid="{AA2014DB-B720-4973-8359-77D8452E44F2}">
          <x14:formula1>
            <xm:f>項目!C17:$ILG$720897</xm:f>
          </x14:formula1>
          <xm:sqref>ILO720903:ILO720926</xm:sqref>
        </x14:dataValidation>
        <x14:dataValidation type="list" allowBlank="1" showInputMessage="1" showErrorMessage="1" xr:uid="{BEF2078A-6E14-4FAE-9BDC-369707A12546}">
          <x14:formula1>
            <xm:f>項目!C17:$IVC$720897</xm:f>
          </x14:formula1>
          <xm:sqref>IVK720903:IVK720926</xm:sqref>
        </x14:dataValidation>
        <x14:dataValidation type="list" allowBlank="1" showInputMessage="1" showErrorMessage="1" xr:uid="{46BE8576-5CE5-48FB-85E4-19870F9E15C6}">
          <x14:formula1>
            <xm:f>項目!C17:$JEY$720897</xm:f>
          </x14:formula1>
          <xm:sqref>JFG720903:JFG720926</xm:sqref>
        </x14:dataValidation>
        <x14:dataValidation type="list" allowBlank="1" showInputMessage="1" showErrorMessage="1" xr:uid="{6E91786B-2A72-49B0-99F4-B86971757133}">
          <x14:formula1>
            <xm:f>項目!C17:$JOU$720897</xm:f>
          </x14:formula1>
          <xm:sqref>JPC720903:JPC720926</xm:sqref>
        </x14:dataValidation>
        <x14:dataValidation type="list" allowBlank="1" showInputMessage="1" showErrorMessage="1" xr:uid="{578E21FE-2E55-4070-8425-FCBBE0AAEDC3}">
          <x14:formula1>
            <xm:f>項目!C17:$JYQ$720897</xm:f>
          </x14:formula1>
          <xm:sqref>JYY720903:JYY720926</xm:sqref>
        </x14:dataValidation>
        <x14:dataValidation type="list" allowBlank="1" showInputMessage="1" showErrorMessage="1" xr:uid="{0271977A-63B8-4334-8913-417B72199A03}">
          <x14:formula1>
            <xm:f>項目!C17:$KIM$720897</xm:f>
          </x14:formula1>
          <xm:sqref>KIU720903:KIU720926</xm:sqref>
        </x14:dataValidation>
        <x14:dataValidation type="list" allowBlank="1" showInputMessage="1" showErrorMessage="1" xr:uid="{BC7107B5-56E7-4961-86FA-8B22F4F41083}">
          <x14:formula1>
            <xm:f>項目!C17:$KSI$720897</xm:f>
          </x14:formula1>
          <xm:sqref>KSQ720903:KSQ720926</xm:sqref>
        </x14:dataValidation>
        <x14:dataValidation type="list" allowBlank="1" showInputMessage="1" showErrorMessage="1" xr:uid="{6CC6ACFE-39D6-42C5-8204-FCB44F1C934B}">
          <x14:formula1>
            <xm:f>項目!C17:$LCE$720897</xm:f>
          </x14:formula1>
          <xm:sqref>LCM720903:LCM720926</xm:sqref>
        </x14:dataValidation>
        <x14:dataValidation type="list" allowBlank="1" showInputMessage="1" showErrorMessage="1" xr:uid="{3DBE92DE-C597-4DDD-B3DE-68E46B728E6F}">
          <x14:formula1>
            <xm:f>項目!C17:$LMA$720897</xm:f>
          </x14:formula1>
          <xm:sqref>LMI720903:LMI720926</xm:sqref>
        </x14:dataValidation>
        <x14:dataValidation type="list" allowBlank="1" showInputMessage="1" showErrorMessage="1" xr:uid="{ABCDD482-B496-4DD9-9374-1784A80DE27F}">
          <x14:formula1>
            <xm:f>項目!C17:$LVW$720897</xm:f>
          </x14:formula1>
          <xm:sqref>LWE720903:LWE720926</xm:sqref>
        </x14:dataValidation>
        <x14:dataValidation type="list" allowBlank="1" showInputMessage="1" showErrorMessage="1" xr:uid="{49698BBD-2FE4-4D96-BE8C-467F5099B579}">
          <x14:formula1>
            <xm:f>項目!C17:$MFS$720897</xm:f>
          </x14:formula1>
          <xm:sqref>MGA720903:MGA720926</xm:sqref>
        </x14:dataValidation>
        <x14:dataValidation type="list" allowBlank="1" showInputMessage="1" showErrorMessage="1" xr:uid="{480DB022-7BC2-45CC-832A-24197CCDF6B8}">
          <x14:formula1>
            <xm:f>項目!C17:$MPO$720897</xm:f>
          </x14:formula1>
          <xm:sqref>MPW720903:MPW720926</xm:sqref>
        </x14:dataValidation>
        <x14:dataValidation type="list" allowBlank="1" showInputMessage="1" showErrorMessage="1" xr:uid="{7EE8639C-F0EF-4019-B475-B3C4268FFB9C}">
          <x14:formula1>
            <xm:f>項目!C17:$MZK$720897</xm:f>
          </x14:formula1>
          <xm:sqref>MZS720903:MZS720926</xm:sqref>
        </x14:dataValidation>
        <x14:dataValidation type="list" allowBlank="1" showInputMessage="1" showErrorMessage="1" xr:uid="{AB1FAE47-3905-4EB2-A801-DE671A4B1FB3}">
          <x14:formula1>
            <xm:f>項目!C17:$NJG$720897</xm:f>
          </x14:formula1>
          <xm:sqref>NJO720903:NJO720926</xm:sqref>
        </x14:dataValidation>
        <x14:dataValidation type="list" allowBlank="1" showInputMessage="1" showErrorMessage="1" xr:uid="{9212C779-58FE-43B5-B755-643515785C45}">
          <x14:formula1>
            <xm:f>項目!C17:$NTC$720897</xm:f>
          </x14:formula1>
          <xm:sqref>NTK720903:NTK720926</xm:sqref>
        </x14:dataValidation>
        <x14:dataValidation type="list" allowBlank="1" showInputMessage="1" showErrorMessage="1" xr:uid="{53ADBE19-E02C-4085-8C9D-C7F78641EB6E}">
          <x14:formula1>
            <xm:f>項目!C17:$OCY$720897</xm:f>
          </x14:formula1>
          <xm:sqref>ODG720903:ODG720926</xm:sqref>
        </x14:dataValidation>
        <x14:dataValidation type="list" allowBlank="1" showInputMessage="1" showErrorMessage="1" xr:uid="{E35947F7-2AF7-4668-A91D-0758952CA503}">
          <x14:formula1>
            <xm:f>項目!C17:$OMU$720897</xm:f>
          </x14:formula1>
          <xm:sqref>ONC720903:ONC720926</xm:sqref>
        </x14:dataValidation>
        <x14:dataValidation type="list" allowBlank="1" showInputMessage="1" showErrorMessage="1" xr:uid="{37353C3B-F40B-41EC-B6EA-ED8DD888054D}">
          <x14:formula1>
            <xm:f>項目!C17:$OWQ$720897</xm:f>
          </x14:formula1>
          <xm:sqref>OWY720903:OWY720926</xm:sqref>
        </x14:dataValidation>
        <x14:dataValidation type="list" allowBlank="1" showInputMessage="1" showErrorMessage="1" xr:uid="{06763757-F6AF-421E-89BB-A6213832ADC8}">
          <x14:formula1>
            <xm:f>項目!C17:$PGM$720897</xm:f>
          </x14:formula1>
          <xm:sqref>PGU720903:PGU720926</xm:sqref>
        </x14:dataValidation>
        <x14:dataValidation type="list" allowBlank="1" showInputMessage="1" showErrorMessage="1" xr:uid="{BA983AF9-441D-4018-A4C7-1A3F191DD082}">
          <x14:formula1>
            <xm:f>項目!C17:$PQI$720897</xm:f>
          </x14:formula1>
          <xm:sqref>PQQ720903:PQQ720926</xm:sqref>
        </x14:dataValidation>
        <x14:dataValidation type="list" allowBlank="1" showInputMessage="1" showErrorMessage="1" xr:uid="{556882FF-8324-4DAA-A2D8-49F1738B70F7}">
          <x14:formula1>
            <xm:f>項目!C17:$QAE$720897</xm:f>
          </x14:formula1>
          <xm:sqref>QAM720903:QAM720926</xm:sqref>
        </x14:dataValidation>
        <x14:dataValidation type="list" allowBlank="1" showInputMessage="1" showErrorMessage="1" xr:uid="{A7BE9E89-9BA1-4F62-926B-6E94DA5A5F76}">
          <x14:formula1>
            <xm:f>項目!C17:$QKA$720897</xm:f>
          </x14:formula1>
          <xm:sqref>QKI720903:QKI720926</xm:sqref>
        </x14:dataValidation>
        <x14:dataValidation type="list" allowBlank="1" showInputMessage="1" showErrorMessage="1" xr:uid="{C078C458-9B7C-495C-8A90-F9FAD2D9981B}">
          <x14:formula1>
            <xm:f>項目!C17:$QTW$720897</xm:f>
          </x14:formula1>
          <xm:sqref>QUE720903:QUE720926</xm:sqref>
        </x14:dataValidation>
        <x14:dataValidation type="list" allowBlank="1" showInputMessage="1" showErrorMessage="1" xr:uid="{D043C5CA-036F-401D-BF04-82A7907326D5}">
          <x14:formula1>
            <xm:f>項目!C17:$RDS$720897</xm:f>
          </x14:formula1>
          <xm:sqref>REA720903:REA720926</xm:sqref>
        </x14:dataValidation>
        <x14:dataValidation type="list" allowBlank="1" showInputMessage="1" showErrorMessage="1" xr:uid="{2BEAF419-C094-4DAB-A8AD-21A81AB7BACC}">
          <x14:formula1>
            <xm:f>項目!C17:$RNO$720897</xm:f>
          </x14:formula1>
          <xm:sqref>RNW720903:RNW720926</xm:sqref>
        </x14:dataValidation>
        <x14:dataValidation type="list" allowBlank="1" showInputMessage="1" showErrorMessage="1" xr:uid="{48C9FE28-30FE-4A4C-B009-3A068567B81B}">
          <x14:formula1>
            <xm:f>項目!C17:$RXK$720897</xm:f>
          </x14:formula1>
          <xm:sqref>RXS720903:RXS720926</xm:sqref>
        </x14:dataValidation>
        <x14:dataValidation type="list" allowBlank="1" showInputMessage="1" showErrorMessage="1" xr:uid="{9C2AC5A3-EF44-41AB-B9BB-02D00813AD1A}">
          <x14:formula1>
            <xm:f>項目!C17:$SHG$720897</xm:f>
          </x14:formula1>
          <xm:sqref>SHO720903:SHO720926</xm:sqref>
        </x14:dataValidation>
        <x14:dataValidation type="list" allowBlank="1" showInputMessage="1" showErrorMessage="1" xr:uid="{E9F928A5-24B5-4CAD-A13A-ED60D5BAE4B2}">
          <x14:formula1>
            <xm:f>項目!C17:$SRC$720897</xm:f>
          </x14:formula1>
          <xm:sqref>SRK720903:SRK720926</xm:sqref>
        </x14:dataValidation>
        <x14:dataValidation type="list" allowBlank="1" showInputMessage="1" showErrorMessage="1" xr:uid="{85ABA537-F4B5-44A7-9DC5-3B834093B52C}">
          <x14:formula1>
            <xm:f>項目!C17:$TAY$720897</xm:f>
          </x14:formula1>
          <xm:sqref>TBG720903:TBG720926</xm:sqref>
        </x14:dataValidation>
        <x14:dataValidation type="list" allowBlank="1" showInputMessage="1" showErrorMessage="1" xr:uid="{234D63F8-C89C-4625-841A-7167700E05E2}">
          <x14:formula1>
            <xm:f>項目!C17:$TKU$720897</xm:f>
          </x14:formula1>
          <xm:sqref>TLC720903:TLC720926</xm:sqref>
        </x14:dataValidation>
        <x14:dataValidation type="list" allowBlank="1" showInputMessage="1" showErrorMessage="1" xr:uid="{DEA51625-3C5E-4FC8-BB33-A143E661B45D}">
          <x14:formula1>
            <xm:f>項目!C17:$TUQ$720897</xm:f>
          </x14:formula1>
          <xm:sqref>TUY720903:TUY720926</xm:sqref>
        </x14:dataValidation>
        <x14:dataValidation type="list" allowBlank="1" showInputMessage="1" showErrorMessage="1" xr:uid="{7D70D8C6-AD41-46C1-AD1F-7679A197C864}">
          <x14:formula1>
            <xm:f>項目!C17:$UEM$720897</xm:f>
          </x14:formula1>
          <xm:sqref>UEU720903:UEU720926</xm:sqref>
        </x14:dataValidation>
        <x14:dataValidation type="list" allowBlank="1" showInputMessage="1" showErrorMessage="1" xr:uid="{BB52E4E8-7D72-4605-9B11-3463B803EDCA}">
          <x14:formula1>
            <xm:f>項目!C17:$UOI$720897</xm:f>
          </x14:formula1>
          <xm:sqref>UOQ720903:UOQ720926</xm:sqref>
        </x14:dataValidation>
        <x14:dataValidation type="list" allowBlank="1" showInputMessage="1" showErrorMessage="1" xr:uid="{AD516E68-8DB8-4ABC-9829-F481587F6831}">
          <x14:formula1>
            <xm:f>項目!C17:$UYE$720897</xm:f>
          </x14:formula1>
          <xm:sqref>UYM720903:UYM720926</xm:sqref>
        </x14:dataValidation>
        <x14:dataValidation type="list" allowBlank="1" showInputMessage="1" showErrorMessage="1" xr:uid="{41695E50-A748-44F9-AD85-F568A8D93062}">
          <x14:formula1>
            <xm:f>項目!C17:$VIA$720897</xm:f>
          </x14:formula1>
          <xm:sqref>VII720903:VII720926</xm:sqref>
        </x14:dataValidation>
        <x14:dataValidation type="list" allowBlank="1" showInputMessage="1" showErrorMessage="1" xr:uid="{9BDA69C0-1C04-449F-94D4-FDFDB2411CCE}">
          <x14:formula1>
            <xm:f>項目!C17:$VRW$720897</xm:f>
          </x14:formula1>
          <xm:sqref>VSE720903:VSE720926</xm:sqref>
        </x14:dataValidation>
        <x14:dataValidation type="list" allowBlank="1" showInputMessage="1" showErrorMessage="1" xr:uid="{547808B6-D42E-4E43-9BC1-C9FB37B9BE5A}">
          <x14:formula1>
            <xm:f>項目!C17:$WBS$720897</xm:f>
          </x14:formula1>
          <xm:sqref>WCA720903:WCA720926</xm:sqref>
        </x14:dataValidation>
        <x14:dataValidation type="list" allowBlank="1" showInputMessage="1" showErrorMessage="1" xr:uid="{E51CE6C5-5079-4564-A3DB-BDD462303F29}">
          <x14:formula1>
            <xm:f>項目!C17:$WLO$720897</xm:f>
          </x14:formula1>
          <xm:sqref>WLW720903:WLW720926</xm:sqref>
        </x14:dataValidation>
        <x14:dataValidation type="list" allowBlank="1" showInputMessage="1" showErrorMessage="1" xr:uid="{A7675BDA-5812-449A-B09F-7A3648FB2B1E}">
          <x14:formula1>
            <xm:f>項目!C17:$WVK$720897</xm:f>
          </x14:formula1>
          <xm:sqref>WVS720903:WVS720926</xm:sqref>
        </x14:dataValidation>
        <x14:dataValidation type="list" allowBlank="1" showInputMessage="1" showErrorMessage="1" xr:uid="{1824513F-8D7F-46A5-8380-70B173371F2B}">
          <x14:formula1>
            <xm:f>項目!C17:$IY$786433</xm:f>
          </x14:formula1>
          <xm:sqref>JG786439:JG786462</xm:sqref>
        </x14:dataValidation>
        <x14:dataValidation type="list" allowBlank="1" showInputMessage="1" showErrorMessage="1" xr:uid="{037FE785-CCE8-4A5B-8CF4-2E5FA61A3A1D}">
          <x14:formula1>
            <xm:f>項目!C17:$SU$786433</xm:f>
          </x14:formula1>
          <xm:sqref>TC786439:TC786462</xm:sqref>
        </x14:dataValidation>
        <x14:dataValidation type="list" allowBlank="1" showInputMessage="1" showErrorMessage="1" xr:uid="{4FD07CFB-06E8-4264-932F-8D42A47C5A79}">
          <x14:formula1>
            <xm:f>項目!C17:$ACQ$786433</xm:f>
          </x14:formula1>
          <xm:sqref>ACY786439:ACY786462</xm:sqref>
        </x14:dataValidation>
        <x14:dataValidation type="list" allowBlank="1" showInputMessage="1" showErrorMessage="1" xr:uid="{0C67DC9E-020C-40DA-918A-CCCB8A13B720}">
          <x14:formula1>
            <xm:f>項目!C17:$AMM$786433</xm:f>
          </x14:formula1>
          <xm:sqref>AMU786439:AMU786462</xm:sqref>
        </x14:dataValidation>
        <x14:dataValidation type="list" allowBlank="1" showInputMessage="1" showErrorMessage="1" xr:uid="{FD292384-8FE0-4F01-931F-699AAAE91533}">
          <x14:formula1>
            <xm:f>項目!C17:$AWI$786433</xm:f>
          </x14:formula1>
          <xm:sqref>AWQ786439:AWQ786462</xm:sqref>
        </x14:dataValidation>
        <x14:dataValidation type="list" allowBlank="1" showInputMessage="1" showErrorMessage="1" xr:uid="{835B91CC-9197-4A9B-8913-EF2CA29696F9}">
          <x14:formula1>
            <xm:f>項目!C17:$BGE$786433</xm:f>
          </x14:formula1>
          <xm:sqref>BGM786439:BGM786462</xm:sqref>
        </x14:dataValidation>
        <x14:dataValidation type="list" allowBlank="1" showInputMessage="1" showErrorMessage="1" xr:uid="{15A7DC01-A1F8-443B-B213-1C80FB0DFBB2}">
          <x14:formula1>
            <xm:f>項目!C17:$BQA$786433</xm:f>
          </x14:formula1>
          <xm:sqref>BQI786439:BQI786462</xm:sqref>
        </x14:dataValidation>
        <x14:dataValidation type="list" allowBlank="1" showInputMessage="1" showErrorMessage="1" xr:uid="{1BED4455-EC6D-437C-BC1E-BC84372F73DD}">
          <x14:formula1>
            <xm:f>項目!C17:$BZW$786433</xm:f>
          </x14:formula1>
          <xm:sqref>CAE786439:CAE786462</xm:sqref>
        </x14:dataValidation>
        <x14:dataValidation type="list" allowBlank="1" showInputMessage="1" showErrorMessage="1" xr:uid="{447DC1E9-5E24-400C-B641-FD57259028F5}">
          <x14:formula1>
            <xm:f>項目!C17:$CJS$786433</xm:f>
          </x14:formula1>
          <xm:sqref>CKA786439:CKA786462</xm:sqref>
        </x14:dataValidation>
        <x14:dataValidation type="list" allowBlank="1" showInputMessage="1" showErrorMessage="1" xr:uid="{52FE1FF4-3DDA-420C-8B4F-EC714DF12E2F}">
          <x14:formula1>
            <xm:f>項目!C17:$CTO$786433</xm:f>
          </x14:formula1>
          <xm:sqref>CTW786439:CTW786462</xm:sqref>
        </x14:dataValidation>
        <x14:dataValidation type="list" allowBlank="1" showInputMessage="1" showErrorMessage="1" xr:uid="{913D841F-AA72-4FCD-861F-BB73E607493B}">
          <x14:formula1>
            <xm:f>項目!C17:$DDK$786433</xm:f>
          </x14:formula1>
          <xm:sqref>DDS786439:DDS786462</xm:sqref>
        </x14:dataValidation>
        <x14:dataValidation type="list" allowBlank="1" showInputMessage="1" showErrorMessage="1" xr:uid="{FE2639AB-84DB-416E-91B4-49319963E930}">
          <x14:formula1>
            <xm:f>項目!C17:$DNG$786433</xm:f>
          </x14:formula1>
          <xm:sqref>DNO786439:DNO786462</xm:sqref>
        </x14:dataValidation>
        <x14:dataValidation type="list" allowBlank="1" showInputMessage="1" showErrorMessage="1" xr:uid="{DB4FE0D1-B038-4792-8E3E-23DD6C3DBA42}">
          <x14:formula1>
            <xm:f>項目!C17:$DXC$786433</xm:f>
          </x14:formula1>
          <xm:sqref>DXK786439:DXK786462</xm:sqref>
        </x14:dataValidation>
        <x14:dataValidation type="list" allowBlank="1" showInputMessage="1" showErrorMessage="1" xr:uid="{255B3011-9140-4C8D-AC91-C06B7DF0EFCA}">
          <x14:formula1>
            <xm:f>項目!C17:$EGY$786433</xm:f>
          </x14:formula1>
          <xm:sqref>EHG786439:EHG786462</xm:sqref>
        </x14:dataValidation>
        <x14:dataValidation type="list" allowBlank="1" showInputMessage="1" showErrorMessage="1" xr:uid="{67344903-059E-4452-979D-6E627EA847F1}">
          <x14:formula1>
            <xm:f>項目!C17:$EQU$786433</xm:f>
          </x14:formula1>
          <xm:sqref>ERC786439:ERC786462</xm:sqref>
        </x14:dataValidation>
        <x14:dataValidation type="list" allowBlank="1" showInputMessage="1" showErrorMessage="1" xr:uid="{FB16CEC2-FBB3-435F-AEBF-A39DAEBB1479}">
          <x14:formula1>
            <xm:f>項目!C17:$FAQ$786433</xm:f>
          </x14:formula1>
          <xm:sqref>FAY786439:FAY786462</xm:sqref>
        </x14:dataValidation>
        <x14:dataValidation type="list" allowBlank="1" showInputMessage="1" showErrorMessage="1" xr:uid="{92B40375-92CB-469B-823C-6615B5BD422D}">
          <x14:formula1>
            <xm:f>項目!C17:$FKM$786433</xm:f>
          </x14:formula1>
          <xm:sqref>FKU786439:FKU786462</xm:sqref>
        </x14:dataValidation>
        <x14:dataValidation type="list" allowBlank="1" showInputMessage="1" showErrorMessage="1" xr:uid="{05555DC4-CD46-4908-B59E-5FC41E63A418}">
          <x14:formula1>
            <xm:f>項目!C17:$FUI$786433</xm:f>
          </x14:formula1>
          <xm:sqref>FUQ786439:FUQ786462</xm:sqref>
        </x14:dataValidation>
        <x14:dataValidation type="list" allowBlank="1" showInputMessage="1" showErrorMessage="1" xr:uid="{5BCCACEA-6F4B-4AA4-8B39-BA27D51DE7D8}">
          <x14:formula1>
            <xm:f>項目!C17:$GEE$786433</xm:f>
          </x14:formula1>
          <xm:sqref>GEM786439:GEM786462</xm:sqref>
        </x14:dataValidation>
        <x14:dataValidation type="list" allowBlank="1" showInputMessage="1" showErrorMessage="1" xr:uid="{44D69456-0956-4B01-B412-BB2A0D802A33}">
          <x14:formula1>
            <xm:f>項目!C17:$GOA$786433</xm:f>
          </x14:formula1>
          <xm:sqref>GOI786439:GOI786462</xm:sqref>
        </x14:dataValidation>
        <x14:dataValidation type="list" allowBlank="1" showInputMessage="1" showErrorMessage="1" xr:uid="{020F8A6C-7D19-42C8-BCE7-0EFBB4AA326B}">
          <x14:formula1>
            <xm:f>項目!C17:$GXW$786433</xm:f>
          </x14:formula1>
          <xm:sqref>GYE786439:GYE786462</xm:sqref>
        </x14:dataValidation>
        <x14:dataValidation type="list" allowBlank="1" showInputMessage="1" showErrorMessage="1" xr:uid="{D7AADB1B-0FC4-4A20-87F6-1E7505C1404A}">
          <x14:formula1>
            <xm:f>項目!C17:$HHS$786433</xm:f>
          </x14:formula1>
          <xm:sqref>HIA786439:HIA786462</xm:sqref>
        </x14:dataValidation>
        <x14:dataValidation type="list" allowBlank="1" showInputMessage="1" showErrorMessage="1" xr:uid="{6861D7D5-0B4D-4EDD-B94F-A113B25C2E9F}">
          <x14:formula1>
            <xm:f>項目!C17:$HRO$786433</xm:f>
          </x14:formula1>
          <xm:sqref>HRW786439:HRW786462</xm:sqref>
        </x14:dataValidation>
        <x14:dataValidation type="list" allowBlank="1" showInputMessage="1" showErrorMessage="1" xr:uid="{39C16570-B090-4D8B-AB60-31C5A9FEAD8B}">
          <x14:formula1>
            <xm:f>項目!C17:$IBK$786433</xm:f>
          </x14:formula1>
          <xm:sqref>IBS786439:IBS786462</xm:sqref>
        </x14:dataValidation>
        <x14:dataValidation type="list" allowBlank="1" showInputMessage="1" showErrorMessage="1" xr:uid="{A4E8951E-FC13-41D2-9C3D-E7F0C0A55457}">
          <x14:formula1>
            <xm:f>項目!C17:$ILG$786433</xm:f>
          </x14:formula1>
          <xm:sqref>ILO786439:ILO786462</xm:sqref>
        </x14:dataValidation>
        <x14:dataValidation type="list" allowBlank="1" showInputMessage="1" showErrorMessage="1" xr:uid="{C1FF489F-E4DE-46E5-9376-EC6E10C02928}">
          <x14:formula1>
            <xm:f>項目!C17:$IVC$786433</xm:f>
          </x14:formula1>
          <xm:sqref>IVK786439:IVK786462</xm:sqref>
        </x14:dataValidation>
        <x14:dataValidation type="list" allowBlank="1" showInputMessage="1" showErrorMessage="1" xr:uid="{19AE9EBE-514A-40F1-9D0F-C2DD864A7D58}">
          <x14:formula1>
            <xm:f>項目!C17:$JEY$786433</xm:f>
          </x14:formula1>
          <xm:sqref>JFG786439:JFG786462</xm:sqref>
        </x14:dataValidation>
        <x14:dataValidation type="list" allowBlank="1" showInputMessage="1" showErrorMessage="1" xr:uid="{135CC8C4-1C8D-4E76-86BB-89ADC58E01EB}">
          <x14:formula1>
            <xm:f>項目!C17:$JOU$786433</xm:f>
          </x14:formula1>
          <xm:sqref>JPC786439:JPC786462</xm:sqref>
        </x14:dataValidation>
        <x14:dataValidation type="list" allowBlank="1" showInputMessage="1" showErrorMessage="1" xr:uid="{6D8D356C-10DD-4DA9-8B33-64A85EFCF2D2}">
          <x14:formula1>
            <xm:f>項目!C17:$JYQ$786433</xm:f>
          </x14:formula1>
          <xm:sqref>JYY786439:JYY786462</xm:sqref>
        </x14:dataValidation>
        <x14:dataValidation type="list" allowBlank="1" showInputMessage="1" showErrorMessage="1" xr:uid="{48FD7BC6-44F1-432B-B421-4FCCFBA5D39A}">
          <x14:formula1>
            <xm:f>項目!C17:$KIM$786433</xm:f>
          </x14:formula1>
          <xm:sqref>KIU786439:KIU786462</xm:sqref>
        </x14:dataValidation>
        <x14:dataValidation type="list" allowBlank="1" showInputMessage="1" showErrorMessage="1" xr:uid="{B5B71225-DB8A-4232-B23F-47397FF320EC}">
          <x14:formula1>
            <xm:f>項目!C17:$KSI$786433</xm:f>
          </x14:formula1>
          <xm:sqref>KSQ786439:KSQ786462</xm:sqref>
        </x14:dataValidation>
        <x14:dataValidation type="list" allowBlank="1" showInputMessage="1" showErrorMessage="1" xr:uid="{E24FD447-31E5-4FE8-8F98-38D3C1859974}">
          <x14:formula1>
            <xm:f>項目!C17:$LCE$786433</xm:f>
          </x14:formula1>
          <xm:sqref>LCM786439:LCM786462</xm:sqref>
        </x14:dataValidation>
        <x14:dataValidation type="list" allowBlank="1" showInputMessage="1" showErrorMessage="1" xr:uid="{32B6DEBF-375F-4F9E-A762-4CC0D2AA80D6}">
          <x14:formula1>
            <xm:f>項目!C17:$LMA$786433</xm:f>
          </x14:formula1>
          <xm:sqref>LMI786439:LMI786462</xm:sqref>
        </x14:dataValidation>
        <x14:dataValidation type="list" allowBlank="1" showInputMessage="1" showErrorMessage="1" xr:uid="{90CE39E4-8F89-40B2-BDC5-BEF788D591A5}">
          <x14:formula1>
            <xm:f>項目!C17:$LVW$786433</xm:f>
          </x14:formula1>
          <xm:sqref>LWE786439:LWE786462</xm:sqref>
        </x14:dataValidation>
        <x14:dataValidation type="list" allowBlank="1" showInputMessage="1" showErrorMessage="1" xr:uid="{332306C9-E26C-4E2A-9845-D1DB4725C060}">
          <x14:formula1>
            <xm:f>項目!C17:$MFS$786433</xm:f>
          </x14:formula1>
          <xm:sqref>MGA786439:MGA786462</xm:sqref>
        </x14:dataValidation>
        <x14:dataValidation type="list" allowBlank="1" showInputMessage="1" showErrorMessage="1" xr:uid="{12E91C0B-A6A3-4A45-9464-CCF14565528E}">
          <x14:formula1>
            <xm:f>項目!C17:$MPO$786433</xm:f>
          </x14:formula1>
          <xm:sqref>MPW786439:MPW786462</xm:sqref>
        </x14:dataValidation>
        <x14:dataValidation type="list" allowBlank="1" showInputMessage="1" showErrorMessage="1" xr:uid="{51F8E341-85A0-4C7F-B82A-C089A67B0E9E}">
          <x14:formula1>
            <xm:f>項目!C17:$MZK$786433</xm:f>
          </x14:formula1>
          <xm:sqref>MZS786439:MZS786462</xm:sqref>
        </x14:dataValidation>
        <x14:dataValidation type="list" allowBlank="1" showInputMessage="1" showErrorMessage="1" xr:uid="{B074FE3E-E925-4C30-9A32-6CACC2CF5764}">
          <x14:formula1>
            <xm:f>項目!C17:$NJG$786433</xm:f>
          </x14:formula1>
          <xm:sqref>NJO786439:NJO786462</xm:sqref>
        </x14:dataValidation>
        <x14:dataValidation type="list" allowBlank="1" showInputMessage="1" showErrorMessage="1" xr:uid="{4B16DE31-A9C0-4800-B8B8-1CA39B8EED08}">
          <x14:formula1>
            <xm:f>項目!C17:$NTC$786433</xm:f>
          </x14:formula1>
          <xm:sqref>NTK786439:NTK786462</xm:sqref>
        </x14:dataValidation>
        <x14:dataValidation type="list" allowBlank="1" showInputMessage="1" showErrorMessage="1" xr:uid="{F0A88ED7-63E1-436C-BBCE-0F4F315E2131}">
          <x14:formula1>
            <xm:f>項目!C17:$OCY$786433</xm:f>
          </x14:formula1>
          <xm:sqref>ODG786439:ODG786462</xm:sqref>
        </x14:dataValidation>
        <x14:dataValidation type="list" allowBlank="1" showInputMessage="1" showErrorMessage="1" xr:uid="{A01364E2-CDBA-497E-8DDE-85C23AF92814}">
          <x14:formula1>
            <xm:f>項目!C17:$OMU$786433</xm:f>
          </x14:formula1>
          <xm:sqref>ONC786439:ONC786462</xm:sqref>
        </x14:dataValidation>
        <x14:dataValidation type="list" allowBlank="1" showInputMessage="1" showErrorMessage="1" xr:uid="{A5522453-FB1C-4DD3-9F97-3F93B54F6655}">
          <x14:formula1>
            <xm:f>項目!C17:$OWQ$786433</xm:f>
          </x14:formula1>
          <xm:sqref>OWY786439:OWY786462</xm:sqref>
        </x14:dataValidation>
        <x14:dataValidation type="list" allowBlank="1" showInputMessage="1" showErrorMessage="1" xr:uid="{8C1E18E4-99E8-402A-BDFC-F04D09126877}">
          <x14:formula1>
            <xm:f>項目!C17:$PGM$786433</xm:f>
          </x14:formula1>
          <xm:sqref>PGU786439:PGU786462</xm:sqref>
        </x14:dataValidation>
        <x14:dataValidation type="list" allowBlank="1" showInputMessage="1" showErrorMessage="1" xr:uid="{05201B24-9E07-40F0-A0BA-0CB0CE454330}">
          <x14:formula1>
            <xm:f>項目!C17:$PQI$786433</xm:f>
          </x14:formula1>
          <xm:sqref>PQQ786439:PQQ786462</xm:sqref>
        </x14:dataValidation>
        <x14:dataValidation type="list" allowBlank="1" showInputMessage="1" showErrorMessage="1" xr:uid="{4CE723B4-65A7-4D19-9989-A7890B9F9B32}">
          <x14:formula1>
            <xm:f>項目!C17:$QAE$786433</xm:f>
          </x14:formula1>
          <xm:sqref>QAM786439:QAM786462</xm:sqref>
        </x14:dataValidation>
        <x14:dataValidation type="list" allowBlank="1" showInputMessage="1" showErrorMessage="1" xr:uid="{F8516283-2572-4CEF-896C-5D1CF535E51C}">
          <x14:formula1>
            <xm:f>項目!C17:$QKA$786433</xm:f>
          </x14:formula1>
          <xm:sqref>QKI786439:QKI786462</xm:sqref>
        </x14:dataValidation>
        <x14:dataValidation type="list" allowBlank="1" showInputMessage="1" showErrorMessage="1" xr:uid="{E638BABD-A540-4E58-8EC3-5448F9215C5A}">
          <x14:formula1>
            <xm:f>項目!C17:$QTW$786433</xm:f>
          </x14:formula1>
          <xm:sqref>QUE786439:QUE786462</xm:sqref>
        </x14:dataValidation>
        <x14:dataValidation type="list" allowBlank="1" showInputMessage="1" showErrorMessage="1" xr:uid="{810F7555-24F6-47A3-8099-1A60A1E0F589}">
          <x14:formula1>
            <xm:f>項目!C17:$RDS$786433</xm:f>
          </x14:formula1>
          <xm:sqref>REA786439:REA786462</xm:sqref>
        </x14:dataValidation>
        <x14:dataValidation type="list" allowBlank="1" showInputMessage="1" showErrorMessage="1" xr:uid="{F02B7492-5399-4E57-881B-91755F309422}">
          <x14:formula1>
            <xm:f>項目!C17:$RNO$786433</xm:f>
          </x14:formula1>
          <xm:sqref>RNW786439:RNW786462</xm:sqref>
        </x14:dataValidation>
        <x14:dataValidation type="list" allowBlank="1" showInputMessage="1" showErrorMessage="1" xr:uid="{484B818B-8257-4948-BA94-CA6832EA750C}">
          <x14:formula1>
            <xm:f>項目!C17:$RXK$786433</xm:f>
          </x14:formula1>
          <xm:sqref>RXS786439:RXS786462</xm:sqref>
        </x14:dataValidation>
        <x14:dataValidation type="list" allowBlank="1" showInputMessage="1" showErrorMessage="1" xr:uid="{0C3A3964-B289-4374-8839-6FD0E8EEB60E}">
          <x14:formula1>
            <xm:f>項目!C17:$SHG$786433</xm:f>
          </x14:formula1>
          <xm:sqref>SHO786439:SHO786462</xm:sqref>
        </x14:dataValidation>
        <x14:dataValidation type="list" allowBlank="1" showInputMessage="1" showErrorMessage="1" xr:uid="{E31096E7-1D4E-4F0B-8585-282D360C8980}">
          <x14:formula1>
            <xm:f>項目!C17:$SRC$786433</xm:f>
          </x14:formula1>
          <xm:sqref>SRK786439:SRK786462</xm:sqref>
        </x14:dataValidation>
        <x14:dataValidation type="list" allowBlank="1" showInputMessage="1" showErrorMessage="1" xr:uid="{CE7BC30E-8702-484C-AA95-06E4402B605C}">
          <x14:formula1>
            <xm:f>項目!C17:$TAY$786433</xm:f>
          </x14:formula1>
          <xm:sqref>TBG786439:TBG786462</xm:sqref>
        </x14:dataValidation>
        <x14:dataValidation type="list" allowBlank="1" showInputMessage="1" showErrorMessage="1" xr:uid="{601006AE-8BDF-4478-B3B2-4DB1C2B1EC29}">
          <x14:formula1>
            <xm:f>項目!C17:$TKU$786433</xm:f>
          </x14:formula1>
          <xm:sqref>TLC786439:TLC786462</xm:sqref>
        </x14:dataValidation>
        <x14:dataValidation type="list" allowBlank="1" showInputMessage="1" showErrorMessage="1" xr:uid="{84DDF147-874E-45BA-83F3-E2BCA55424D4}">
          <x14:formula1>
            <xm:f>項目!C17:$TUQ$786433</xm:f>
          </x14:formula1>
          <xm:sqref>TUY786439:TUY786462</xm:sqref>
        </x14:dataValidation>
        <x14:dataValidation type="list" allowBlank="1" showInputMessage="1" showErrorMessage="1" xr:uid="{FB2498FB-D152-4D67-AFD5-562DE36BE5BB}">
          <x14:formula1>
            <xm:f>項目!C17:$UEM$786433</xm:f>
          </x14:formula1>
          <xm:sqref>UEU786439:UEU786462</xm:sqref>
        </x14:dataValidation>
        <x14:dataValidation type="list" allowBlank="1" showInputMessage="1" showErrorMessage="1" xr:uid="{FE6BC55C-F374-4D27-AABF-4DE143FEC11A}">
          <x14:formula1>
            <xm:f>項目!C17:$UOI$786433</xm:f>
          </x14:formula1>
          <xm:sqref>UOQ786439:UOQ786462</xm:sqref>
        </x14:dataValidation>
        <x14:dataValidation type="list" allowBlank="1" showInputMessage="1" showErrorMessage="1" xr:uid="{0D8FC932-B4DA-4D98-AD64-1A83A83DFBB1}">
          <x14:formula1>
            <xm:f>項目!C17:$UYE$786433</xm:f>
          </x14:formula1>
          <xm:sqref>UYM786439:UYM786462</xm:sqref>
        </x14:dataValidation>
        <x14:dataValidation type="list" allowBlank="1" showInputMessage="1" showErrorMessage="1" xr:uid="{8688E1FE-83D8-4F6F-BA57-A05615587F7B}">
          <x14:formula1>
            <xm:f>項目!C17:$VIA$786433</xm:f>
          </x14:formula1>
          <xm:sqref>VII786439:VII786462</xm:sqref>
        </x14:dataValidation>
        <x14:dataValidation type="list" allowBlank="1" showInputMessage="1" showErrorMessage="1" xr:uid="{A43678CE-083D-4469-9E78-36A2850C7407}">
          <x14:formula1>
            <xm:f>項目!C17:$VRW$786433</xm:f>
          </x14:formula1>
          <xm:sqref>VSE786439:VSE786462</xm:sqref>
        </x14:dataValidation>
        <x14:dataValidation type="list" allowBlank="1" showInputMessage="1" showErrorMessage="1" xr:uid="{FC88AD57-EB0B-4010-B28A-DB813593C94F}">
          <x14:formula1>
            <xm:f>項目!C17:$WBS$786433</xm:f>
          </x14:formula1>
          <xm:sqref>WCA786439:WCA786462</xm:sqref>
        </x14:dataValidation>
        <x14:dataValidation type="list" allowBlank="1" showInputMessage="1" showErrorMessage="1" xr:uid="{74F1A4E9-26FD-4349-8ACA-A602B73719A2}">
          <x14:formula1>
            <xm:f>項目!C17:$WLO$786433</xm:f>
          </x14:formula1>
          <xm:sqref>WLW786439:WLW786462</xm:sqref>
        </x14:dataValidation>
        <x14:dataValidation type="list" allowBlank="1" showInputMessage="1" showErrorMessage="1" xr:uid="{67CAA781-E8CF-4B65-8B65-0422FB2C72C9}">
          <x14:formula1>
            <xm:f>項目!C17:$WVK$786433</xm:f>
          </x14:formula1>
          <xm:sqref>WVS786439:WVS786462</xm:sqref>
        </x14:dataValidation>
        <x14:dataValidation type="list" allowBlank="1" showInputMessage="1" showErrorMessage="1" xr:uid="{5A606AC3-25E7-4A93-AEED-B0A5C06A2248}">
          <x14:formula1>
            <xm:f>項目!C17:$IY$851969</xm:f>
          </x14:formula1>
          <xm:sqref>JG851975:JG851998</xm:sqref>
        </x14:dataValidation>
        <x14:dataValidation type="list" allowBlank="1" showInputMessage="1" showErrorMessage="1" xr:uid="{C54A243E-32C8-4FEE-85E8-982F6709433B}">
          <x14:formula1>
            <xm:f>項目!C17:$SU$851969</xm:f>
          </x14:formula1>
          <xm:sqref>TC851975:TC851998</xm:sqref>
        </x14:dataValidation>
        <x14:dataValidation type="list" allowBlank="1" showInputMessage="1" showErrorMessage="1" xr:uid="{16AD6D5F-A7A6-4099-AAE3-4DB06CDE6C65}">
          <x14:formula1>
            <xm:f>項目!C17:$ACQ$851969</xm:f>
          </x14:formula1>
          <xm:sqref>ACY851975:ACY851998</xm:sqref>
        </x14:dataValidation>
        <x14:dataValidation type="list" allowBlank="1" showInputMessage="1" showErrorMessage="1" xr:uid="{DF941B19-4E95-4833-826B-C19B67455DF9}">
          <x14:formula1>
            <xm:f>項目!C17:$AMM$851969</xm:f>
          </x14:formula1>
          <xm:sqref>AMU851975:AMU851998</xm:sqref>
        </x14:dataValidation>
        <x14:dataValidation type="list" allowBlank="1" showInputMessage="1" showErrorMessage="1" xr:uid="{9E16070C-35AD-436C-B83B-C088F6516102}">
          <x14:formula1>
            <xm:f>項目!C17:$AWI$851969</xm:f>
          </x14:formula1>
          <xm:sqref>AWQ851975:AWQ851998</xm:sqref>
        </x14:dataValidation>
        <x14:dataValidation type="list" allowBlank="1" showInputMessage="1" showErrorMessage="1" xr:uid="{07750B4F-538A-4F2B-9393-BC617FE7A027}">
          <x14:formula1>
            <xm:f>項目!C17:$BGE$851969</xm:f>
          </x14:formula1>
          <xm:sqref>BGM851975:BGM851998</xm:sqref>
        </x14:dataValidation>
        <x14:dataValidation type="list" allowBlank="1" showInputMessage="1" showErrorMessage="1" xr:uid="{BA31F5DC-F5BC-4E63-AB96-D6FAF1FF60B1}">
          <x14:formula1>
            <xm:f>項目!C17:$BQA$851969</xm:f>
          </x14:formula1>
          <xm:sqref>BQI851975:BQI851998</xm:sqref>
        </x14:dataValidation>
        <x14:dataValidation type="list" allowBlank="1" showInputMessage="1" showErrorMessage="1" xr:uid="{28AF1590-40A3-4170-9C57-50F8BA100B02}">
          <x14:formula1>
            <xm:f>項目!C17:$BZW$851969</xm:f>
          </x14:formula1>
          <xm:sqref>CAE851975:CAE851998</xm:sqref>
        </x14:dataValidation>
        <x14:dataValidation type="list" allowBlank="1" showInputMessage="1" showErrorMessage="1" xr:uid="{936CFDA6-8065-4D8D-92D2-3018E1E20C65}">
          <x14:formula1>
            <xm:f>項目!C17:$CJS$851969</xm:f>
          </x14:formula1>
          <xm:sqref>CKA851975:CKA851998</xm:sqref>
        </x14:dataValidation>
        <x14:dataValidation type="list" allowBlank="1" showInputMessage="1" showErrorMessage="1" xr:uid="{246EF9F4-438F-423D-9B36-9A90C89196C1}">
          <x14:formula1>
            <xm:f>項目!C17:$CTO$851969</xm:f>
          </x14:formula1>
          <xm:sqref>CTW851975:CTW851998</xm:sqref>
        </x14:dataValidation>
        <x14:dataValidation type="list" allowBlank="1" showInputMessage="1" showErrorMessage="1" xr:uid="{DBBA6F89-211A-4B04-B0C1-A0F5EA079486}">
          <x14:formula1>
            <xm:f>項目!C17:$DDK$851969</xm:f>
          </x14:formula1>
          <xm:sqref>DDS851975:DDS851998</xm:sqref>
        </x14:dataValidation>
        <x14:dataValidation type="list" allowBlank="1" showInputMessage="1" showErrorMessage="1" xr:uid="{4AC723D7-31C4-4114-909E-DC1560C810AF}">
          <x14:formula1>
            <xm:f>項目!C17:$DNG$851969</xm:f>
          </x14:formula1>
          <xm:sqref>DNO851975:DNO851998</xm:sqref>
        </x14:dataValidation>
        <x14:dataValidation type="list" allowBlank="1" showInputMessage="1" showErrorMessage="1" xr:uid="{FA8EA1DF-36A0-4BFB-BB44-D2E730008809}">
          <x14:formula1>
            <xm:f>項目!C17:$DXC$851969</xm:f>
          </x14:formula1>
          <xm:sqref>DXK851975:DXK851998</xm:sqref>
        </x14:dataValidation>
        <x14:dataValidation type="list" allowBlank="1" showInputMessage="1" showErrorMessage="1" xr:uid="{5DDB69FF-3794-4DE6-9A3C-84BAE78A008C}">
          <x14:formula1>
            <xm:f>項目!C17:$EGY$851969</xm:f>
          </x14:formula1>
          <xm:sqref>EHG851975:EHG851998</xm:sqref>
        </x14:dataValidation>
        <x14:dataValidation type="list" allowBlank="1" showInputMessage="1" showErrorMessage="1" xr:uid="{B151CE71-8E87-4D1E-951F-4ADACDF8AE8E}">
          <x14:formula1>
            <xm:f>項目!C17:$EQU$851969</xm:f>
          </x14:formula1>
          <xm:sqref>ERC851975:ERC851998</xm:sqref>
        </x14:dataValidation>
        <x14:dataValidation type="list" allowBlank="1" showInputMessage="1" showErrorMessage="1" xr:uid="{185EE7D5-FBEB-49D2-8483-298FEB5415D2}">
          <x14:formula1>
            <xm:f>項目!C17:$FAQ$851969</xm:f>
          </x14:formula1>
          <xm:sqref>FAY851975:FAY851998</xm:sqref>
        </x14:dataValidation>
        <x14:dataValidation type="list" allowBlank="1" showInputMessage="1" showErrorMessage="1" xr:uid="{1F9BBBE2-D8A1-42C8-A761-69242D394763}">
          <x14:formula1>
            <xm:f>項目!C17:$FKM$851969</xm:f>
          </x14:formula1>
          <xm:sqref>FKU851975:FKU851998</xm:sqref>
        </x14:dataValidation>
        <x14:dataValidation type="list" allowBlank="1" showInputMessage="1" showErrorMessage="1" xr:uid="{77F05DAC-894E-489D-9CB4-75381B4097F7}">
          <x14:formula1>
            <xm:f>項目!C17:$FUI$851969</xm:f>
          </x14:formula1>
          <xm:sqref>FUQ851975:FUQ851998</xm:sqref>
        </x14:dataValidation>
        <x14:dataValidation type="list" allowBlank="1" showInputMessage="1" showErrorMessage="1" xr:uid="{246C2FFB-FE56-4CE4-B8AD-148FA77CA1FA}">
          <x14:formula1>
            <xm:f>項目!C17:$GEE$851969</xm:f>
          </x14:formula1>
          <xm:sqref>GEM851975:GEM851998</xm:sqref>
        </x14:dataValidation>
        <x14:dataValidation type="list" allowBlank="1" showInputMessage="1" showErrorMessage="1" xr:uid="{C8BBAF0E-0CB0-4E89-B80C-3564AF2B0EE6}">
          <x14:formula1>
            <xm:f>項目!C17:$GOA$851969</xm:f>
          </x14:formula1>
          <xm:sqref>GOI851975:GOI851998</xm:sqref>
        </x14:dataValidation>
        <x14:dataValidation type="list" allowBlank="1" showInputMessage="1" showErrorMessage="1" xr:uid="{DF4CC00D-54BA-4D9D-B1A1-D95036AA975C}">
          <x14:formula1>
            <xm:f>項目!C17:$GXW$851969</xm:f>
          </x14:formula1>
          <xm:sqref>GYE851975:GYE851998</xm:sqref>
        </x14:dataValidation>
        <x14:dataValidation type="list" allowBlank="1" showInputMessage="1" showErrorMessage="1" xr:uid="{527C59E6-93DC-425E-8823-246D56318678}">
          <x14:formula1>
            <xm:f>項目!C17:$HHS$851969</xm:f>
          </x14:formula1>
          <xm:sqref>HIA851975:HIA851998</xm:sqref>
        </x14:dataValidation>
        <x14:dataValidation type="list" allowBlank="1" showInputMessage="1" showErrorMessage="1" xr:uid="{C49F3461-5AC0-47FC-ABCB-981170CDD08C}">
          <x14:formula1>
            <xm:f>項目!C17:$HRO$851969</xm:f>
          </x14:formula1>
          <xm:sqref>HRW851975:HRW851998</xm:sqref>
        </x14:dataValidation>
        <x14:dataValidation type="list" allowBlank="1" showInputMessage="1" showErrorMessage="1" xr:uid="{D9CDA2D1-4F10-4498-A485-709495C9A534}">
          <x14:formula1>
            <xm:f>項目!C17:$IBK$851969</xm:f>
          </x14:formula1>
          <xm:sqref>IBS851975:IBS851998</xm:sqref>
        </x14:dataValidation>
        <x14:dataValidation type="list" allowBlank="1" showInputMessage="1" showErrorMessage="1" xr:uid="{3D14E72A-E672-4E14-99C5-AFE69447A7CD}">
          <x14:formula1>
            <xm:f>項目!C17:$ILG$851969</xm:f>
          </x14:formula1>
          <xm:sqref>ILO851975:ILO851998</xm:sqref>
        </x14:dataValidation>
        <x14:dataValidation type="list" allowBlank="1" showInputMessage="1" showErrorMessage="1" xr:uid="{21C7C162-2C37-4E14-913E-CA61C2EBA522}">
          <x14:formula1>
            <xm:f>項目!C17:$IVC$851969</xm:f>
          </x14:formula1>
          <xm:sqref>IVK851975:IVK851998</xm:sqref>
        </x14:dataValidation>
        <x14:dataValidation type="list" allowBlank="1" showInputMessage="1" showErrorMessage="1" xr:uid="{A7780C5E-CE87-4AA1-87B8-E889BFED4AC6}">
          <x14:formula1>
            <xm:f>項目!C17:$JEY$851969</xm:f>
          </x14:formula1>
          <xm:sqref>JFG851975:JFG851998</xm:sqref>
        </x14:dataValidation>
        <x14:dataValidation type="list" allowBlank="1" showInputMessage="1" showErrorMessage="1" xr:uid="{8275E46D-9AE5-4090-A300-C93E66E28BF4}">
          <x14:formula1>
            <xm:f>項目!C17:$JOU$851969</xm:f>
          </x14:formula1>
          <xm:sqref>JPC851975:JPC851998</xm:sqref>
        </x14:dataValidation>
        <x14:dataValidation type="list" allowBlank="1" showInputMessage="1" showErrorMessage="1" xr:uid="{FAED3CE1-C263-4950-82CA-22C679FCC18C}">
          <x14:formula1>
            <xm:f>項目!C17:$JYQ$851969</xm:f>
          </x14:formula1>
          <xm:sqref>JYY851975:JYY851998</xm:sqref>
        </x14:dataValidation>
        <x14:dataValidation type="list" allowBlank="1" showInputMessage="1" showErrorMessage="1" xr:uid="{BD06FAF1-F816-4EFD-A3A2-8B1E10AC8FF2}">
          <x14:formula1>
            <xm:f>項目!C17:$KIM$851969</xm:f>
          </x14:formula1>
          <xm:sqref>KIU851975:KIU851998</xm:sqref>
        </x14:dataValidation>
        <x14:dataValidation type="list" allowBlank="1" showInputMessage="1" showErrorMessage="1" xr:uid="{29AAB0E4-99C6-433F-83E6-E95391DA4B1F}">
          <x14:formula1>
            <xm:f>項目!C17:$KSI$851969</xm:f>
          </x14:formula1>
          <xm:sqref>KSQ851975:KSQ851998</xm:sqref>
        </x14:dataValidation>
        <x14:dataValidation type="list" allowBlank="1" showInputMessage="1" showErrorMessage="1" xr:uid="{2B64F08B-0631-4AB0-A471-7C719DFDFB44}">
          <x14:formula1>
            <xm:f>項目!C17:$LCE$851969</xm:f>
          </x14:formula1>
          <xm:sqref>LCM851975:LCM851998</xm:sqref>
        </x14:dataValidation>
        <x14:dataValidation type="list" allowBlank="1" showInputMessage="1" showErrorMessage="1" xr:uid="{300054F9-FD8B-4D58-8FE3-0498073FDB8B}">
          <x14:formula1>
            <xm:f>項目!C17:$LMA$851969</xm:f>
          </x14:formula1>
          <xm:sqref>LMI851975:LMI851998</xm:sqref>
        </x14:dataValidation>
        <x14:dataValidation type="list" allowBlank="1" showInputMessage="1" showErrorMessage="1" xr:uid="{064EEAE8-475A-4DC3-A392-39FB76C05EFD}">
          <x14:formula1>
            <xm:f>項目!C17:$LVW$851969</xm:f>
          </x14:formula1>
          <xm:sqref>LWE851975:LWE851998</xm:sqref>
        </x14:dataValidation>
        <x14:dataValidation type="list" allowBlank="1" showInputMessage="1" showErrorMessage="1" xr:uid="{ED69DFF4-DF8F-4353-803B-D165ED7E4D1F}">
          <x14:formula1>
            <xm:f>項目!C17:$MFS$851969</xm:f>
          </x14:formula1>
          <xm:sqref>MGA851975:MGA851998</xm:sqref>
        </x14:dataValidation>
        <x14:dataValidation type="list" allowBlank="1" showInputMessage="1" showErrorMessage="1" xr:uid="{61A67AF4-84EE-4898-BF89-BAAC5D7B27F4}">
          <x14:formula1>
            <xm:f>項目!C17:$MPO$851969</xm:f>
          </x14:formula1>
          <xm:sqref>MPW851975:MPW851998</xm:sqref>
        </x14:dataValidation>
        <x14:dataValidation type="list" allowBlank="1" showInputMessage="1" showErrorMessage="1" xr:uid="{7A1DB98E-F107-455D-A9C2-FDBBB970BD79}">
          <x14:formula1>
            <xm:f>項目!C17:$MZK$851969</xm:f>
          </x14:formula1>
          <xm:sqref>MZS851975:MZS851998</xm:sqref>
        </x14:dataValidation>
        <x14:dataValidation type="list" allowBlank="1" showInputMessage="1" showErrorMessage="1" xr:uid="{C4E79A73-8CB3-49BF-9B98-CBB7891D9A16}">
          <x14:formula1>
            <xm:f>項目!C17:$NJG$851969</xm:f>
          </x14:formula1>
          <xm:sqref>NJO851975:NJO851998</xm:sqref>
        </x14:dataValidation>
        <x14:dataValidation type="list" allowBlank="1" showInputMessage="1" showErrorMessage="1" xr:uid="{869759F9-179A-48BC-B7E7-D70565097B14}">
          <x14:formula1>
            <xm:f>項目!C17:$NTC$851969</xm:f>
          </x14:formula1>
          <xm:sqref>NTK851975:NTK851998</xm:sqref>
        </x14:dataValidation>
        <x14:dataValidation type="list" allowBlank="1" showInputMessage="1" showErrorMessage="1" xr:uid="{6B544905-8790-4678-8B60-8B509CEA3361}">
          <x14:formula1>
            <xm:f>項目!C17:$OCY$851969</xm:f>
          </x14:formula1>
          <xm:sqref>ODG851975:ODG851998</xm:sqref>
        </x14:dataValidation>
        <x14:dataValidation type="list" allowBlank="1" showInputMessage="1" showErrorMessage="1" xr:uid="{67C1FC0B-D7EC-43FD-AEA3-390DC3EA64AE}">
          <x14:formula1>
            <xm:f>項目!C17:$OMU$851969</xm:f>
          </x14:formula1>
          <xm:sqref>ONC851975:ONC851998</xm:sqref>
        </x14:dataValidation>
        <x14:dataValidation type="list" allowBlank="1" showInputMessage="1" showErrorMessage="1" xr:uid="{C6D706A2-3BFF-4DCB-8589-A57585A78845}">
          <x14:formula1>
            <xm:f>項目!C17:$OWQ$851969</xm:f>
          </x14:formula1>
          <xm:sqref>OWY851975:OWY851998</xm:sqref>
        </x14:dataValidation>
        <x14:dataValidation type="list" allowBlank="1" showInputMessage="1" showErrorMessage="1" xr:uid="{9B44CD4B-EEB5-4A75-853B-3B370F4BA604}">
          <x14:formula1>
            <xm:f>項目!C17:$PGM$851969</xm:f>
          </x14:formula1>
          <xm:sqref>PGU851975:PGU851998</xm:sqref>
        </x14:dataValidation>
        <x14:dataValidation type="list" allowBlank="1" showInputMessage="1" showErrorMessage="1" xr:uid="{95009339-3BBA-48FF-9C41-BC78D6787887}">
          <x14:formula1>
            <xm:f>項目!C17:$PQI$851969</xm:f>
          </x14:formula1>
          <xm:sqref>PQQ851975:PQQ851998</xm:sqref>
        </x14:dataValidation>
        <x14:dataValidation type="list" allowBlank="1" showInputMessage="1" showErrorMessage="1" xr:uid="{BDBF3083-CC31-4CF2-ACA2-6D6B73E690F2}">
          <x14:formula1>
            <xm:f>項目!C17:$QAE$851969</xm:f>
          </x14:formula1>
          <xm:sqref>QAM851975:QAM851998</xm:sqref>
        </x14:dataValidation>
        <x14:dataValidation type="list" allowBlank="1" showInputMessage="1" showErrorMessage="1" xr:uid="{6B788BD9-6464-4480-96AE-B41DFB32E1F6}">
          <x14:formula1>
            <xm:f>項目!C17:$QKA$851969</xm:f>
          </x14:formula1>
          <xm:sqref>QKI851975:QKI851998</xm:sqref>
        </x14:dataValidation>
        <x14:dataValidation type="list" allowBlank="1" showInputMessage="1" showErrorMessage="1" xr:uid="{73724F6C-B78A-446D-A0BB-8B23F72D8899}">
          <x14:formula1>
            <xm:f>項目!C17:$QTW$851969</xm:f>
          </x14:formula1>
          <xm:sqref>QUE851975:QUE851998</xm:sqref>
        </x14:dataValidation>
        <x14:dataValidation type="list" allowBlank="1" showInputMessage="1" showErrorMessage="1" xr:uid="{A7D8D1A6-4558-4D46-AEF1-942DC439F28C}">
          <x14:formula1>
            <xm:f>項目!C17:$RDS$851969</xm:f>
          </x14:formula1>
          <xm:sqref>REA851975:REA851998</xm:sqref>
        </x14:dataValidation>
        <x14:dataValidation type="list" allowBlank="1" showInputMessage="1" showErrorMessage="1" xr:uid="{BF003C5A-3E7D-45BC-B0D2-9F6F80A4B76B}">
          <x14:formula1>
            <xm:f>項目!C17:$RNO$851969</xm:f>
          </x14:formula1>
          <xm:sqref>RNW851975:RNW851998</xm:sqref>
        </x14:dataValidation>
        <x14:dataValidation type="list" allowBlank="1" showInputMessage="1" showErrorMessage="1" xr:uid="{34985654-9704-4D41-9199-A055D2DFCC18}">
          <x14:formula1>
            <xm:f>項目!C17:$RXK$851969</xm:f>
          </x14:formula1>
          <xm:sqref>RXS851975:RXS851998</xm:sqref>
        </x14:dataValidation>
        <x14:dataValidation type="list" allowBlank="1" showInputMessage="1" showErrorMessage="1" xr:uid="{5B9D39B3-72CF-4DB5-A841-46DD6EB6B611}">
          <x14:formula1>
            <xm:f>項目!C17:$SHG$851969</xm:f>
          </x14:formula1>
          <xm:sqref>SHO851975:SHO851998</xm:sqref>
        </x14:dataValidation>
        <x14:dataValidation type="list" allowBlank="1" showInputMessage="1" showErrorMessage="1" xr:uid="{7D047D8A-07F5-481D-B39B-9CF76B5C7DE0}">
          <x14:formula1>
            <xm:f>項目!C17:$SRC$851969</xm:f>
          </x14:formula1>
          <xm:sqref>SRK851975:SRK851998</xm:sqref>
        </x14:dataValidation>
        <x14:dataValidation type="list" allowBlank="1" showInputMessage="1" showErrorMessage="1" xr:uid="{A801A5D5-4926-42AE-A765-2E0D296D9185}">
          <x14:formula1>
            <xm:f>項目!C17:$TAY$851969</xm:f>
          </x14:formula1>
          <xm:sqref>TBG851975:TBG851998</xm:sqref>
        </x14:dataValidation>
        <x14:dataValidation type="list" allowBlank="1" showInputMessage="1" showErrorMessage="1" xr:uid="{2A1AF08E-581C-47B2-A5D7-705F09498A73}">
          <x14:formula1>
            <xm:f>項目!C17:$TKU$851969</xm:f>
          </x14:formula1>
          <xm:sqref>TLC851975:TLC851998</xm:sqref>
        </x14:dataValidation>
        <x14:dataValidation type="list" allowBlank="1" showInputMessage="1" showErrorMessage="1" xr:uid="{90672AD3-9165-4DC2-B046-2BBCC0C575D0}">
          <x14:formula1>
            <xm:f>項目!C17:$TUQ$851969</xm:f>
          </x14:formula1>
          <xm:sqref>TUY851975:TUY851998</xm:sqref>
        </x14:dataValidation>
        <x14:dataValidation type="list" allowBlank="1" showInputMessage="1" showErrorMessage="1" xr:uid="{33065B47-C839-4B1E-AB9C-CEF13BEA52E0}">
          <x14:formula1>
            <xm:f>項目!C17:$UEM$851969</xm:f>
          </x14:formula1>
          <xm:sqref>UEU851975:UEU851998</xm:sqref>
        </x14:dataValidation>
        <x14:dataValidation type="list" allowBlank="1" showInputMessage="1" showErrorMessage="1" xr:uid="{125215B8-1C1F-45CA-B314-AEC0A4687994}">
          <x14:formula1>
            <xm:f>項目!C17:$UOI$851969</xm:f>
          </x14:formula1>
          <xm:sqref>UOQ851975:UOQ851998</xm:sqref>
        </x14:dataValidation>
        <x14:dataValidation type="list" allowBlank="1" showInputMessage="1" showErrorMessage="1" xr:uid="{6C8EECCE-1632-4C08-ADB2-1E97C31BD1C7}">
          <x14:formula1>
            <xm:f>項目!C17:$UYE$851969</xm:f>
          </x14:formula1>
          <xm:sqref>UYM851975:UYM851998</xm:sqref>
        </x14:dataValidation>
        <x14:dataValidation type="list" allowBlank="1" showInputMessage="1" showErrorMessage="1" xr:uid="{4FA78B89-5091-44CB-B9E3-206EF10CE48B}">
          <x14:formula1>
            <xm:f>項目!C17:$VIA$851969</xm:f>
          </x14:formula1>
          <xm:sqref>VII851975:VII851998</xm:sqref>
        </x14:dataValidation>
        <x14:dataValidation type="list" allowBlank="1" showInputMessage="1" showErrorMessage="1" xr:uid="{C2BA26BF-7C77-4363-B15F-2A937751BF7D}">
          <x14:formula1>
            <xm:f>項目!C17:$VRW$851969</xm:f>
          </x14:formula1>
          <xm:sqref>VSE851975:VSE851998</xm:sqref>
        </x14:dataValidation>
        <x14:dataValidation type="list" allowBlank="1" showInputMessage="1" showErrorMessage="1" xr:uid="{3F89E775-509A-4B1D-9D71-E756B8F7E75B}">
          <x14:formula1>
            <xm:f>項目!C17:$WBS$851969</xm:f>
          </x14:formula1>
          <xm:sqref>WCA851975:WCA851998</xm:sqref>
        </x14:dataValidation>
        <x14:dataValidation type="list" allowBlank="1" showInputMessage="1" showErrorMessage="1" xr:uid="{34DBE5CD-FF21-498B-9807-2DE11A9F367F}">
          <x14:formula1>
            <xm:f>項目!C17:$WLO$851969</xm:f>
          </x14:formula1>
          <xm:sqref>WLW851975:WLW851998</xm:sqref>
        </x14:dataValidation>
        <x14:dataValidation type="list" allowBlank="1" showInputMessage="1" showErrorMessage="1" xr:uid="{5028FD57-470F-4BDB-A7C7-9EC1FEA05889}">
          <x14:formula1>
            <xm:f>項目!C17:$WVK$851969</xm:f>
          </x14:formula1>
          <xm:sqref>WVS851975:WVS851998</xm:sqref>
        </x14:dataValidation>
        <x14:dataValidation type="list" allowBlank="1" showInputMessage="1" showErrorMessage="1" xr:uid="{4E14F7BB-D39C-4D7E-8A4E-EC2795B6EA53}">
          <x14:formula1>
            <xm:f>項目!C17:$IY$917505</xm:f>
          </x14:formula1>
          <xm:sqref>JG917511:JG917534</xm:sqref>
        </x14:dataValidation>
        <x14:dataValidation type="list" allowBlank="1" showInputMessage="1" showErrorMessage="1" xr:uid="{48FEF409-BB68-4A8F-864D-BE76C9D41E3A}">
          <x14:formula1>
            <xm:f>項目!C17:$SU$917505</xm:f>
          </x14:formula1>
          <xm:sqref>TC917511:TC917534</xm:sqref>
        </x14:dataValidation>
        <x14:dataValidation type="list" allowBlank="1" showInputMessage="1" showErrorMessage="1" xr:uid="{D3C30019-E0D9-4544-AFC9-5256B2678871}">
          <x14:formula1>
            <xm:f>項目!C17:$ACQ$917505</xm:f>
          </x14:formula1>
          <xm:sqref>ACY917511:ACY917534</xm:sqref>
        </x14:dataValidation>
        <x14:dataValidation type="list" allowBlank="1" showInputMessage="1" showErrorMessage="1" xr:uid="{7B7D95DA-F5E4-4F5C-819B-A58441E1534F}">
          <x14:formula1>
            <xm:f>項目!C17:$AMM$917505</xm:f>
          </x14:formula1>
          <xm:sqref>AMU917511:AMU917534</xm:sqref>
        </x14:dataValidation>
        <x14:dataValidation type="list" allowBlank="1" showInputMessage="1" showErrorMessage="1" xr:uid="{CCC80253-2048-48BC-8FB8-567B51CC7E88}">
          <x14:formula1>
            <xm:f>項目!C17:$AWI$917505</xm:f>
          </x14:formula1>
          <xm:sqref>AWQ917511:AWQ917534</xm:sqref>
        </x14:dataValidation>
        <x14:dataValidation type="list" allowBlank="1" showInputMessage="1" showErrorMessage="1" xr:uid="{EF2843DD-241D-4E4F-9927-DA8ED242F20B}">
          <x14:formula1>
            <xm:f>項目!C17:$BGE$917505</xm:f>
          </x14:formula1>
          <xm:sqref>BGM917511:BGM917534</xm:sqref>
        </x14:dataValidation>
        <x14:dataValidation type="list" allowBlank="1" showInputMessage="1" showErrorMessage="1" xr:uid="{618C1A88-C408-4910-B5AD-63B9165E5C80}">
          <x14:formula1>
            <xm:f>項目!C17:$BQA$917505</xm:f>
          </x14:formula1>
          <xm:sqref>BQI917511:BQI917534</xm:sqref>
        </x14:dataValidation>
        <x14:dataValidation type="list" allowBlank="1" showInputMessage="1" showErrorMessage="1" xr:uid="{B2C116C4-DD52-4543-A8B7-E93F81F7CD64}">
          <x14:formula1>
            <xm:f>項目!C17:$BZW$917505</xm:f>
          </x14:formula1>
          <xm:sqref>CAE917511:CAE917534</xm:sqref>
        </x14:dataValidation>
        <x14:dataValidation type="list" allowBlank="1" showInputMessage="1" showErrorMessage="1" xr:uid="{7ECD0433-7A1A-4AD6-9C0A-1C5D923F0F22}">
          <x14:formula1>
            <xm:f>項目!C17:$CJS$917505</xm:f>
          </x14:formula1>
          <xm:sqref>CKA917511:CKA917534</xm:sqref>
        </x14:dataValidation>
        <x14:dataValidation type="list" allowBlank="1" showInputMessage="1" showErrorMessage="1" xr:uid="{EA1C99FB-9BD3-437B-9EB8-A9837E131E07}">
          <x14:formula1>
            <xm:f>項目!C17:$CTO$917505</xm:f>
          </x14:formula1>
          <xm:sqref>CTW917511:CTW917534</xm:sqref>
        </x14:dataValidation>
        <x14:dataValidation type="list" allowBlank="1" showInputMessage="1" showErrorMessage="1" xr:uid="{E52F78B3-05B4-490F-8FE8-B50655BBD2E8}">
          <x14:formula1>
            <xm:f>項目!C17:$DDK$917505</xm:f>
          </x14:formula1>
          <xm:sqref>DDS917511:DDS917534</xm:sqref>
        </x14:dataValidation>
        <x14:dataValidation type="list" allowBlank="1" showInputMessage="1" showErrorMessage="1" xr:uid="{FDC5B6F5-8DA4-4D0E-A435-244FDC3BF68A}">
          <x14:formula1>
            <xm:f>項目!C17:$DNG$917505</xm:f>
          </x14:formula1>
          <xm:sqref>DNO917511:DNO917534</xm:sqref>
        </x14:dataValidation>
        <x14:dataValidation type="list" allowBlank="1" showInputMessage="1" showErrorMessage="1" xr:uid="{EA8F194F-32B5-4C8F-BA57-02E7D4C6C771}">
          <x14:formula1>
            <xm:f>項目!C17:$DXC$917505</xm:f>
          </x14:formula1>
          <xm:sqref>DXK917511:DXK917534</xm:sqref>
        </x14:dataValidation>
        <x14:dataValidation type="list" allowBlank="1" showInputMessage="1" showErrorMessage="1" xr:uid="{ABC71610-BA98-49D3-ACCB-2F0556530EDF}">
          <x14:formula1>
            <xm:f>項目!C17:$EGY$917505</xm:f>
          </x14:formula1>
          <xm:sqref>EHG917511:EHG917534</xm:sqref>
        </x14:dataValidation>
        <x14:dataValidation type="list" allowBlank="1" showInputMessage="1" showErrorMessage="1" xr:uid="{DB700BEC-4F2D-4877-A3C1-AEDE654DDD1C}">
          <x14:formula1>
            <xm:f>項目!C17:$EQU$917505</xm:f>
          </x14:formula1>
          <xm:sqref>ERC917511:ERC917534</xm:sqref>
        </x14:dataValidation>
        <x14:dataValidation type="list" allowBlank="1" showInputMessage="1" showErrorMessage="1" xr:uid="{8F4EFD3D-7123-47D3-9508-A622826B4377}">
          <x14:formula1>
            <xm:f>項目!C17:$FAQ$917505</xm:f>
          </x14:formula1>
          <xm:sqref>FAY917511:FAY917534</xm:sqref>
        </x14:dataValidation>
        <x14:dataValidation type="list" allowBlank="1" showInputMessage="1" showErrorMessage="1" xr:uid="{3DABB6C7-9938-41C6-B863-BE6B961587E0}">
          <x14:formula1>
            <xm:f>項目!C17:$FKM$917505</xm:f>
          </x14:formula1>
          <xm:sqref>FKU917511:FKU917534</xm:sqref>
        </x14:dataValidation>
        <x14:dataValidation type="list" allowBlank="1" showInputMessage="1" showErrorMessage="1" xr:uid="{7C687035-2544-4B13-87CF-61120416F633}">
          <x14:formula1>
            <xm:f>項目!C17:$FUI$917505</xm:f>
          </x14:formula1>
          <xm:sqref>FUQ917511:FUQ917534</xm:sqref>
        </x14:dataValidation>
        <x14:dataValidation type="list" allowBlank="1" showInputMessage="1" showErrorMessage="1" xr:uid="{CA6CCAD7-4E09-475E-B666-52176B2776AE}">
          <x14:formula1>
            <xm:f>項目!C17:$GEE$917505</xm:f>
          </x14:formula1>
          <xm:sqref>GEM917511:GEM917534</xm:sqref>
        </x14:dataValidation>
        <x14:dataValidation type="list" allowBlank="1" showInputMessage="1" showErrorMessage="1" xr:uid="{CC3D735E-4767-4D2B-84E8-B1AE3CB74B9D}">
          <x14:formula1>
            <xm:f>項目!C17:$GOA$917505</xm:f>
          </x14:formula1>
          <xm:sqref>GOI917511:GOI917534</xm:sqref>
        </x14:dataValidation>
        <x14:dataValidation type="list" allowBlank="1" showInputMessage="1" showErrorMessage="1" xr:uid="{A5A22423-837F-43B6-B3D7-8A9A712BADFC}">
          <x14:formula1>
            <xm:f>項目!C17:$GXW$917505</xm:f>
          </x14:formula1>
          <xm:sqref>GYE917511:GYE917534</xm:sqref>
        </x14:dataValidation>
        <x14:dataValidation type="list" allowBlank="1" showInputMessage="1" showErrorMessage="1" xr:uid="{6517559F-9E29-4404-9E45-279C6E63097C}">
          <x14:formula1>
            <xm:f>項目!C17:$HHS$917505</xm:f>
          </x14:formula1>
          <xm:sqref>HIA917511:HIA917534</xm:sqref>
        </x14:dataValidation>
        <x14:dataValidation type="list" allowBlank="1" showInputMessage="1" showErrorMessage="1" xr:uid="{385C6364-519E-4E54-968D-F81C2A73B771}">
          <x14:formula1>
            <xm:f>項目!C17:$HRO$917505</xm:f>
          </x14:formula1>
          <xm:sqref>HRW917511:HRW917534</xm:sqref>
        </x14:dataValidation>
        <x14:dataValidation type="list" allowBlank="1" showInputMessage="1" showErrorMessage="1" xr:uid="{1594B42B-0325-45DA-A7C7-9627B13F6C40}">
          <x14:formula1>
            <xm:f>項目!C17:$IBK$917505</xm:f>
          </x14:formula1>
          <xm:sqref>IBS917511:IBS917534</xm:sqref>
        </x14:dataValidation>
        <x14:dataValidation type="list" allowBlank="1" showInputMessage="1" showErrorMessage="1" xr:uid="{2494E4E7-B1C0-4702-8C35-9932D0548029}">
          <x14:formula1>
            <xm:f>項目!C17:$ILG$917505</xm:f>
          </x14:formula1>
          <xm:sqref>ILO917511:ILO917534</xm:sqref>
        </x14:dataValidation>
        <x14:dataValidation type="list" allowBlank="1" showInputMessage="1" showErrorMessage="1" xr:uid="{8F2CC0BD-8651-441F-AFA2-98C26FBF3BB5}">
          <x14:formula1>
            <xm:f>項目!C17:$IVC$917505</xm:f>
          </x14:formula1>
          <xm:sqref>IVK917511:IVK917534</xm:sqref>
        </x14:dataValidation>
        <x14:dataValidation type="list" allowBlank="1" showInputMessage="1" showErrorMessage="1" xr:uid="{F94BDDCA-4DC3-4867-ABE7-6D382EDF2D43}">
          <x14:formula1>
            <xm:f>項目!C17:$JEY$917505</xm:f>
          </x14:formula1>
          <xm:sqref>JFG917511:JFG917534</xm:sqref>
        </x14:dataValidation>
        <x14:dataValidation type="list" allowBlank="1" showInputMessage="1" showErrorMessage="1" xr:uid="{EB6346BB-5303-440A-B600-0D43BAE9B566}">
          <x14:formula1>
            <xm:f>項目!C17:$JOU$917505</xm:f>
          </x14:formula1>
          <xm:sqref>JPC917511:JPC917534</xm:sqref>
        </x14:dataValidation>
        <x14:dataValidation type="list" allowBlank="1" showInputMessage="1" showErrorMessage="1" xr:uid="{0956B24F-1BCD-433C-B3D6-3E3DC3336E3F}">
          <x14:formula1>
            <xm:f>項目!C17:$JYQ$917505</xm:f>
          </x14:formula1>
          <xm:sqref>JYY917511:JYY917534</xm:sqref>
        </x14:dataValidation>
        <x14:dataValidation type="list" allowBlank="1" showInputMessage="1" showErrorMessage="1" xr:uid="{5B0D853A-FD53-4D93-9858-1DA4EC9855D5}">
          <x14:formula1>
            <xm:f>項目!C17:$KIM$917505</xm:f>
          </x14:formula1>
          <xm:sqref>KIU917511:KIU917534</xm:sqref>
        </x14:dataValidation>
        <x14:dataValidation type="list" allowBlank="1" showInputMessage="1" showErrorMessage="1" xr:uid="{950634CB-7421-4854-BDF6-C4DC839B66D3}">
          <x14:formula1>
            <xm:f>項目!C17:$KSI$917505</xm:f>
          </x14:formula1>
          <xm:sqref>KSQ917511:KSQ917534</xm:sqref>
        </x14:dataValidation>
        <x14:dataValidation type="list" allowBlank="1" showInputMessage="1" showErrorMessage="1" xr:uid="{FBE93CBC-5C15-4FE9-B339-E2EDC144AFB2}">
          <x14:formula1>
            <xm:f>項目!C17:$LCE$917505</xm:f>
          </x14:formula1>
          <xm:sqref>LCM917511:LCM917534</xm:sqref>
        </x14:dataValidation>
        <x14:dataValidation type="list" allowBlank="1" showInputMessage="1" showErrorMessage="1" xr:uid="{6154F9E8-9AB6-4720-B2AC-4431F9552663}">
          <x14:formula1>
            <xm:f>項目!C17:$LMA$917505</xm:f>
          </x14:formula1>
          <xm:sqref>LMI917511:LMI917534</xm:sqref>
        </x14:dataValidation>
        <x14:dataValidation type="list" allowBlank="1" showInputMessage="1" showErrorMessage="1" xr:uid="{1AA81355-02E0-4EA0-83EC-1693573B35E5}">
          <x14:formula1>
            <xm:f>項目!C17:$LVW$917505</xm:f>
          </x14:formula1>
          <xm:sqref>LWE917511:LWE917534</xm:sqref>
        </x14:dataValidation>
        <x14:dataValidation type="list" allowBlank="1" showInputMessage="1" showErrorMessage="1" xr:uid="{6E1C1DD2-F00B-426E-94B7-73DD0FE392FC}">
          <x14:formula1>
            <xm:f>項目!C17:$MFS$917505</xm:f>
          </x14:formula1>
          <xm:sqref>MGA917511:MGA917534</xm:sqref>
        </x14:dataValidation>
        <x14:dataValidation type="list" allowBlank="1" showInputMessage="1" showErrorMessage="1" xr:uid="{3333C3D2-5823-4F50-9F3F-533D7747C00F}">
          <x14:formula1>
            <xm:f>項目!C17:$MPO$917505</xm:f>
          </x14:formula1>
          <xm:sqref>MPW917511:MPW917534</xm:sqref>
        </x14:dataValidation>
        <x14:dataValidation type="list" allowBlank="1" showInputMessage="1" showErrorMessage="1" xr:uid="{27E1D136-534F-4106-992B-5CD7C100BFE7}">
          <x14:formula1>
            <xm:f>項目!C17:$MZK$917505</xm:f>
          </x14:formula1>
          <xm:sqref>MZS917511:MZS917534</xm:sqref>
        </x14:dataValidation>
        <x14:dataValidation type="list" allowBlank="1" showInputMessage="1" showErrorMessage="1" xr:uid="{AB3818BF-5895-43AC-A321-73888B1449FD}">
          <x14:formula1>
            <xm:f>項目!C17:$NJG$917505</xm:f>
          </x14:formula1>
          <xm:sqref>NJO917511:NJO917534</xm:sqref>
        </x14:dataValidation>
        <x14:dataValidation type="list" allowBlank="1" showInputMessage="1" showErrorMessage="1" xr:uid="{4A29C689-F559-433D-B39A-9467FDD9D9EE}">
          <x14:formula1>
            <xm:f>項目!C17:$NTC$917505</xm:f>
          </x14:formula1>
          <xm:sqref>NTK917511:NTK917534</xm:sqref>
        </x14:dataValidation>
        <x14:dataValidation type="list" allowBlank="1" showInputMessage="1" showErrorMessage="1" xr:uid="{3B22F80D-4198-4B04-8D4C-D74BE23F07B9}">
          <x14:formula1>
            <xm:f>項目!C17:$OCY$917505</xm:f>
          </x14:formula1>
          <xm:sqref>ODG917511:ODG917534</xm:sqref>
        </x14:dataValidation>
        <x14:dataValidation type="list" allowBlank="1" showInputMessage="1" showErrorMessage="1" xr:uid="{B10FDA05-3BDA-49D7-AF49-369563DFFC9D}">
          <x14:formula1>
            <xm:f>項目!C17:$OMU$917505</xm:f>
          </x14:formula1>
          <xm:sqref>ONC917511:ONC917534</xm:sqref>
        </x14:dataValidation>
        <x14:dataValidation type="list" allowBlank="1" showInputMessage="1" showErrorMessage="1" xr:uid="{070864D6-9BE9-4E51-92E5-0F2B7FA7000E}">
          <x14:formula1>
            <xm:f>項目!C17:$OWQ$917505</xm:f>
          </x14:formula1>
          <xm:sqref>OWY917511:OWY917534</xm:sqref>
        </x14:dataValidation>
        <x14:dataValidation type="list" allowBlank="1" showInputMessage="1" showErrorMessage="1" xr:uid="{E475A46B-0B29-4637-BB17-5ACB25A24B34}">
          <x14:formula1>
            <xm:f>項目!C17:$PGM$917505</xm:f>
          </x14:formula1>
          <xm:sqref>PGU917511:PGU917534</xm:sqref>
        </x14:dataValidation>
        <x14:dataValidation type="list" allowBlank="1" showInputMessage="1" showErrorMessage="1" xr:uid="{2C131767-90C2-4E28-8858-45DDABE26427}">
          <x14:formula1>
            <xm:f>項目!C17:$PQI$917505</xm:f>
          </x14:formula1>
          <xm:sqref>PQQ917511:PQQ917534</xm:sqref>
        </x14:dataValidation>
        <x14:dataValidation type="list" allowBlank="1" showInputMessage="1" showErrorMessage="1" xr:uid="{C4ABB3A1-A853-4490-85F8-998FC52EAC06}">
          <x14:formula1>
            <xm:f>項目!C17:$QAE$917505</xm:f>
          </x14:formula1>
          <xm:sqref>QAM917511:QAM917534</xm:sqref>
        </x14:dataValidation>
        <x14:dataValidation type="list" allowBlank="1" showInputMessage="1" showErrorMessage="1" xr:uid="{D6742988-DC58-4588-813F-2EBECBBC1A40}">
          <x14:formula1>
            <xm:f>項目!C17:$QKA$917505</xm:f>
          </x14:formula1>
          <xm:sqref>QKI917511:QKI917534</xm:sqref>
        </x14:dataValidation>
        <x14:dataValidation type="list" allowBlank="1" showInputMessage="1" showErrorMessage="1" xr:uid="{E9C7847E-0875-4D2E-9C30-3BF6D417CB79}">
          <x14:formula1>
            <xm:f>項目!C17:$QTW$917505</xm:f>
          </x14:formula1>
          <xm:sqref>QUE917511:QUE917534</xm:sqref>
        </x14:dataValidation>
        <x14:dataValidation type="list" allowBlank="1" showInputMessage="1" showErrorMessage="1" xr:uid="{4C006B33-4EF6-430F-AB63-88119A8121A7}">
          <x14:formula1>
            <xm:f>項目!C17:$RDS$917505</xm:f>
          </x14:formula1>
          <xm:sqref>REA917511:REA917534</xm:sqref>
        </x14:dataValidation>
        <x14:dataValidation type="list" allowBlank="1" showInputMessage="1" showErrorMessage="1" xr:uid="{DD56E7DB-6FD5-4BC0-BC99-7F7E4A279210}">
          <x14:formula1>
            <xm:f>項目!C17:$RNO$917505</xm:f>
          </x14:formula1>
          <xm:sqref>RNW917511:RNW917534</xm:sqref>
        </x14:dataValidation>
        <x14:dataValidation type="list" allowBlank="1" showInputMessage="1" showErrorMessage="1" xr:uid="{D4A5FC62-E15D-4387-89F3-B42350B687CA}">
          <x14:formula1>
            <xm:f>項目!C17:$RXK$917505</xm:f>
          </x14:formula1>
          <xm:sqref>RXS917511:RXS917534</xm:sqref>
        </x14:dataValidation>
        <x14:dataValidation type="list" allowBlank="1" showInputMessage="1" showErrorMessage="1" xr:uid="{70C6B097-1697-412A-80C0-2ECA3B9C49B5}">
          <x14:formula1>
            <xm:f>項目!C17:$SHG$917505</xm:f>
          </x14:formula1>
          <xm:sqref>SHO917511:SHO917534</xm:sqref>
        </x14:dataValidation>
        <x14:dataValidation type="list" allowBlank="1" showInputMessage="1" showErrorMessage="1" xr:uid="{3C762CB2-2999-4AB5-AE6E-A142A5938C9E}">
          <x14:formula1>
            <xm:f>項目!C17:$SRC$917505</xm:f>
          </x14:formula1>
          <xm:sqref>SRK917511:SRK917534</xm:sqref>
        </x14:dataValidation>
        <x14:dataValidation type="list" allowBlank="1" showInputMessage="1" showErrorMessage="1" xr:uid="{7E12B561-00ED-44F1-8E75-62CE872478C5}">
          <x14:formula1>
            <xm:f>項目!C17:$TAY$917505</xm:f>
          </x14:formula1>
          <xm:sqref>TBG917511:TBG917534</xm:sqref>
        </x14:dataValidation>
        <x14:dataValidation type="list" allowBlank="1" showInputMessage="1" showErrorMessage="1" xr:uid="{9624F8F4-8576-47FE-ABF7-10BA74092946}">
          <x14:formula1>
            <xm:f>項目!C17:$TKU$917505</xm:f>
          </x14:formula1>
          <xm:sqref>TLC917511:TLC917534</xm:sqref>
        </x14:dataValidation>
        <x14:dataValidation type="list" allowBlank="1" showInputMessage="1" showErrorMessage="1" xr:uid="{4EFDEB9C-D0D9-44AD-88E1-6E1E43D50F98}">
          <x14:formula1>
            <xm:f>項目!C17:$TUQ$917505</xm:f>
          </x14:formula1>
          <xm:sqref>TUY917511:TUY917534</xm:sqref>
        </x14:dataValidation>
        <x14:dataValidation type="list" allowBlank="1" showInputMessage="1" showErrorMessage="1" xr:uid="{F6BFE445-DD80-49BB-8515-5897829FB84C}">
          <x14:formula1>
            <xm:f>項目!C17:$UEM$917505</xm:f>
          </x14:formula1>
          <xm:sqref>UEU917511:UEU917534</xm:sqref>
        </x14:dataValidation>
        <x14:dataValidation type="list" allowBlank="1" showInputMessage="1" showErrorMessage="1" xr:uid="{CE5EE6CF-6167-4C02-AEAD-1930E36E5DB8}">
          <x14:formula1>
            <xm:f>項目!C17:$UOI$917505</xm:f>
          </x14:formula1>
          <xm:sqref>UOQ917511:UOQ917534</xm:sqref>
        </x14:dataValidation>
        <x14:dataValidation type="list" allowBlank="1" showInputMessage="1" showErrorMessage="1" xr:uid="{16DD0B43-6D87-432B-BE24-E810AA5BDC5A}">
          <x14:formula1>
            <xm:f>項目!C17:$UYE$917505</xm:f>
          </x14:formula1>
          <xm:sqref>UYM917511:UYM917534</xm:sqref>
        </x14:dataValidation>
        <x14:dataValidation type="list" allowBlank="1" showInputMessage="1" showErrorMessage="1" xr:uid="{000147F0-C9DC-45B4-BA05-19C595BF99FC}">
          <x14:formula1>
            <xm:f>項目!C17:$VIA$917505</xm:f>
          </x14:formula1>
          <xm:sqref>VII917511:VII917534</xm:sqref>
        </x14:dataValidation>
        <x14:dataValidation type="list" allowBlank="1" showInputMessage="1" showErrorMessage="1" xr:uid="{27FAADF0-E627-4949-85C2-924B40776A1F}">
          <x14:formula1>
            <xm:f>項目!C17:$VRW$917505</xm:f>
          </x14:formula1>
          <xm:sqref>VSE917511:VSE917534</xm:sqref>
        </x14:dataValidation>
        <x14:dataValidation type="list" allowBlank="1" showInputMessage="1" showErrorMessage="1" xr:uid="{80179D93-6E5C-48AD-95B8-26F96EACA17C}">
          <x14:formula1>
            <xm:f>項目!C17:$WBS$917505</xm:f>
          </x14:formula1>
          <xm:sqref>WCA917511:WCA917534</xm:sqref>
        </x14:dataValidation>
        <x14:dataValidation type="list" allowBlank="1" showInputMessage="1" showErrorMessage="1" xr:uid="{F502E7BF-22DF-4762-AB17-5C3C7C1F0F66}">
          <x14:formula1>
            <xm:f>項目!C17:$WLO$917505</xm:f>
          </x14:formula1>
          <xm:sqref>WLW917511:WLW917534</xm:sqref>
        </x14:dataValidation>
        <x14:dataValidation type="list" allowBlank="1" showInputMessage="1" showErrorMessage="1" xr:uid="{E4581454-9A3A-46E6-B340-81900632EF0C}">
          <x14:formula1>
            <xm:f>項目!C17:$WVK$917505</xm:f>
          </x14:formula1>
          <xm:sqref>WVS917511:WVS917534</xm:sqref>
        </x14:dataValidation>
        <x14:dataValidation type="list" allowBlank="1" showInputMessage="1" showErrorMessage="1" xr:uid="{BEF28CFF-6E54-4D71-9E5E-F935D1555E43}">
          <x14:formula1>
            <xm:f>項目!C17:$IY$983041</xm:f>
          </x14:formula1>
          <xm:sqref>JG983047:JG983070</xm:sqref>
        </x14:dataValidation>
        <x14:dataValidation type="list" allowBlank="1" showInputMessage="1" showErrorMessage="1" xr:uid="{1B4B8C16-5CFE-46B1-82BE-78787AA1D23F}">
          <x14:formula1>
            <xm:f>項目!C17:$SU$983041</xm:f>
          </x14:formula1>
          <xm:sqref>TC983047:TC983070</xm:sqref>
        </x14:dataValidation>
        <x14:dataValidation type="list" allowBlank="1" showInputMessage="1" showErrorMessage="1" xr:uid="{E0248AA3-3CB6-4400-BFFC-DB00FED3A62E}">
          <x14:formula1>
            <xm:f>項目!C17:$ACQ$983041</xm:f>
          </x14:formula1>
          <xm:sqref>ACY983047:ACY983070</xm:sqref>
        </x14:dataValidation>
        <x14:dataValidation type="list" allowBlank="1" showInputMessage="1" showErrorMessage="1" xr:uid="{227970FE-F3D0-46FC-AF13-2B4015D1FC41}">
          <x14:formula1>
            <xm:f>項目!C17:$AMM$983041</xm:f>
          </x14:formula1>
          <xm:sqref>AMU983047:AMU983070</xm:sqref>
        </x14:dataValidation>
        <x14:dataValidation type="list" allowBlank="1" showInputMessage="1" showErrorMessage="1" xr:uid="{8A3400E6-7426-479B-84F3-B5C0C87CCD23}">
          <x14:formula1>
            <xm:f>項目!C17:$AWI$983041</xm:f>
          </x14:formula1>
          <xm:sqref>AWQ983047:AWQ983070</xm:sqref>
        </x14:dataValidation>
        <x14:dataValidation type="list" allowBlank="1" showInputMessage="1" showErrorMessage="1" xr:uid="{52854656-CC29-4542-832F-2E3783674755}">
          <x14:formula1>
            <xm:f>項目!C17:$BGE$983041</xm:f>
          </x14:formula1>
          <xm:sqref>BGM983047:BGM983070</xm:sqref>
        </x14:dataValidation>
        <x14:dataValidation type="list" allowBlank="1" showInputMessage="1" showErrorMessage="1" xr:uid="{49DA1B37-4D72-4AD2-A781-83F6BF571EB4}">
          <x14:formula1>
            <xm:f>項目!C17:$BQA$983041</xm:f>
          </x14:formula1>
          <xm:sqref>BQI983047:BQI983070</xm:sqref>
        </x14:dataValidation>
        <x14:dataValidation type="list" allowBlank="1" showInputMessage="1" showErrorMessage="1" xr:uid="{B3D46027-1747-4A73-8DEF-AA8FAD3192EE}">
          <x14:formula1>
            <xm:f>項目!C17:$BZW$983041</xm:f>
          </x14:formula1>
          <xm:sqref>CAE983047:CAE983070</xm:sqref>
        </x14:dataValidation>
        <x14:dataValidation type="list" allowBlank="1" showInputMessage="1" showErrorMessage="1" xr:uid="{B3D80CCA-E0D3-4154-AA3E-759E609B0B71}">
          <x14:formula1>
            <xm:f>項目!C17:$CJS$983041</xm:f>
          </x14:formula1>
          <xm:sqref>CKA983047:CKA983070</xm:sqref>
        </x14:dataValidation>
        <x14:dataValidation type="list" allowBlank="1" showInputMessage="1" showErrorMessage="1" xr:uid="{91DE83BD-3D67-4577-868C-CCF3D436607F}">
          <x14:formula1>
            <xm:f>項目!C17:$CTO$983041</xm:f>
          </x14:formula1>
          <xm:sqref>CTW983047:CTW983070</xm:sqref>
        </x14:dataValidation>
        <x14:dataValidation type="list" allowBlank="1" showInputMessage="1" showErrorMessage="1" xr:uid="{1161639F-3456-40CF-BE20-028345F6B985}">
          <x14:formula1>
            <xm:f>項目!C17:$DDK$983041</xm:f>
          </x14:formula1>
          <xm:sqref>DDS983047:DDS983070</xm:sqref>
        </x14:dataValidation>
        <x14:dataValidation type="list" allowBlank="1" showInputMessage="1" showErrorMessage="1" xr:uid="{38DB8BCB-4D60-4C84-8F24-F88AB8AD9896}">
          <x14:formula1>
            <xm:f>項目!C17:$DNG$983041</xm:f>
          </x14:formula1>
          <xm:sqref>DNO983047:DNO983070</xm:sqref>
        </x14:dataValidation>
        <x14:dataValidation type="list" allowBlank="1" showInputMessage="1" showErrorMessage="1" xr:uid="{67570E90-4A95-421F-BE6E-EB9A0BEF4A21}">
          <x14:formula1>
            <xm:f>項目!C17:$DXC$983041</xm:f>
          </x14:formula1>
          <xm:sqref>DXK983047:DXK983070</xm:sqref>
        </x14:dataValidation>
        <x14:dataValidation type="list" allowBlank="1" showInputMessage="1" showErrorMessage="1" xr:uid="{957BBD4A-C14F-4CFC-9BDE-0924FB751891}">
          <x14:formula1>
            <xm:f>項目!C17:$EGY$983041</xm:f>
          </x14:formula1>
          <xm:sqref>EHG983047:EHG983070</xm:sqref>
        </x14:dataValidation>
        <x14:dataValidation type="list" allowBlank="1" showInputMessage="1" showErrorMessage="1" xr:uid="{7A189339-E997-43EC-AA3B-537C756CA7F1}">
          <x14:formula1>
            <xm:f>項目!C17:$EQU$983041</xm:f>
          </x14:formula1>
          <xm:sqref>ERC983047:ERC983070</xm:sqref>
        </x14:dataValidation>
        <x14:dataValidation type="list" allowBlank="1" showInputMessage="1" showErrorMessage="1" xr:uid="{90A4BD39-8397-476C-A99E-CB60A274352F}">
          <x14:formula1>
            <xm:f>項目!C17:$FAQ$983041</xm:f>
          </x14:formula1>
          <xm:sqref>FAY983047:FAY983070</xm:sqref>
        </x14:dataValidation>
        <x14:dataValidation type="list" allowBlank="1" showInputMessage="1" showErrorMessage="1" xr:uid="{FF6D9EAB-F153-4AB9-88CD-7AB06B688A47}">
          <x14:formula1>
            <xm:f>項目!C17:$FKM$983041</xm:f>
          </x14:formula1>
          <xm:sqref>FKU983047:FKU983070</xm:sqref>
        </x14:dataValidation>
        <x14:dataValidation type="list" allowBlank="1" showInputMessage="1" showErrorMessage="1" xr:uid="{3E8FF63D-A8C7-4755-AA7F-DCB2085407B5}">
          <x14:formula1>
            <xm:f>項目!C17:$FUI$983041</xm:f>
          </x14:formula1>
          <xm:sqref>FUQ983047:FUQ983070</xm:sqref>
        </x14:dataValidation>
        <x14:dataValidation type="list" allowBlank="1" showInputMessage="1" showErrorMessage="1" xr:uid="{3966D3FD-565B-4046-B6BD-804CA496C241}">
          <x14:formula1>
            <xm:f>項目!C17:$GEE$983041</xm:f>
          </x14:formula1>
          <xm:sqref>GEM983047:GEM983070</xm:sqref>
        </x14:dataValidation>
        <x14:dataValidation type="list" allowBlank="1" showInputMessage="1" showErrorMessage="1" xr:uid="{BC27523B-2939-411E-A39A-742BEECD142C}">
          <x14:formula1>
            <xm:f>項目!C17:$GOA$983041</xm:f>
          </x14:formula1>
          <xm:sqref>GOI983047:GOI983070</xm:sqref>
        </x14:dataValidation>
        <x14:dataValidation type="list" allowBlank="1" showInputMessage="1" showErrorMessage="1" xr:uid="{514F4E9A-E0FA-4ED1-865A-9D64128AF2F0}">
          <x14:formula1>
            <xm:f>項目!C17:$GXW$983041</xm:f>
          </x14:formula1>
          <xm:sqref>GYE983047:GYE983070</xm:sqref>
        </x14:dataValidation>
        <x14:dataValidation type="list" allowBlank="1" showInputMessage="1" showErrorMessage="1" xr:uid="{38F96EBF-AA21-437C-B436-CCC1C058E753}">
          <x14:formula1>
            <xm:f>項目!C17:$HHS$983041</xm:f>
          </x14:formula1>
          <xm:sqref>HIA983047:HIA983070</xm:sqref>
        </x14:dataValidation>
        <x14:dataValidation type="list" allowBlank="1" showInputMessage="1" showErrorMessage="1" xr:uid="{830ECD13-70F6-42BE-880E-42393479F312}">
          <x14:formula1>
            <xm:f>項目!C17:$HRO$983041</xm:f>
          </x14:formula1>
          <xm:sqref>HRW983047:HRW983070</xm:sqref>
        </x14:dataValidation>
        <x14:dataValidation type="list" allowBlank="1" showInputMessage="1" showErrorMessage="1" xr:uid="{4A566E32-C850-4EC5-B243-AAFF37360F1E}">
          <x14:formula1>
            <xm:f>項目!C17:$IBK$983041</xm:f>
          </x14:formula1>
          <xm:sqref>IBS983047:IBS983070</xm:sqref>
        </x14:dataValidation>
        <x14:dataValidation type="list" allowBlank="1" showInputMessage="1" showErrorMessage="1" xr:uid="{031C1C5E-F365-453D-B76F-A24CCB740BD8}">
          <x14:formula1>
            <xm:f>項目!C17:$ILG$983041</xm:f>
          </x14:formula1>
          <xm:sqref>ILO983047:ILO983070</xm:sqref>
        </x14:dataValidation>
        <x14:dataValidation type="list" allowBlank="1" showInputMessage="1" showErrorMessage="1" xr:uid="{7C4DD7C1-EE5F-4937-A62B-6BC30593030D}">
          <x14:formula1>
            <xm:f>項目!C17:$IVC$983041</xm:f>
          </x14:formula1>
          <xm:sqref>IVK983047:IVK983070</xm:sqref>
        </x14:dataValidation>
        <x14:dataValidation type="list" allowBlank="1" showInputMessage="1" showErrorMessage="1" xr:uid="{EFA1272A-2D23-485C-AA21-0A911BE69630}">
          <x14:formula1>
            <xm:f>項目!C17:$JEY$983041</xm:f>
          </x14:formula1>
          <xm:sqref>JFG983047:JFG983070</xm:sqref>
        </x14:dataValidation>
        <x14:dataValidation type="list" allowBlank="1" showInputMessage="1" showErrorMessage="1" xr:uid="{45DAB321-394F-4212-B32A-6B6571709376}">
          <x14:formula1>
            <xm:f>項目!C17:$JOU$983041</xm:f>
          </x14:formula1>
          <xm:sqref>JPC983047:JPC983070</xm:sqref>
        </x14:dataValidation>
        <x14:dataValidation type="list" allowBlank="1" showInputMessage="1" showErrorMessage="1" xr:uid="{B6C76EC1-D7F6-4174-8542-9D615B0C99BE}">
          <x14:formula1>
            <xm:f>項目!C17:$JYQ$983041</xm:f>
          </x14:formula1>
          <xm:sqref>JYY983047:JYY983070</xm:sqref>
        </x14:dataValidation>
        <x14:dataValidation type="list" allowBlank="1" showInputMessage="1" showErrorMessage="1" xr:uid="{195C40D4-6F71-4F0C-B965-6A5D506A08A9}">
          <x14:formula1>
            <xm:f>項目!C17:$KIM$983041</xm:f>
          </x14:formula1>
          <xm:sqref>KIU983047:KIU983070</xm:sqref>
        </x14:dataValidation>
        <x14:dataValidation type="list" allowBlank="1" showInputMessage="1" showErrorMessage="1" xr:uid="{A9BB35E6-1C53-406C-BFD7-4A585ED25AA4}">
          <x14:formula1>
            <xm:f>項目!C17:$KSI$983041</xm:f>
          </x14:formula1>
          <xm:sqref>KSQ983047:KSQ983070</xm:sqref>
        </x14:dataValidation>
        <x14:dataValidation type="list" allowBlank="1" showInputMessage="1" showErrorMessage="1" xr:uid="{C4BFEF91-8A60-4F78-93EF-4271D78132D4}">
          <x14:formula1>
            <xm:f>項目!C17:$LCE$983041</xm:f>
          </x14:formula1>
          <xm:sqref>LCM983047:LCM983070</xm:sqref>
        </x14:dataValidation>
        <x14:dataValidation type="list" allowBlank="1" showInputMessage="1" showErrorMessage="1" xr:uid="{C1D2191B-D4F5-4644-AE6C-2B012B14A353}">
          <x14:formula1>
            <xm:f>項目!C17:$LMA$983041</xm:f>
          </x14:formula1>
          <xm:sqref>LMI983047:LMI983070</xm:sqref>
        </x14:dataValidation>
        <x14:dataValidation type="list" allowBlank="1" showInputMessage="1" showErrorMessage="1" xr:uid="{A45E2F2C-4D45-4F99-94C7-3C8773B41684}">
          <x14:formula1>
            <xm:f>項目!C17:$LVW$983041</xm:f>
          </x14:formula1>
          <xm:sqref>LWE983047:LWE983070</xm:sqref>
        </x14:dataValidation>
        <x14:dataValidation type="list" allowBlank="1" showInputMessage="1" showErrorMessage="1" xr:uid="{2125B675-DE1F-42F7-A3DA-5A9C595FA29A}">
          <x14:formula1>
            <xm:f>項目!C17:$MFS$983041</xm:f>
          </x14:formula1>
          <xm:sqref>MGA983047:MGA983070</xm:sqref>
        </x14:dataValidation>
        <x14:dataValidation type="list" allowBlank="1" showInputMessage="1" showErrorMessage="1" xr:uid="{2D17C446-EAB8-419B-ACFF-E9097FB8AC80}">
          <x14:formula1>
            <xm:f>項目!C17:$MPO$983041</xm:f>
          </x14:formula1>
          <xm:sqref>MPW983047:MPW983070</xm:sqref>
        </x14:dataValidation>
        <x14:dataValidation type="list" allowBlank="1" showInputMessage="1" showErrorMessage="1" xr:uid="{51A91AD0-77C1-4A30-B2A5-B35D9854D4F2}">
          <x14:formula1>
            <xm:f>項目!C17:$MZK$983041</xm:f>
          </x14:formula1>
          <xm:sqref>MZS983047:MZS983070</xm:sqref>
        </x14:dataValidation>
        <x14:dataValidation type="list" allowBlank="1" showInputMessage="1" showErrorMessage="1" xr:uid="{18F213CF-3710-4467-BA5D-E4511B4E261E}">
          <x14:formula1>
            <xm:f>項目!C17:$NJG$983041</xm:f>
          </x14:formula1>
          <xm:sqref>NJO983047:NJO983070</xm:sqref>
        </x14:dataValidation>
        <x14:dataValidation type="list" allowBlank="1" showInputMessage="1" showErrorMessage="1" xr:uid="{E8523736-87BF-4503-92CC-785080A202CA}">
          <x14:formula1>
            <xm:f>項目!C17:$NTC$983041</xm:f>
          </x14:formula1>
          <xm:sqref>NTK983047:NTK983070</xm:sqref>
        </x14:dataValidation>
        <x14:dataValidation type="list" allowBlank="1" showInputMessage="1" showErrorMessage="1" xr:uid="{D8656129-2F2F-48ED-8DBA-1109ED0B9D4C}">
          <x14:formula1>
            <xm:f>項目!C17:$OCY$983041</xm:f>
          </x14:formula1>
          <xm:sqref>ODG983047:ODG983070</xm:sqref>
        </x14:dataValidation>
        <x14:dataValidation type="list" allowBlank="1" showInputMessage="1" showErrorMessage="1" xr:uid="{8D281A1D-9C41-41F7-A2D8-4ECBCA23E4B4}">
          <x14:formula1>
            <xm:f>項目!C17:$OMU$983041</xm:f>
          </x14:formula1>
          <xm:sqref>ONC983047:ONC983070</xm:sqref>
        </x14:dataValidation>
        <x14:dataValidation type="list" allowBlank="1" showInputMessage="1" showErrorMessage="1" xr:uid="{81126DCB-AB13-43A1-924F-9ED309D47DC0}">
          <x14:formula1>
            <xm:f>項目!C17:$OWQ$983041</xm:f>
          </x14:formula1>
          <xm:sqref>OWY983047:OWY983070</xm:sqref>
        </x14:dataValidation>
        <x14:dataValidation type="list" allowBlank="1" showInputMessage="1" showErrorMessage="1" xr:uid="{D535BFBA-207F-4EF4-9C6C-57E50076BCAB}">
          <x14:formula1>
            <xm:f>項目!C17:$PGM$983041</xm:f>
          </x14:formula1>
          <xm:sqref>PGU983047:PGU983070</xm:sqref>
        </x14:dataValidation>
        <x14:dataValidation type="list" allowBlank="1" showInputMessage="1" showErrorMessage="1" xr:uid="{7FC14943-1F08-48BE-96C5-E0F5655C5330}">
          <x14:formula1>
            <xm:f>項目!C17:$PQI$983041</xm:f>
          </x14:formula1>
          <xm:sqref>PQQ983047:PQQ983070</xm:sqref>
        </x14:dataValidation>
        <x14:dataValidation type="list" allowBlank="1" showInputMessage="1" showErrorMessage="1" xr:uid="{4D533D7C-426B-474A-9817-6C09EC2EE881}">
          <x14:formula1>
            <xm:f>項目!C17:$QAE$983041</xm:f>
          </x14:formula1>
          <xm:sqref>QAM983047:QAM983070</xm:sqref>
        </x14:dataValidation>
        <x14:dataValidation type="list" allowBlank="1" showInputMessage="1" showErrorMessage="1" xr:uid="{A4C3439F-CFBE-4D67-9BA2-B6417D1938BE}">
          <x14:formula1>
            <xm:f>項目!C17:$QKA$983041</xm:f>
          </x14:formula1>
          <xm:sqref>QKI983047:QKI983070</xm:sqref>
        </x14:dataValidation>
        <x14:dataValidation type="list" allowBlank="1" showInputMessage="1" showErrorMessage="1" xr:uid="{839D9D9E-2997-464E-B10D-9CB9F359E95E}">
          <x14:formula1>
            <xm:f>項目!C17:$QTW$983041</xm:f>
          </x14:formula1>
          <xm:sqref>QUE983047:QUE983070</xm:sqref>
        </x14:dataValidation>
        <x14:dataValidation type="list" allowBlank="1" showInputMessage="1" showErrorMessage="1" xr:uid="{F55D472D-6D9B-443C-958A-843989A5684A}">
          <x14:formula1>
            <xm:f>項目!C17:$RDS$983041</xm:f>
          </x14:formula1>
          <xm:sqref>REA983047:REA983070</xm:sqref>
        </x14:dataValidation>
        <x14:dataValidation type="list" allowBlank="1" showInputMessage="1" showErrorMessage="1" xr:uid="{E2937A8C-CF63-4B9D-A10D-91854A5413B6}">
          <x14:formula1>
            <xm:f>項目!C17:$RNO$983041</xm:f>
          </x14:formula1>
          <xm:sqref>RNW983047:RNW983070</xm:sqref>
        </x14:dataValidation>
        <x14:dataValidation type="list" allowBlank="1" showInputMessage="1" showErrorMessage="1" xr:uid="{DC07C513-8184-44CE-856A-E58B0EDF0C57}">
          <x14:formula1>
            <xm:f>項目!C17:$RXK$983041</xm:f>
          </x14:formula1>
          <xm:sqref>RXS983047:RXS983070</xm:sqref>
        </x14:dataValidation>
        <x14:dataValidation type="list" allowBlank="1" showInputMessage="1" showErrorMessage="1" xr:uid="{2C704E14-F04A-47E6-A2BB-9227E54FC356}">
          <x14:formula1>
            <xm:f>項目!C17:$SHG$983041</xm:f>
          </x14:formula1>
          <xm:sqref>SHO983047:SHO983070</xm:sqref>
        </x14:dataValidation>
        <x14:dataValidation type="list" allowBlank="1" showInputMessage="1" showErrorMessage="1" xr:uid="{00679609-C5FE-4BC5-9664-9CA96FEA8912}">
          <x14:formula1>
            <xm:f>項目!C17:$SRC$983041</xm:f>
          </x14:formula1>
          <xm:sqref>SRK983047:SRK983070</xm:sqref>
        </x14:dataValidation>
        <x14:dataValidation type="list" allowBlank="1" showInputMessage="1" showErrorMessage="1" xr:uid="{13B59692-58F7-40CA-A54B-2F7312B35C1B}">
          <x14:formula1>
            <xm:f>項目!C17:$TAY$983041</xm:f>
          </x14:formula1>
          <xm:sqref>TBG983047:TBG983070</xm:sqref>
        </x14:dataValidation>
        <x14:dataValidation type="list" allowBlank="1" showInputMessage="1" showErrorMessage="1" xr:uid="{AC20576E-4A70-48ED-BE1D-26A65D6FF449}">
          <x14:formula1>
            <xm:f>項目!C17:$TKU$983041</xm:f>
          </x14:formula1>
          <xm:sqref>TLC983047:TLC983070</xm:sqref>
        </x14:dataValidation>
        <x14:dataValidation type="list" allowBlank="1" showInputMessage="1" showErrorMessage="1" xr:uid="{4C53E507-CD21-4D74-8081-6CFB46D31E90}">
          <x14:formula1>
            <xm:f>項目!C17:$TUQ$983041</xm:f>
          </x14:formula1>
          <xm:sqref>TUY983047:TUY983070</xm:sqref>
        </x14:dataValidation>
        <x14:dataValidation type="list" allowBlank="1" showInputMessage="1" showErrorMessage="1" xr:uid="{753819DD-4307-40DF-B97B-E48DCBC05A5E}">
          <x14:formula1>
            <xm:f>項目!C17:$UEM$983041</xm:f>
          </x14:formula1>
          <xm:sqref>UEU983047:UEU983070</xm:sqref>
        </x14:dataValidation>
        <x14:dataValidation type="list" allowBlank="1" showInputMessage="1" showErrorMessage="1" xr:uid="{B5BE2551-7373-4134-9233-72F554617496}">
          <x14:formula1>
            <xm:f>項目!C17:$UOI$983041</xm:f>
          </x14:formula1>
          <xm:sqref>UOQ983047:UOQ983070</xm:sqref>
        </x14:dataValidation>
        <x14:dataValidation type="list" allowBlank="1" showInputMessage="1" showErrorMessage="1" xr:uid="{F2645C96-0CAB-4D8E-A14D-F830EF6681E6}">
          <x14:formula1>
            <xm:f>項目!C17:$UYE$983041</xm:f>
          </x14:formula1>
          <xm:sqref>UYM983047:UYM983070</xm:sqref>
        </x14:dataValidation>
        <x14:dataValidation type="list" allowBlank="1" showInputMessage="1" showErrorMessage="1" xr:uid="{7721E3A6-3639-4A27-8C26-686447CF3E93}">
          <x14:formula1>
            <xm:f>項目!C17:$VIA$983041</xm:f>
          </x14:formula1>
          <xm:sqref>VII983047:VII983070</xm:sqref>
        </x14:dataValidation>
        <x14:dataValidation type="list" allowBlank="1" showInputMessage="1" showErrorMessage="1" xr:uid="{29FE421B-705A-4EFA-9349-BF5222340D21}">
          <x14:formula1>
            <xm:f>項目!C17:$VRW$983041</xm:f>
          </x14:formula1>
          <xm:sqref>VSE983047:VSE983070</xm:sqref>
        </x14:dataValidation>
        <x14:dataValidation type="list" allowBlank="1" showInputMessage="1" showErrorMessage="1" xr:uid="{56D0551A-899F-46A8-97DF-6F32D9D80A9C}">
          <x14:formula1>
            <xm:f>項目!C17:$WBS$983041</xm:f>
          </x14:formula1>
          <xm:sqref>WCA983047:WCA983070</xm:sqref>
        </x14:dataValidation>
        <x14:dataValidation type="list" allowBlank="1" showInputMessage="1" showErrorMessage="1" xr:uid="{E8F27197-6DDF-4D4B-B4FE-1B70989FD240}">
          <x14:formula1>
            <xm:f>項目!C17:$WLO$983041</xm:f>
          </x14:formula1>
          <xm:sqref>WLW983047:WLW983070</xm:sqref>
        </x14:dataValidation>
        <x14:dataValidation type="list" allowBlank="1" showInputMessage="1" showErrorMessage="1" xr:uid="{EFB5EE2E-38E3-45AE-B5ED-A409418B70AB}">
          <x14:formula1>
            <xm:f>項目!C17:$WVK$983041</xm:f>
          </x14:formula1>
          <xm:sqref>WVS983047:WVS983070</xm:sqref>
        </x14:dataValidation>
        <x14:dataValidation type="list" allowBlank="1" showInputMessage="1" showErrorMessage="1" xr:uid="{EC447D2B-E5A0-468A-BB85-CB0976B0DC60}">
          <x14:formula1>
            <xm:f>項目!C17:$J$65537</xm:f>
          </x14:formula1>
          <xm:sqref>O65543:O65566</xm:sqref>
        </x14:dataValidation>
        <x14:dataValidation type="list" allowBlank="1" showInputMessage="1" showErrorMessage="1" xr:uid="{89DBBF2B-5DD1-4D75-8503-686E071A2E0B}">
          <x14:formula1>
            <xm:f>項目!C17:$JC$65537</xm:f>
          </x14:formula1>
          <xm:sqref>JK65543:JK65566</xm:sqref>
        </x14:dataValidation>
        <x14:dataValidation type="list" allowBlank="1" showInputMessage="1" showErrorMessage="1" xr:uid="{1698A971-EA5E-4139-B273-DF796142C23D}">
          <x14:formula1>
            <xm:f>項目!C17:$SY$65537</xm:f>
          </x14:formula1>
          <xm:sqref>TG65543:TG65566</xm:sqref>
        </x14:dataValidation>
        <x14:dataValidation type="list" allowBlank="1" showInputMessage="1" showErrorMessage="1" xr:uid="{F090E05A-2F8F-4D66-8695-329E8FDB6026}">
          <x14:formula1>
            <xm:f>項目!C17:$ACU$65537</xm:f>
          </x14:formula1>
          <xm:sqref>ADC65543:ADC65566</xm:sqref>
        </x14:dataValidation>
        <x14:dataValidation type="list" allowBlank="1" showInputMessage="1" showErrorMessage="1" xr:uid="{AB6E38C2-3048-4402-915E-AD23AE21442E}">
          <x14:formula1>
            <xm:f>項目!C17:$AMQ$65537</xm:f>
          </x14:formula1>
          <xm:sqref>AMY65543:AMY65566</xm:sqref>
        </x14:dataValidation>
        <x14:dataValidation type="list" allowBlank="1" showInputMessage="1" showErrorMessage="1" xr:uid="{CD5DAD81-C744-4D64-8545-933E38D60A72}">
          <x14:formula1>
            <xm:f>項目!C17:$AWM$65537</xm:f>
          </x14:formula1>
          <xm:sqref>AWU65543:AWU65566</xm:sqref>
        </x14:dataValidation>
        <x14:dataValidation type="list" allowBlank="1" showInputMessage="1" showErrorMessage="1" xr:uid="{A4D34001-F0EE-4F8F-89D8-F9F737F58ACC}">
          <x14:formula1>
            <xm:f>項目!C17:$BGI$65537</xm:f>
          </x14:formula1>
          <xm:sqref>BGQ65543:BGQ65566</xm:sqref>
        </x14:dataValidation>
        <x14:dataValidation type="list" allowBlank="1" showInputMessage="1" showErrorMessage="1" xr:uid="{82BF35CF-FC47-44A3-87C8-A37F588905C5}">
          <x14:formula1>
            <xm:f>項目!C17:$BQE$65537</xm:f>
          </x14:formula1>
          <xm:sqref>BQM65543:BQM65566</xm:sqref>
        </x14:dataValidation>
        <x14:dataValidation type="list" allowBlank="1" showInputMessage="1" showErrorMessage="1" xr:uid="{8EA05F07-4865-43EE-873F-41415E0367A9}">
          <x14:formula1>
            <xm:f>項目!C17:$CAA$65537</xm:f>
          </x14:formula1>
          <xm:sqref>CAI65543:CAI65566</xm:sqref>
        </x14:dataValidation>
        <x14:dataValidation type="list" allowBlank="1" showInputMessage="1" showErrorMessage="1" xr:uid="{CAB2F4CB-F007-464F-B24C-68A4227DF52B}">
          <x14:formula1>
            <xm:f>項目!C17:$CJW$65537</xm:f>
          </x14:formula1>
          <xm:sqref>CKE65543:CKE65566</xm:sqref>
        </x14:dataValidation>
        <x14:dataValidation type="list" allowBlank="1" showInputMessage="1" showErrorMessage="1" xr:uid="{E6FCCF81-60AF-44E0-97CA-B3525CF3577A}">
          <x14:formula1>
            <xm:f>項目!C17:$CTS$65537</xm:f>
          </x14:formula1>
          <xm:sqref>CUA65543:CUA65566</xm:sqref>
        </x14:dataValidation>
        <x14:dataValidation type="list" allowBlank="1" showInputMessage="1" showErrorMessage="1" xr:uid="{1F5622EE-BC5A-4A5B-8C20-BEC60E913EE0}">
          <x14:formula1>
            <xm:f>項目!C17:$DDO$65537</xm:f>
          </x14:formula1>
          <xm:sqref>DDW65543:DDW65566</xm:sqref>
        </x14:dataValidation>
        <x14:dataValidation type="list" allowBlank="1" showInputMessage="1" showErrorMessage="1" xr:uid="{F60C882F-7615-4995-B620-DD25A5642692}">
          <x14:formula1>
            <xm:f>項目!C17:$DNK$65537</xm:f>
          </x14:formula1>
          <xm:sqref>DNS65543:DNS65566</xm:sqref>
        </x14:dataValidation>
        <x14:dataValidation type="list" allowBlank="1" showInputMessage="1" showErrorMessage="1" xr:uid="{CD702A65-4381-4156-81B9-50CDD58FD9DB}">
          <x14:formula1>
            <xm:f>項目!C17:$DXG$65537</xm:f>
          </x14:formula1>
          <xm:sqref>DXO65543:DXO65566</xm:sqref>
        </x14:dataValidation>
        <x14:dataValidation type="list" allowBlank="1" showInputMessage="1" showErrorMessage="1" xr:uid="{858B6BA2-9016-43D4-9BDC-24A7868362C1}">
          <x14:formula1>
            <xm:f>項目!C17:$EHC$65537</xm:f>
          </x14:formula1>
          <xm:sqref>EHK65543:EHK65566</xm:sqref>
        </x14:dataValidation>
        <x14:dataValidation type="list" allowBlank="1" showInputMessage="1" showErrorMessage="1" xr:uid="{8D67D141-2646-4366-BDA1-369706A7B177}">
          <x14:formula1>
            <xm:f>項目!C17:$EQY$65537</xm:f>
          </x14:formula1>
          <xm:sqref>ERG65543:ERG65566</xm:sqref>
        </x14:dataValidation>
        <x14:dataValidation type="list" allowBlank="1" showInputMessage="1" showErrorMessage="1" xr:uid="{BE46762F-3A81-440F-9CFA-43EDADE5C700}">
          <x14:formula1>
            <xm:f>項目!C17:$FAU$65537</xm:f>
          </x14:formula1>
          <xm:sqref>FBC65543:FBC65566</xm:sqref>
        </x14:dataValidation>
        <x14:dataValidation type="list" allowBlank="1" showInputMessage="1" showErrorMessage="1" xr:uid="{C6529766-EE58-4095-8B72-62E8B2EA5266}">
          <x14:formula1>
            <xm:f>項目!C17:$FKQ$65537</xm:f>
          </x14:formula1>
          <xm:sqref>FKY65543:FKY65566</xm:sqref>
        </x14:dataValidation>
        <x14:dataValidation type="list" allowBlank="1" showInputMessage="1" showErrorMessage="1" xr:uid="{D72B9EE0-B9E9-42CB-8C3E-46E347044F42}">
          <x14:formula1>
            <xm:f>項目!C17:$FUM$65537</xm:f>
          </x14:formula1>
          <xm:sqref>FUU65543:FUU65566</xm:sqref>
        </x14:dataValidation>
        <x14:dataValidation type="list" allowBlank="1" showInputMessage="1" showErrorMessage="1" xr:uid="{DA1B1829-DF11-45B4-8A96-AF89BBBEAD01}">
          <x14:formula1>
            <xm:f>項目!C17:$GEI$65537</xm:f>
          </x14:formula1>
          <xm:sqref>GEQ65543:GEQ65566</xm:sqref>
        </x14:dataValidation>
        <x14:dataValidation type="list" allowBlank="1" showInputMessage="1" showErrorMessage="1" xr:uid="{9812245E-E1C7-48E5-B661-B4BC98C535BF}">
          <x14:formula1>
            <xm:f>項目!C17:$GOE$65537</xm:f>
          </x14:formula1>
          <xm:sqref>GOM65543:GOM65566</xm:sqref>
        </x14:dataValidation>
        <x14:dataValidation type="list" allowBlank="1" showInputMessage="1" showErrorMessage="1" xr:uid="{3FDE4F7C-7E1D-4E3E-B036-F4F18A2F4F0F}">
          <x14:formula1>
            <xm:f>項目!C17:$GYA$65537</xm:f>
          </x14:formula1>
          <xm:sqref>GYI65543:GYI65566</xm:sqref>
        </x14:dataValidation>
        <x14:dataValidation type="list" allowBlank="1" showInputMessage="1" showErrorMessage="1" xr:uid="{D4BFD3C0-C610-4634-9343-9419E8DC3B3D}">
          <x14:formula1>
            <xm:f>項目!C17:$HHW$65537</xm:f>
          </x14:formula1>
          <xm:sqref>HIE65543:HIE65566</xm:sqref>
        </x14:dataValidation>
        <x14:dataValidation type="list" allowBlank="1" showInputMessage="1" showErrorMessage="1" xr:uid="{E91F0F1A-D397-425F-A452-1A7A79758CA7}">
          <x14:formula1>
            <xm:f>項目!C17:$HRS$65537</xm:f>
          </x14:formula1>
          <xm:sqref>HSA65543:HSA65566</xm:sqref>
        </x14:dataValidation>
        <x14:dataValidation type="list" allowBlank="1" showInputMessage="1" showErrorMessage="1" xr:uid="{C9A8AE8F-E778-48D7-8FDD-FD6F58FD312F}">
          <x14:formula1>
            <xm:f>項目!C17:$IBO$65537</xm:f>
          </x14:formula1>
          <xm:sqref>IBW65543:IBW65566</xm:sqref>
        </x14:dataValidation>
        <x14:dataValidation type="list" allowBlank="1" showInputMessage="1" showErrorMessage="1" xr:uid="{828D73A3-CC80-4FEE-98A3-DD3AEFBE8F33}">
          <x14:formula1>
            <xm:f>項目!C17:$ILK$65537</xm:f>
          </x14:formula1>
          <xm:sqref>ILS65543:ILS65566</xm:sqref>
        </x14:dataValidation>
        <x14:dataValidation type="list" allowBlank="1" showInputMessage="1" showErrorMessage="1" xr:uid="{68E032DD-AA6B-4501-890A-E1FDD19E5ED7}">
          <x14:formula1>
            <xm:f>項目!C17:$IVG$65537</xm:f>
          </x14:formula1>
          <xm:sqref>IVO65543:IVO65566</xm:sqref>
        </x14:dataValidation>
        <x14:dataValidation type="list" allowBlank="1" showInputMessage="1" showErrorMessage="1" xr:uid="{883351AB-13E8-4A25-A394-BAEDB09518D8}">
          <x14:formula1>
            <xm:f>項目!C17:$JFC$65537</xm:f>
          </x14:formula1>
          <xm:sqref>JFK65543:JFK65566</xm:sqref>
        </x14:dataValidation>
        <x14:dataValidation type="list" allowBlank="1" showInputMessage="1" showErrorMessage="1" xr:uid="{0B684385-7C54-43EC-B9C8-FC272D772741}">
          <x14:formula1>
            <xm:f>項目!C17:$JOY$65537</xm:f>
          </x14:formula1>
          <xm:sqref>JPG65543:JPG65566</xm:sqref>
        </x14:dataValidation>
        <x14:dataValidation type="list" allowBlank="1" showInputMessage="1" showErrorMessage="1" xr:uid="{C68AAC05-8274-446F-832D-8D02DFB0F0F6}">
          <x14:formula1>
            <xm:f>項目!C17:$JYU$65537</xm:f>
          </x14:formula1>
          <xm:sqref>JZC65543:JZC65566</xm:sqref>
        </x14:dataValidation>
        <x14:dataValidation type="list" allowBlank="1" showInputMessage="1" showErrorMessage="1" xr:uid="{ABC9A56B-6473-486D-9A3B-A26967B41ED6}">
          <x14:formula1>
            <xm:f>項目!C17:$KIQ$65537</xm:f>
          </x14:formula1>
          <xm:sqref>KIY65543:KIY65566</xm:sqref>
        </x14:dataValidation>
        <x14:dataValidation type="list" allowBlank="1" showInputMessage="1" showErrorMessage="1" xr:uid="{EACB4D73-E56A-44D7-8EED-8574FA552143}">
          <x14:formula1>
            <xm:f>項目!C17:$KSM$65537</xm:f>
          </x14:formula1>
          <xm:sqref>KSU65543:KSU65566</xm:sqref>
        </x14:dataValidation>
        <x14:dataValidation type="list" allowBlank="1" showInputMessage="1" showErrorMessage="1" xr:uid="{A7FD936A-F958-465E-94A6-8D505F605A98}">
          <x14:formula1>
            <xm:f>項目!C17:$LCI$65537</xm:f>
          </x14:formula1>
          <xm:sqref>LCQ65543:LCQ65566</xm:sqref>
        </x14:dataValidation>
        <x14:dataValidation type="list" allowBlank="1" showInputMessage="1" showErrorMessage="1" xr:uid="{0149B3AE-8497-4E2E-A425-B606B73FC735}">
          <x14:formula1>
            <xm:f>項目!C17:$LME$65537</xm:f>
          </x14:formula1>
          <xm:sqref>LMM65543:LMM65566</xm:sqref>
        </x14:dataValidation>
        <x14:dataValidation type="list" allowBlank="1" showInputMessage="1" showErrorMessage="1" xr:uid="{B8D09FA5-D99C-4A7E-BB91-759AE1967D8D}">
          <x14:formula1>
            <xm:f>項目!C17:$LWA$65537</xm:f>
          </x14:formula1>
          <xm:sqref>LWI65543:LWI65566</xm:sqref>
        </x14:dataValidation>
        <x14:dataValidation type="list" allowBlank="1" showInputMessage="1" showErrorMessage="1" xr:uid="{DA32A3FC-A3A0-4929-8F79-BFB4396A52A9}">
          <x14:formula1>
            <xm:f>項目!C17:$MFW$65537</xm:f>
          </x14:formula1>
          <xm:sqref>MGE65543:MGE65566</xm:sqref>
        </x14:dataValidation>
        <x14:dataValidation type="list" allowBlank="1" showInputMessage="1" showErrorMessage="1" xr:uid="{FC6138A4-BF45-49EB-9B1D-91C4772C8B51}">
          <x14:formula1>
            <xm:f>項目!C17:$MPS$65537</xm:f>
          </x14:formula1>
          <xm:sqref>MQA65543:MQA65566</xm:sqref>
        </x14:dataValidation>
        <x14:dataValidation type="list" allowBlank="1" showInputMessage="1" showErrorMessage="1" xr:uid="{76318D8C-E25C-4545-B73E-F39714BA961F}">
          <x14:formula1>
            <xm:f>項目!C17:$MZO$65537</xm:f>
          </x14:formula1>
          <xm:sqref>MZW65543:MZW65566</xm:sqref>
        </x14:dataValidation>
        <x14:dataValidation type="list" allowBlank="1" showInputMessage="1" showErrorMessage="1" xr:uid="{EFA6B16A-3869-402C-9F74-5D297B2EB69E}">
          <x14:formula1>
            <xm:f>項目!C17:$NJK$65537</xm:f>
          </x14:formula1>
          <xm:sqref>NJS65543:NJS65566</xm:sqref>
        </x14:dataValidation>
        <x14:dataValidation type="list" allowBlank="1" showInputMessage="1" showErrorMessage="1" xr:uid="{C01D281F-6F51-4B23-8AC8-C8C97CDE8B05}">
          <x14:formula1>
            <xm:f>項目!C17:$NTG$65537</xm:f>
          </x14:formula1>
          <xm:sqref>NTO65543:NTO65566</xm:sqref>
        </x14:dataValidation>
        <x14:dataValidation type="list" allowBlank="1" showInputMessage="1" showErrorMessage="1" xr:uid="{3AC7E3E1-16ED-4B7D-B671-1625347B1D0C}">
          <x14:formula1>
            <xm:f>項目!C17:$ODC$65537</xm:f>
          </x14:formula1>
          <xm:sqref>ODK65543:ODK65566</xm:sqref>
        </x14:dataValidation>
        <x14:dataValidation type="list" allowBlank="1" showInputMessage="1" showErrorMessage="1" xr:uid="{C5D6D750-691E-4CBC-BC6D-4A678EA4FA00}">
          <x14:formula1>
            <xm:f>項目!C17:$OMY$65537</xm:f>
          </x14:formula1>
          <xm:sqref>ONG65543:ONG65566</xm:sqref>
        </x14:dataValidation>
        <x14:dataValidation type="list" allowBlank="1" showInputMessage="1" showErrorMessage="1" xr:uid="{6D624C30-1FB9-4A67-BD0D-708CDF26E5AA}">
          <x14:formula1>
            <xm:f>項目!C17:$OWU$65537</xm:f>
          </x14:formula1>
          <xm:sqref>OXC65543:OXC65566</xm:sqref>
        </x14:dataValidation>
        <x14:dataValidation type="list" allowBlank="1" showInputMessage="1" showErrorMessage="1" xr:uid="{9D9A5D74-CC3A-4564-BE55-1288421881D3}">
          <x14:formula1>
            <xm:f>項目!C17:$PGQ$65537</xm:f>
          </x14:formula1>
          <xm:sqref>PGY65543:PGY65566</xm:sqref>
        </x14:dataValidation>
        <x14:dataValidation type="list" allowBlank="1" showInputMessage="1" showErrorMessage="1" xr:uid="{1D895D2B-940D-4FE6-8056-21253CBBC2A7}">
          <x14:formula1>
            <xm:f>項目!C17:$PQM$65537</xm:f>
          </x14:formula1>
          <xm:sqref>PQU65543:PQU65566</xm:sqref>
        </x14:dataValidation>
        <x14:dataValidation type="list" allowBlank="1" showInputMessage="1" showErrorMessage="1" xr:uid="{9C308EE9-97E1-40DE-B7EF-F8FC6B2EC4D2}">
          <x14:formula1>
            <xm:f>項目!C17:$QAI$65537</xm:f>
          </x14:formula1>
          <xm:sqref>QAQ65543:QAQ65566</xm:sqref>
        </x14:dataValidation>
        <x14:dataValidation type="list" allowBlank="1" showInputMessage="1" showErrorMessage="1" xr:uid="{F93C22D5-AB99-45D0-B8A4-59CAEEE49F94}">
          <x14:formula1>
            <xm:f>項目!C17:$QKE$65537</xm:f>
          </x14:formula1>
          <xm:sqref>QKM65543:QKM65566</xm:sqref>
        </x14:dataValidation>
        <x14:dataValidation type="list" allowBlank="1" showInputMessage="1" showErrorMessage="1" xr:uid="{D3230FE3-626E-47C0-BA04-F58472F546F6}">
          <x14:formula1>
            <xm:f>項目!C17:$QUA$65537</xm:f>
          </x14:formula1>
          <xm:sqref>QUI65543:QUI65566</xm:sqref>
        </x14:dataValidation>
        <x14:dataValidation type="list" allowBlank="1" showInputMessage="1" showErrorMessage="1" xr:uid="{DF889EA5-4433-4EA4-AE25-EA455A0B27C0}">
          <x14:formula1>
            <xm:f>項目!C17:$RDW$65537</xm:f>
          </x14:formula1>
          <xm:sqref>REE65543:REE65566</xm:sqref>
        </x14:dataValidation>
        <x14:dataValidation type="list" allowBlank="1" showInputMessage="1" showErrorMessage="1" xr:uid="{07CB9789-A707-4014-8A7E-7F0D12A825FA}">
          <x14:formula1>
            <xm:f>項目!C17:$RNS$65537</xm:f>
          </x14:formula1>
          <xm:sqref>ROA65543:ROA65566</xm:sqref>
        </x14:dataValidation>
        <x14:dataValidation type="list" allowBlank="1" showInputMessage="1" showErrorMessage="1" xr:uid="{8810FF16-6C08-40FA-AE62-F1C26F67E57E}">
          <x14:formula1>
            <xm:f>項目!C17:$RXO$65537</xm:f>
          </x14:formula1>
          <xm:sqref>RXW65543:RXW65566</xm:sqref>
        </x14:dataValidation>
        <x14:dataValidation type="list" allowBlank="1" showInputMessage="1" showErrorMessage="1" xr:uid="{34FFCD66-6670-4376-95E9-2276F402938A}">
          <x14:formula1>
            <xm:f>項目!C17:$SHK$65537</xm:f>
          </x14:formula1>
          <xm:sqref>SHS65543:SHS65566</xm:sqref>
        </x14:dataValidation>
        <x14:dataValidation type="list" allowBlank="1" showInputMessage="1" showErrorMessage="1" xr:uid="{5F6CC1E7-FE2F-4CFD-92A8-C14633E72C41}">
          <x14:formula1>
            <xm:f>項目!C17:$SRG$65537</xm:f>
          </x14:formula1>
          <xm:sqref>SRO65543:SRO65566</xm:sqref>
        </x14:dataValidation>
        <x14:dataValidation type="list" allowBlank="1" showInputMessage="1" showErrorMessage="1" xr:uid="{2914A686-EBD1-4886-933E-DFE76C34CF43}">
          <x14:formula1>
            <xm:f>項目!C17:$TBC$65537</xm:f>
          </x14:formula1>
          <xm:sqref>TBK65543:TBK65566</xm:sqref>
        </x14:dataValidation>
        <x14:dataValidation type="list" allowBlank="1" showInputMessage="1" showErrorMessage="1" xr:uid="{CFE72D0C-5048-401B-9E2D-88275B7AC144}">
          <x14:formula1>
            <xm:f>項目!C17:$TKY$65537</xm:f>
          </x14:formula1>
          <xm:sqref>TLG65543:TLG65566</xm:sqref>
        </x14:dataValidation>
        <x14:dataValidation type="list" allowBlank="1" showInputMessage="1" showErrorMessage="1" xr:uid="{4FB96722-F778-4E54-9EB6-05F6ECFA0820}">
          <x14:formula1>
            <xm:f>項目!C17:$TUU$65537</xm:f>
          </x14:formula1>
          <xm:sqref>TVC65543:TVC65566</xm:sqref>
        </x14:dataValidation>
        <x14:dataValidation type="list" allowBlank="1" showInputMessage="1" showErrorMessage="1" xr:uid="{24F486C0-61F3-4E50-9C75-B63B46DD04C7}">
          <x14:formula1>
            <xm:f>項目!C17:$UEQ$65537</xm:f>
          </x14:formula1>
          <xm:sqref>UEY65543:UEY65566</xm:sqref>
        </x14:dataValidation>
        <x14:dataValidation type="list" allowBlank="1" showInputMessage="1" showErrorMessage="1" xr:uid="{B00D8E8C-0C3A-4E36-9A08-02C70AEBE992}">
          <x14:formula1>
            <xm:f>項目!C17:$UOM$65537</xm:f>
          </x14:formula1>
          <xm:sqref>UOU65543:UOU65566</xm:sqref>
        </x14:dataValidation>
        <x14:dataValidation type="list" allowBlank="1" showInputMessage="1" showErrorMessage="1" xr:uid="{BABF68B1-18D0-4D11-8656-B0445FD04378}">
          <x14:formula1>
            <xm:f>項目!C17:$UYI$65537</xm:f>
          </x14:formula1>
          <xm:sqref>UYQ65543:UYQ65566</xm:sqref>
        </x14:dataValidation>
        <x14:dataValidation type="list" allowBlank="1" showInputMessage="1" showErrorMessage="1" xr:uid="{E57D1F7D-238A-4529-9B1F-A9134DA4CBAD}">
          <x14:formula1>
            <xm:f>項目!C17:$VIE$65537</xm:f>
          </x14:formula1>
          <xm:sqref>VIM65543:VIM65566</xm:sqref>
        </x14:dataValidation>
        <x14:dataValidation type="list" allowBlank="1" showInputMessage="1" showErrorMessage="1" xr:uid="{EE6E0212-58D2-46D2-9CF8-1559F90BE0BD}">
          <x14:formula1>
            <xm:f>項目!C17:$VSA$65537</xm:f>
          </x14:formula1>
          <xm:sqref>VSI65543:VSI65566</xm:sqref>
        </x14:dataValidation>
        <x14:dataValidation type="list" allowBlank="1" showInputMessage="1" showErrorMessage="1" xr:uid="{7BED4B4B-EEAA-4F50-98C9-0DA1DD1A0AB5}">
          <x14:formula1>
            <xm:f>項目!C17:$WBW$65537</xm:f>
          </x14:formula1>
          <xm:sqref>WCE65543:WCE65566</xm:sqref>
        </x14:dataValidation>
        <x14:dataValidation type="list" allowBlank="1" showInputMessage="1" showErrorMessage="1" xr:uid="{086897DB-1C77-45E2-BDCB-7A7725294BA4}">
          <x14:formula1>
            <xm:f>項目!C17:$WLS$65537</xm:f>
          </x14:formula1>
          <xm:sqref>WMA65543:WMA65566</xm:sqref>
        </x14:dataValidation>
        <x14:dataValidation type="list" allowBlank="1" showInputMessage="1" showErrorMessage="1" xr:uid="{B17C5E5D-E179-48F7-AFB9-47E60467CCF5}">
          <x14:formula1>
            <xm:f>項目!C17:$WVO$65537</xm:f>
          </x14:formula1>
          <xm:sqref>WVW65543:WVW65566</xm:sqref>
        </x14:dataValidation>
        <x14:dataValidation type="list" allowBlank="1" showInputMessage="1" showErrorMessage="1" xr:uid="{09890C5A-A3A7-43CD-B24C-D66F1702BB47}">
          <x14:formula1>
            <xm:f>項目!C17:$J$131073</xm:f>
          </x14:formula1>
          <xm:sqref>O131079:O131102</xm:sqref>
        </x14:dataValidation>
        <x14:dataValidation type="list" allowBlank="1" showInputMessage="1" showErrorMessage="1" xr:uid="{B44A38B4-2583-44E8-9053-889A85132636}">
          <x14:formula1>
            <xm:f>項目!C17:$JC$131073</xm:f>
          </x14:formula1>
          <xm:sqref>JK131079:JK131102</xm:sqref>
        </x14:dataValidation>
        <x14:dataValidation type="list" allowBlank="1" showInputMessage="1" showErrorMessage="1" xr:uid="{A1EA72CE-C514-4FD1-928B-3CB394E4FD32}">
          <x14:formula1>
            <xm:f>項目!C17:$SY$131073</xm:f>
          </x14:formula1>
          <xm:sqref>TG131079:TG131102</xm:sqref>
        </x14:dataValidation>
        <x14:dataValidation type="list" allowBlank="1" showInputMessage="1" showErrorMessage="1" xr:uid="{02C7306B-9003-4271-9B04-073F9176CB5D}">
          <x14:formula1>
            <xm:f>項目!C17:$ACU$131073</xm:f>
          </x14:formula1>
          <xm:sqref>ADC131079:ADC131102</xm:sqref>
        </x14:dataValidation>
        <x14:dataValidation type="list" allowBlank="1" showInputMessage="1" showErrorMessage="1" xr:uid="{2372A0E8-9080-404D-8279-3E89387D22AC}">
          <x14:formula1>
            <xm:f>項目!C17:$AMQ$131073</xm:f>
          </x14:formula1>
          <xm:sqref>AMY131079:AMY131102</xm:sqref>
        </x14:dataValidation>
        <x14:dataValidation type="list" allowBlank="1" showInputMessage="1" showErrorMessage="1" xr:uid="{F7CE0D97-23AD-4320-B5C1-931E48CB92A2}">
          <x14:formula1>
            <xm:f>項目!C17:$AWM$131073</xm:f>
          </x14:formula1>
          <xm:sqref>AWU131079:AWU131102</xm:sqref>
        </x14:dataValidation>
        <x14:dataValidation type="list" allowBlank="1" showInputMessage="1" showErrorMessage="1" xr:uid="{ED029749-368D-4D5C-8215-63EEB6DE7744}">
          <x14:formula1>
            <xm:f>項目!C17:$BGI$131073</xm:f>
          </x14:formula1>
          <xm:sqref>BGQ131079:BGQ131102</xm:sqref>
        </x14:dataValidation>
        <x14:dataValidation type="list" allowBlank="1" showInputMessage="1" showErrorMessage="1" xr:uid="{851C4093-24B9-4CA9-AE8F-ADE99DF57711}">
          <x14:formula1>
            <xm:f>項目!C17:$BQE$131073</xm:f>
          </x14:formula1>
          <xm:sqref>BQM131079:BQM131102</xm:sqref>
        </x14:dataValidation>
        <x14:dataValidation type="list" allowBlank="1" showInputMessage="1" showErrorMessage="1" xr:uid="{A76DC4FB-8CF9-4C62-85F9-CCCA7D179BEC}">
          <x14:formula1>
            <xm:f>項目!C17:$CAA$131073</xm:f>
          </x14:formula1>
          <xm:sqref>CAI131079:CAI131102</xm:sqref>
        </x14:dataValidation>
        <x14:dataValidation type="list" allowBlank="1" showInputMessage="1" showErrorMessage="1" xr:uid="{89FD7F89-9C41-4063-ABFF-7123B550DB77}">
          <x14:formula1>
            <xm:f>項目!C17:$CJW$131073</xm:f>
          </x14:formula1>
          <xm:sqref>CKE131079:CKE131102</xm:sqref>
        </x14:dataValidation>
        <x14:dataValidation type="list" allowBlank="1" showInputMessage="1" showErrorMessage="1" xr:uid="{7F108EEC-0942-415B-B38D-34C74C291FBE}">
          <x14:formula1>
            <xm:f>項目!C17:$CTS$131073</xm:f>
          </x14:formula1>
          <xm:sqref>CUA131079:CUA131102</xm:sqref>
        </x14:dataValidation>
        <x14:dataValidation type="list" allowBlank="1" showInputMessage="1" showErrorMessage="1" xr:uid="{5D8448F8-5621-4436-B43A-7D1A1EC1F8EB}">
          <x14:formula1>
            <xm:f>項目!C17:$DDO$131073</xm:f>
          </x14:formula1>
          <xm:sqref>DDW131079:DDW131102</xm:sqref>
        </x14:dataValidation>
        <x14:dataValidation type="list" allowBlank="1" showInputMessage="1" showErrorMessage="1" xr:uid="{AC9B09AA-1F7F-42F8-9C8B-068AE70A98E0}">
          <x14:formula1>
            <xm:f>項目!C17:$DNK$131073</xm:f>
          </x14:formula1>
          <xm:sqref>DNS131079:DNS131102</xm:sqref>
        </x14:dataValidation>
        <x14:dataValidation type="list" allowBlank="1" showInputMessage="1" showErrorMessage="1" xr:uid="{D39FE2FD-D5EB-4564-B195-25E8772E53F1}">
          <x14:formula1>
            <xm:f>項目!C17:$DXG$131073</xm:f>
          </x14:formula1>
          <xm:sqref>DXO131079:DXO131102</xm:sqref>
        </x14:dataValidation>
        <x14:dataValidation type="list" allowBlank="1" showInputMessage="1" showErrorMessage="1" xr:uid="{AEBD055E-4190-4355-82B4-030AF9387699}">
          <x14:formula1>
            <xm:f>項目!C17:$EHC$131073</xm:f>
          </x14:formula1>
          <xm:sqref>EHK131079:EHK131102</xm:sqref>
        </x14:dataValidation>
        <x14:dataValidation type="list" allowBlank="1" showInputMessage="1" showErrorMessage="1" xr:uid="{974058B3-EB91-4227-8055-1064842B279E}">
          <x14:formula1>
            <xm:f>項目!C17:$EQY$131073</xm:f>
          </x14:formula1>
          <xm:sqref>ERG131079:ERG131102</xm:sqref>
        </x14:dataValidation>
        <x14:dataValidation type="list" allowBlank="1" showInputMessage="1" showErrorMessage="1" xr:uid="{F394EA71-86ED-4569-9E3E-EF7D5255F68B}">
          <x14:formula1>
            <xm:f>項目!C17:$FAU$131073</xm:f>
          </x14:formula1>
          <xm:sqref>FBC131079:FBC131102</xm:sqref>
        </x14:dataValidation>
        <x14:dataValidation type="list" allowBlank="1" showInputMessage="1" showErrorMessage="1" xr:uid="{113492F6-AF87-440B-B45A-87FA20271DA4}">
          <x14:formula1>
            <xm:f>項目!C17:$FKQ$131073</xm:f>
          </x14:formula1>
          <xm:sqref>FKY131079:FKY131102</xm:sqref>
        </x14:dataValidation>
        <x14:dataValidation type="list" allowBlank="1" showInputMessage="1" showErrorMessage="1" xr:uid="{D93341B1-2CFE-46E9-BD10-9E84BA7524DC}">
          <x14:formula1>
            <xm:f>項目!C17:$FUM$131073</xm:f>
          </x14:formula1>
          <xm:sqref>FUU131079:FUU131102</xm:sqref>
        </x14:dataValidation>
        <x14:dataValidation type="list" allowBlank="1" showInputMessage="1" showErrorMessage="1" xr:uid="{83BCAD9F-6473-4BAC-A5F3-CC2D11986009}">
          <x14:formula1>
            <xm:f>項目!C17:$GEI$131073</xm:f>
          </x14:formula1>
          <xm:sqref>GEQ131079:GEQ131102</xm:sqref>
        </x14:dataValidation>
        <x14:dataValidation type="list" allowBlank="1" showInputMessage="1" showErrorMessage="1" xr:uid="{4802C228-03EE-4A51-B154-885F22F467BD}">
          <x14:formula1>
            <xm:f>項目!C17:$GOE$131073</xm:f>
          </x14:formula1>
          <xm:sqref>GOM131079:GOM131102</xm:sqref>
        </x14:dataValidation>
        <x14:dataValidation type="list" allowBlank="1" showInputMessage="1" showErrorMessage="1" xr:uid="{9E4DA296-D998-446B-B01A-6E93EF90AD28}">
          <x14:formula1>
            <xm:f>項目!C17:$GYA$131073</xm:f>
          </x14:formula1>
          <xm:sqref>GYI131079:GYI131102</xm:sqref>
        </x14:dataValidation>
        <x14:dataValidation type="list" allowBlank="1" showInputMessage="1" showErrorMessage="1" xr:uid="{B8334E75-9D4C-4363-8747-13A21660ED82}">
          <x14:formula1>
            <xm:f>項目!C17:$HHW$131073</xm:f>
          </x14:formula1>
          <xm:sqref>HIE131079:HIE131102</xm:sqref>
        </x14:dataValidation>
        <x14:dataValidation type="list" allowBlank="1" showInputMessage="1" showErrorMessage="1" xr:uid="{EE439331-1F86-4A99-9783-A965DAA8C99A}">
          <x14:formula1>
            <xm:f>項目!C17:$HRS$131073</xm:f>
          </x14:formula1>
          <xm:sqref>HSA131079:HSA131102</xm:sqref>
        </x14:dataValidation>
        <x14:dataValidation type="list" allowBlank="1" showInputMessage="1" showErrorMessage="1" xr:uid="{573E1F7B-32D2-45C4-8130-EA23130B895B}">
          <x14:formula1>
            <xm:f>項目!C17:$IBO$131073</xm:f>
          </x14:formula1>
          <xm:sqref>IBW131079:IBW131102</xm:sqref>
        </x14:dataValidation>
        <x14:dataValidation type="list" allowBlank="1" showInputMessage="1" showErrorMessage="1" xr:uid="{DF54F5EA-9C95-4F13-B4AC-1089829ED7EC}">
          <x14:formula1>
            <xm:f>項目!C17:$ILK$131073</xm:f>
          </x14:formula1>
          <xm:sqref>ILS131079:ILS131102</xm:sqref>
        </x14:dataValidation>
        <x14:dataValidation type="list" allowBlank="1" showInputMessage="1" showErrorMessage="1" xr:uid="{76594E6E-1B21-42F3-B48E-159328F78249}">
          <x14:formula1>
            <xm:f>項目!C17:$IVG$131073</xm:f>
          </x14:formula1>
          <xm:sqref>IVO131079:IVO131102</xm:sqref>
        </x14:dataValidation>
        <x14:dataValidation type="list" allowBlank="1" showInputMessage="1" showErrorMessage="1" xr:uid="{1BDADFB2-F9DB-43F9-9AE0-FF2A720DF612}">
          <x14:formula1>
            <xm:f>項目!C17:$JFC$131073</xm:f>
          </x14:formula1>
          <xm:sqref>JFK131079:JFK131102</xm:sqref>
        </x14:dataValidation>
        <x14:dataValidation type="list" allowBlank="1" showInputMessage="1" showErrorMessage="1" xr:uid="{EB5CF289-0C67-41C7-8195-EF45A70C1AF7}">
          <x14:formula1>
            <xm:f>項目!C17:$JOY$131073</xm:f>
          </x14:formula1>
          <xm:sqref>JPG131079:JPG131102</xm:sqref>
        </x14:dataValidation>
        <x14:dataValidation type="list" allowBlank="1" showInputMessage="1" showErrorMessage="1" xr:uid="{7AF7762A-8BC3-48FA-9868-154141E086BB}">
          <x14:formula1>
            <xm:f>項目!C17:$JYU$131073</xm:f>
          </x14:formula1>
          <xm:sqref>JZC131079:JZC131102</xm:sqref>
        </x14:dataValidation>
        <x14:dataValidation type="list" allowBlank="1" showInputMessage="1" showErrorMessage="1" xr:uid="{7C766455-BD87-4C44-8BC4-A2499D9E6884}">
          <x14:formula1>
            <xm:f>項目!C17:$KIQ$131073</xm:f>
          </x14:formula1>
          <xm:sqref>KIY131079:KIY131102</xm:sqref>
        </x14:dataValidation>
        <x14:dataValidation type="list" allowBlank="1" showInputMessage="1" showErrorMessage="1" xr:uid="{418CF81E-A11F-4FCA-A264-99D3725AC633}">
          <x14:formula1>
            <xm:f>項目!C17:$KSM$131073</xm:f>
          </x14:formula1>
          <xm:sqref>KSU131079:KSU131102</xm:sqref>
        </x14:dataValidation>
        <x14:dataValidation type="list" allowBlank="1" showInputMessage="1" showErrorMessage="1" xr:uid="{818892E1-48FC-4B9E-9BAA-2BFF75FD5E77}">
          <x14:formula1>
            <xm:f>項目!C17:$LCI$131073</xm:f>
          </x14:formula1>
          <xm:sqref>LCQ131079:LCQ131102</xm:sqref>
        </x14:dataValidation>
        <x14:dataValidation type="list" allowBlank="1" showInputMessage="1" showErrorMessage="1" xr:uid="{C69A86F1-A1D0-450F-BE91-B997FFA9C27C}">
          <x14:formula1>
            <xm:f>項目!C17:$LME$131073</xm:f>
          </x14:formula1>
          <xm:sqref>LMM131079:LMM131102</xm:sqref>
        </x14:dataValidation>
        <x14:dataValidation type="list" allowBlank="1" showInputMessage="1" showErrorMessage="1" xr:uid="{6CD93745-A27B-47A2-923C-962FEF0D4938}">
          <x14:formula1>
            <xm:f>項目!C17:$LWA$131073</xm:f>
          </x14:formula1>
          <xm:sqref>LWI131079:LWI131102</xm:sqref>
        </x14:dataValidation>
        <x14:dataValidation type="list" allowBlank="1" showInputMessage="1" showErrorMessage="1" xr:uid="{EFBBF1E5-06E9-42A8-9EF9-DF640FBDEF6C}">
          <x14:formula1>
            <xm:f>項目!C17:$MFW$131073</xm:f>
          </x14:formula1>
          <xm:sqref>MGE131079:MGE131102</xm:sqref>
        </x14:dataValidation>
        <x14:dataValidation type="list" allowBlank="1" showInputMessage="1" showErrorMessage="1" xr:uid="{4AC09985-1D65-4D9D-8E8E-C366F3DF8394}">
          <x14:formula1>
            <xm:f>項目!C17:$MPS$131073</xm:f>
          </x14:formula1>
          <xm:sqref>MQA131079:MQA131102</xm:sqref>
        </x14:dataValidation>
        <x14:dataValidation type="list" allowBlank="1" showInputMessage="1" showErrorMessage="1" xr:uid="{D19228F5-7BEA-4559-9B3C-529ECD75079E}">
          <x14:formula1>
            <xm:f>項目!C17:$MZO$131073</xm:f>
          </x14:formula1>
          <xm:sqref>MZW131079:MZW131102</xm:sqref>
        </x14:dataValidation>
        <x14:dataValidation type="list" allowBlank="1" showInputMessage="1" showErrorMessage="1" xr:uid="{FFED3B82-F35D-4898-829A-045E1AA32A02}">
          <x14:formula1>
            <xm:f>項目!C17:$NJK$131073</xm:f>
          </x14:formula1>
          <xm:sqref>NJS131079:NJS131102</xm:sqref>
        </x14:dataValidation>
        <x14:dataValidation type="list" allowBlank="1" showInputMessage="1" showErrorMessage="1" xr:uid="{7DB54F17-636E-4678-AA5F-DD01AFD4A3A4}">
          <x14:formula1>
            <xm:f>項目!C17:$NTG$131073</xm:f>
          </x14:formula1>
          <xm:sqref>NTO131079:NTO131102</xm:sqref>
        </x14:dataValidation>
        <x14:dataValidation type="list" allowBlank="1" showInputMessage="1" showErrorMessage="1" xr:uid="{BDA1BCC6-5A81-434D-B775-68719E7327E7}">
          <x14:formula1>
            <xm:f>項目!C17:$ODC$131073</xm:f>
          </x14:formula1>
          <xm:sqref>ODK131079:ODK131102</xm:sqref>
        </x14:dataValidation>
        <x14:dataValidation type="list" allowBlank="1" showInputMessage="1" showErrorMessage="1" xr:uid="{AB813D73-B2DC-4B97-BB80-4E09DE99F203}">
          <x14:formula1>
            <xm:f>項目!C17:$OMY$131073</xm:f>
          </x14:formula1>
          <xm:sqref>ONG131079:ONG131102</xm:sqref>
        </x14:dataValidation>
        <x14:dataValidation type="list" allowBlank="1" showInputMessage="1" showErrorMessage="1" xr:uid="{3E4CC067-C069-4374-83B9-8735C777583E}">
          <x14:formula1>
            <xm:f>項目!C17:$OWU$131073</xm:f>
          </x14:formula1>
          <xm:sqref>OXC131079:OXC131102</xm:sqref>
        </x14:dataValidation>
        <x14:dataValidation type="list" allowBlank="1" showInputMessage="1" showErrorMessage="1" xr:uid="{8035718F-7900-4B3E-A48E-CCB7E93A12D8}">
          <x14:formula1>
            <xm:f>項目!C17:$PGQ$131073</xm:f>
          </x14:formula1>
          <xm:sqref>PGY131079:PGY131102</xm:sqref>
        </x14:dataValidation>
        <x14:dataValidation type="list" allowBlank="1" showInputMessage="1" showErrorMessage="1" xr:uid="{1E84A3B8-E17F-4501-A892-8867E486818B}">
          <x14:formula1>
            <xm:f>項目!C17:$PQM$131073</xm:f>
          </x14:formula1>
          <xm:sqref>PQU131079:PQU131102</xm:sqref>
        </x14:dataValidation>
        <x14:dataValidation type="list" allowBlank="1" showInputMessage="1" showErrorMessage="1" xr:uid="{F335B927-7E5D-4D1E-94FF-B9F2F1098C1D}">
          <x14:formula1>
            <xm:f>項目!C17:$QAI$131073</xm:f>
          </x14:formula1>
          <xm:sqref>QAQ131079:QAQ131102</xm:sqref>
        </x14:dataValidation>
        <x14:dataValidation type="list" allowBlank="1" showInputMessage="1" showErrorMessage="1" xr:uid="{6F8A625E-5E20-46EC-B1D1-76F9592B7241}">
          <x14:formula1>
            <xm:f>項目!C17:$QKE$131073</xm:f>
          </x14:formula1>
          <xm:sqref>QKM131079:QKM131102</xm:sqref>
        </x14:dataValidation>
        <x14:dataValidation type="list" allowBlank="1" showInputMessage="1" showErrorMessage="1" xr:uid="{99DC8609-F0DB-49BE-BA60-3C45937FD43F}">
          <x14:formula1>
            <xm:f>項目!C17:$QUA$131073</xm:f>
          </x14:formula1>
          <xm:sqref>QUI131079:QUI131102</xm:sqref>
        </x14:dataValidation>
        <x14:dataValidation type="list" allowBlank="1" showInputMessage="1" showErrorMessage="1" xr:uid="{82111B35-6713-4860-9DED-A7F94C57133B}">
          <x14:formula1>
            <xm:f>項目!C17:$RDW$131073</xm:f>
          </x14:formula1>
          <xm:sqref>REE131079:REE131102</xm:sqref>
        </x14:dataValidation>
        <x14:dataValidation type="list" allowBlank="1" showInputMessage="1" showErrorMessage="1" xr:uid="{7C20057A-170B-442B-A2E4-77877FAAB679}">
          <x14:formula1>
            <xm:f>項目!C17:$RNS$131073</xm:f>
          </x14:formula1>
          <xm:sqref>ROA131079:ROA131102</xm:sqref>
        </x14:dataValidation>
        <x14:dataValidation type="list" allowBlank="1" showInputMessage="1" showErrorMessage="1" xr:uid="{C0DA687C-42EA-4EE8-AC28-05354E242C56}">
          <x14:formula1>
            <xm:f>項目!C17:$RXO$131073</xm:f>
          </x14:formula1>
          <xm:sqref>RXW131079:RXW131102</xm:sqref>
        </x14:dataValidation>
        <x14:dataValidation type="list" allowBlank="1" showInputMessage="1" showErrorMessage="1" xr:uid="{BA6877C1-F794-4B5E-8C47-22ADE9E98221}">
          <x14:formula1>
            <xm:f>項目!C17:$SHK$131073</xm:f>
          </x14:formula1>
          <xm:sqref>SHS131079:SHS131102</xm:sqref>
        </x14:dataValidation>
        <x14:dataValidation type="list" allowBlank="1" showInputMessage="1" showErrorMessage="1" xr:uid="{CFC5519D-2145-4A1D-B475-A0807A3E789B}">
          <x14:formula1>
            <xm:f>項目!C17:$SRG$131073</xm:f>
          </x14:formula1>
          <xm:sqref>SRO131079:SRO131102</xm:sqref>
        </x14:dataValidation>
        <x14:dataValidation type="list" allowBlank="1" showInputMessage="1" showErrorMessage="1" xr:uid="{5F2EAA43-9F0E-4919-84B2-99967129391B}">
          <x14:formula1>
            <xm:f>項目!C17:$TBC$131073</xm:f>
          </x14:formula1>
          <xm:sqref>TBK131079:TBK131102</xm:sqref>
        </x14:dataValidation>
        <x14:dataValidation type="list" allowBlank="1" showInputMessage="1" showErrorMessage="1" xr:uid="{FD27961B-D59D-4F67-832F-F40701E02203}">
          <x14:formula1>
            <xm:f>項目!C17:$TKY$131073</xm:f>
          </x14:formula1>
          <xm:sqref>TLG131079:TLG131102</xm:sqref>
        </x14:dataValidation>
        <x14:dataValidation type="list" allowBlank="1" showInputMessage="1" showErrorMessage="1" xr:uid="{0D014DF3-EE56-48F6-B7FF-B52B16600572}">
          <x14:formula1>
            <xm:f>項目!C17:$TUU$131073</xm:f>
          </x14:formula1>
          <xm:sqref>TVC131079:TVC131102</xm:sqref>
        </x14:dataValidation>
        <x14:dataValidation type="list" allowBlank="1" showInputMessage="1" showErrorMessage="1" xr:uid="{6A2914F3-8B74-495E-8FE8-449B7EDC7C42}">
          <x14:formula1>
            <xm:f>項目!C17:$UEQ$131073</xm:f>
          </x14:formula1>
          <xm:sqref>UEY131079:UEY131102</xm:sqref>
        </x14:dataValidation>
        <x14:dataValidation type="list" allowBlank="1" showInputMessage="1" showErrorMessage="1" xr:uid="{088FFF07-BCA3-4E1E-9D06-8FD5D950E224}">
          <x14:formula1>
            <xm:f>項目!C17:$UOM$131073</xm:f>
          </x14:formula1>
          <xm:sqref>UOU131079:UOU131102</xm:sqref>
        </x14:dataValidation>
        <x14:dataValidation type="list" allowBlank="1" showInputMessage="1" showErrorMessage="1" xr:uid="{9BDBFFE5-4DBD-48E8-8253-FF193655D7B4}">
          <x14:formula1>
            <xm:f>項目!C17:$UYI$131073</xm:f>
          </x14:formula1>
          <xm:sqref>UYQ131079:UYQ131102</xm:sqref>
        </x14:dataValidation>
        <x14:dataValidation type="list" allowBlank="1" showInputMessage="1" showErrorMessage="1" xr:uid="{5A5B33C7-9999-48A9-9280-C668AA6D85A1}">
          <x14:formula1>
            <xm:f>項目!C17:$VIE$131073</xm:f>
          </x14:formula1>
          <xm:sqref>VIM131079:VIM131102</xm:sqref>
        </x14:dataValidation>
        <x14:dataValidation type="list" allowBlank="1" showInputMessage="1" showErrorMessage="1" xr:uid="{94FFEAED-57ED-4397-8EE2-285B4A7CF3AA}">
          <x14:formula1>
            <xm:f>項目!C17:$VSA$131073</xm:f>
          </x14:formula1>
          <xm:sqref>VSI131079:VSI131102</xm:sqref>
        </x14:dataValidation>
        <x14:dataValidation type="list" allowBlank="1" showInputMessage="1" showErrorMessage="1" xr:uid="{04680B0C-4759-49A0-BC5E-E980362BA698}">
          <x14:formula1>
            <xm:f>項目!C17:$WBW$131073</xm:f>
          </x14:formula1>
          <xm:sqref>WCE131079:WCE131102</xm:sqref>
        </x14:dataValidation>
        <x14:dataValidation type="list" allowBlank="1" showInputMessage="1" showErrorMessage="1" xr:uid="{0FF8B52F-42F8-448E-8196-4DA981B5E394}">
          <x14:formula1>
            <xm:f>項目!C17:$WLS$131073</xm:f>
          </x14:formula1>
          <xm:sqref>WMA131079:WMA131102</xm:sqref>
        </x14:dataValidation>
        <x14:dataValidation type="list" allowBlank="1" showInputMessage="1" showErrorMessage="1" xr:uid="{E6A4F02B-9743-4D84-9A64-90DEEA31FC31}">
          <x14:formula1>
            <xm:f>項目!C17:$WVO$131073</xm:f>
          </x14:formula1>
          <xm:sqref>WVW131079:WVW131102</xm:sqref>
        </x14:dataValidation>
        <x14:dataValidation type="list" allowBlank="1" showInputMessage="1" showErrorMessage="1" xr:uid="{5776D1EF-7067-4C6A-AEEF-6082E4FAA135}">
          <x14:formula1>
            <xm:f>項目!C17:$J$196609</xm:f>
          </x14:formula1>
          <xm:sqref>O196615:O196638</xm:sqref>
        </x14:dataValidation>
        <x14:dataValidation type="list" allowBlank="1" showInputMessage="1" showErrorMessage="1" xr:uid="{EED03830-9149-4719-A15B-E558112B48FA}">
          <x14:formula1>
            <xm:f>項目!C17:$JC$196609</xm:f>
          </x14:formula1>
          <xm:sqref>JK196615:JK196638</xm:sqref>
        </x14:dataValidation>
        <x14:dataValidation type="list" allowBlank="1" showInputMessage="1" showErrorMessage="1" xr:uid="{7D3D9391-6203-4A38-BBD1-5F668BCC5C5C}">
          <x14:formula1>
            <xm:f>項目!C17:$SY$196609</xm:f>
          </x14:formula1>
          <xm:sqref>TG196615:TG196638</xm:sqref>
        </x14:dataValidation>
        <x14:dataValidation type="list" allowBlank="1" showInputMessage="1" showErrorMessage="1" xr:uid="{EF49AE83-4312-429B-8AB4-1A2F8797CA39}">
          <x14:formula1>
            <xm:f>項目!C17:$ACU$196609</xm:f>
          </x14:formula1>
          <xm:sqref>ADC196615:ADC196638</xm:sqref>
        </x14:dataValidation>
        <x14:dataValidation type="list" allowBlank="1" showInputMessage="1" showErrorMessage="1" xr:uid="{CFB89E55-EDCA-4DCB-9294-B4DF9ECF73A5}">
          <x14:formula1>
            <xm:f>項目!C17:$AMQ$196609</xm:f>
          </x14:formula1>
          <xm:sqref>AMY196615:AMY196638</xm:sqref>
        </x14:dataValidation>
        <x14:dataValidation type="list" allowBlank="1" showInputMessage="1" showErrorMessage="1" xr:uid="{6F27D09E-ECB0-4DB5-8767-0C8F13505561}">
          <x14:formula1>
            <xm:f>項目!C17:$AWM$196609</xm:f>
          </x14:formula1>
          <xm:sqref>AWU196615:AWU196638</xm:sqref>
        </x14:dataValidation>
        <x14:dataValidation type="list" allowBlank="1" showInputMessage="1" showErrorMessage="1" xr:uid="{8DEDA132-83B6-4219-9C93-596AFC1DB31D}">
          <x14:formula1>
            <xm:f>項目!C17:$BGI$196609</xm:f>
          </x14:formula1>
          <xm:sqref>BGQ196615:BGQ196638</xm:sqref>
        </x14:dataValidation>
        <x14:dataValidation type="list" allowBlank="1" showInputMessage="1" showErrorMessage="1" xr:uid="{D17B4B76-3B68-497F-93BB-4C386C68137A}">
          <x14:formula1>
            <xm:f>項目!C17:$BQE$196609</xm:f>
          </x14:formula1>
          <xm:sqref>BQM196615:BQM196638</xm:sqref>
        </x14:dataValidation>
        <x14:dataValidation type="list" allowBlank="1" showInputMessage="1" showErrorMessage="1" xr:uid="{D1A0BD77-F221-4926-8977-3A0C77B19BB4}">
          <x14:formula1>
            <xm:f>項目!C17:$CAA$196609</xm:f>
          </x14:formula1>
          <xm:sqref>CAI196615:CAI196638</xm:sqref>
        </x14:dataValidation>
        <x14:dataValidation type="list" allowBlank="1" showInputMessage="1" showErrorMessage="1" xr:uid="{291B9E0B-5D03-4213-B377-8696D70212D6}">
          <x14:formula1>
            <xm:f>項目!C17:$CJW$196609</xm:f>
          </x14:formula1>
          <xm:sqref>CKE196615:CKE196638</xm:sqref>
        </x14:dataValidation>
        <x14:dataValidation type="list" allowBlank="1" showInputMessage="1" showErrorMessage="1" xr:uid="{A5184058-097E-4ECB-9B6C-E6F1048EE73C}">
          <x14:formula1>
            <xm:f>項目!C17:$CTS$196609</xm:f>
          </x14:formula1>
          <xm:sqref>CUA196615:CUA196638</xm:sqref>
        </x14:dataValidation>
        <x14:dataValidation type="list" allowBlank="1" showInputMessage="1" showErrorMessage="1" xr:uid="{AA87C817-6183-4177-A264-3B99AACE72E6}">
          <x14:formula1>
            <xm:f>項目!C17:$DDO$196609</xm:f>
          </x14:formula1>
          <xm:sqref>DDW196615:DDW196638</xm:sqref>
        </x14:dataValidation>
        <x14:dataValidation type="list" allowBlank="1" showInputMessage="1" showErrorMessage="1" xr:uid="{FB08682E-FE22-4A09-BE5A-4315123E30B8}">
          <x14:formula1>
            <xm:f>項目!C17:$DNK$196609</xm:f>
          </x14:formula1>
          <xm:sqref>DNS196615:DNS196638</xm:sqref>
        </x14:dataValidation>
        <x14:dataValidation type="list" allowBlank="1" showInputMessage="1" showErrorMessage="1" xr:uid="{ABD8A3F0-FB37-40E6-B7BB-8B1AC06EC8D5}">
          <x14:formula1>
            <xm:f>項目!C17:$DXG$196609</xm:f>
          </x14:formula1>
          <xm:sqref>DXO196615:DXO196638</xm:sqref>
        </x14:dataValidation>
        <x14:dataValidation type="list" allowBlank="1" showInputMessage="1" showErrorMessage="1" xr:uid="{06EB212F-E25F-41B2-AC03-F339B49E8369}">
          <x14:formula1>
            <xm:f>項目!C17:$EHC$196609</xm:f>
          </x14:formula1>
          <xm:sqref>EHK196615:EHK196638</xm:sqref>
        </x14:dataValidation>
        <x14:dataValidation type="list" allowBlank="1" showInputMessage="1" showErrorMessage="1" xr:uid="{777DCCD3-3CEE-4824-992B-E79B4F392862}">
          <x14:formula1>
            <xm:f>項目!C17:$EQY$196609</xm:f>
          </x14:formula1>
          <xm:sqref>ERG196615:ERG196638</xm:sqref>
        </x14:dataValidation>
        <x14:dataValidation type="list" allowBlank="1" showInputMessage="1" showErrorMessage="1" xr:uid="{1027C3F5-84D1-4654-B474-82B2E4A82739}">
          <x14:formula1>
            <xm:f>項目!C17:$FAU$196609</xm:f>
          </x14:formula1>
          <xm:sqref>FBC196615:FBC196638</xm:sqref>
        </x14:dataValidation>
        <x14:dataValidation type="list" allowBlank="1" showInputMessage="1" showErrorMessage="1" xr:uid="{C7ADA3F7-E7BB-43B0-91A0-C9F0589560F4}">
          <x14:formula1>
            <xm:f>項目!C17:$FKQ$196609</xm:f>
          </x14:formula1>
          <xm:sqref>FKY196615:FKY196638</xm:sqref>
        </x14:dataValidation>
        <x14:dataValidation type="list" allowBlank="1" showInputMessage="1" showErrorMessage="1" xr:uid="{89D49BD1-A1C4-4FDF-B675-33F130AC7FDC}">
          <x14:formula1>
            <xm:f>項目!C17:$FUM$196609</xm:f>
          </x14:formula1>
          <xm:sqref>FUU196615:FUU196638</xm:sqref>
        </x14:dataValidation>
        <x14:dataValidation type="list" allowBlank="1" showInputMessage="1" showErrorMessage="1" xr:uid="{59E1D612-3D1D-439D-85DD-5A837565D2C6}">
          <x14:formula1>
            <xm:f>項目!C17:$GEI$196609</xm:f>
          </x14:formula1>
          <xm:sqref>GEQ196615:GEQ196638</xm:sqref>
        </x14:dataValidation>
        <x14:dataValidation type="list" allowBlank="1" showInputMessage="1" showErrorMessage="1" xr:uid="{81EC18D5-3759-4DCA-8F99-11224478D73F}">
          <x14:formula1>
            <xm:f>項目!C17:$GOE$196609</xm:f>
          </x14:formula1>
          <xm:sqref>GOM196615:GOM196638</xm:sqref>
        </x14:dataValidation>
        <x14:dataValidation type="list" allowBlank="1" showInputMessage="1" showErrorMessage="1" xr:uid="{A46968AF-7F6B-4A27-BE39-19177760CC27}">
          <x14:formula1>
            <xm:f>項目!C17:$GYA$196609</xm:f>
          </x14:formula1>
          <xm:sqref>GYI196615:GYI196638</xm:sqref>
        </x14:dataValidation>
        <x14:dataValidation type="list" allowBlank="1" showInputMessage="1" showErrorMessage="1" xr:uid="{B714357F-D2B0-4A16-8CF8-FF43408AC581}">
          <x14:formula1>
            <xm:f>項目!C17:$HHW$196609</xm:f>
          </x14:formula1>
          <xm:sqref>HIE196615:HIE196638</xm:sqref>
        </x14:dataValidation>
        <x14:dataValidation type="list" allowBlank="1" showInputMessage="1" showErrorMessage="1" xr:uid="{B452D0E5-C395-4399-9A17-CFBF2F8494A0}">
          <x14:formula1>
            <xm:f>項目!C17:$HRS$196609</xm:f>
          </x14:formula1>
          <xm:sqref>HSA196615:HSA196638</xm:sqref>
        </x14:dataValidation>
        <x14:dataValidation type="list" allowBlank="1" showInputMessage="1" showErrorMessage="1" xr:uid="{A33F8227-66CE-4606-B7EF-A6FE195F7D6F}">
          <x14:formula1>
            <xm:f>項目!C17:$IBO$196609</xm:f>
          </x14:formula1>
          <xm:sqref>IBW196615:IBW196638</xm:sqref>
        </x14:dataValidation>
        <x14:dataValidation type="list" allowBlank="1" showInputMessage="1" showErrorMessage="1" xr:uid="{4C036FB1-4DD4-41CE-B339-3E1D92402C31}">
          <x14:formula1>
            <xm:f>項目!C17:$ILK$196609</xm:f>
          </x14:formula1>
          <xm:sqref>ILS196615:ILS196638</xm:sqref>
        </x14:dataValidation>
        <x14:dataValidation type="list" allowBlank="1" showInputMessage="1" showErrorMessage="1" xr:uid="{58F738EB-6BC9-49EF-9F16-10CD0B4F7983}">
          <x14:formula1>
            <xm:f>項目!C17:$IVG$196609</xm:f>
          </x14:formula1>
          <xm:sqref>IVO196615:IVO196638</xm:sqref>
        </x14:dataValidation>
        <x14:dataValidation type="list" allowBlank="1" showInputMessage="1" showErrorMessage="1" xr:uid="{610BFF02-614A-4091-847F-DE210C2262F9}">
          <x14:formula1>
            <xm:f>項目!C17:$JFC$196609</xm:f>
          </x14:formula1>
          <xm:sqref>JFK196615:JFK196638</xm:sqref>
        </x14:dataValidation>
        <x14:dataValidation type="list" allowBlank="1" showInputMessage="1" showErrorMessage="1" xr:uid="{BE2DB39E-A995-4755-8BEA-33B92D67CA31}">
          <x14:formula1>
            <xm:f>項目!C17:$JOY$196609</xm:f>
          </x14:formula1>
          <xm:sqref>JPG196615:JPG196638</xm:sqref>
        </x14:dataValidation>
        <x14:dataValidation type="list" allowBlank="1" showInputMessage="1" showErrorMessage="1" xr:uid="{42BBC874-0A58-4CDE-AF8F-EE03584E8423}">
          <x14:formula1>
            <xm:f>項目!C17:$JYU$196609</xm:f>
          </x14:formula1>
          <xm:sqref>JZC196615:JZC196638</xm:sqref>
        </x14:dataValidation>
        <x14:dataValidation type="list" allowBlank="1" showInputMessage="1" showErrorMessage="1" xr:uid="{EA2DC482-9CFF-403A-975A-71201032ACD5}">
          <x14:formula1>
            <xm:f>項目!C17:$KIQ$196609</xm:f>
          </x14:formula1>
          <xm:sqref>KIY196615:KIY196638</xm:sqref>
        </x14:dataValidation>
        <x14:dataValidation type="list" allowBlank="1" showInputMessage="1" showErrorMessage="1" xr:uid="{A782373D-8EFE-4A94-9277-594EB4827D98}">
          <x14:formula1>
            <xm:f>項目!C17:$KSM$196609</xm:f>
          </x14:formula1>
          <xm:sqref>KSU196615:KSU196638</xm:sqref>
        </x14:dataValidation>
        <x14:dataValidation type="list" allowBlank="1" showInputMessage="1" showErrorMessage="1" xr:uid="{6A60C90A-E7C7-4081-AE59-D2E3C3BC39C5}">
          <x14:formula1>
            <xm:f>項目!C17:$LCI$196609</xm:f>
          </x14:formula1>
          <xm:sqref>LCQ196615:LCQ196638</xm:sqref>
        </x14:dataValidation>
        <x14:dataValidation type="list" allowBlank="1" showInputMessage="1" showErrorMessage="1" xr:uid="{41208784-E9FF-4648-BC3A-7CC0C37FE877}">
          <x14:formula1>
            <xm:f>項目!C17:$LME$196609</xm:f>
          </x14:formula1>
          <xm:sqref>LMM196615:LMM196638</xm:sqref>
        </x14:dataValidation>
        <x14:dataValidation type="list" allowBlank="1" showInputMessage="1" showErrorMessage="1" xr:uid="{3EF66618-8E2D-41CB-A38F-91E9D7087108}">
          <x14:formula1>
            <xm:f>項目!C17:$LWA$196609</xm:f>
          </x14:formula1>
          <xm:sqref>LWI196615:LWI196638</xm:sqref>
        </x14:dataValidation>
        <x14:dataValidation type="list" allowBlank="1" showInputMessage="1" showErrorMessage="1" xr:uid="{23B98821-0EE9-499F-857C-616F05D6D150}">
          <x14:formula1>
            <xm:f>項目!C17:$MFW$196609</xm:f>
          </x14:formula1>
          <xm:sqref>MGE196615:MGE196638</xm:sqref>
        </x14:dataValidation>
        <x14:dataValidation type="list" allowBlank="1" showInputMessage="1" showErrorMessage="1" xr:uid="{FE921EDC-C3A2-4FE4-9FD9-AFD322A81DEC}">
          <x14:formula1>
            <xm:f>項目!C17:$MPS$196609</xm:f>
          </x14:formula1>
          <xm:sqref>MQA196615:MQA196638</xm:sqref>
        </x14:dataValidation>
        <x14:dataValidation type="list" allowBlank="1" showInputMessage="1" showErrorMessage="1" xr:uid="{C31F0C5D-210D-4144-86BE-A8C6BD515784}">
          <x14:formula1>
            <xm:f>項目!C17:$MZO$196609</xm:f>
          </x14:formula1>
          <xm:sqref>MZW196615:MZW196638</xm:sqref>
        </x14:dataValidation>
        <x14:dataValidation type="list" allowBlank="1" showInputMessage="1" showErrorMessage="1" xr:uid="{3F5918E7-1D50-4400-9755-523360F12019}">
          <x14:formula1>
            <xm:f>項目!C17:$NJK$196609</xm:f>
          </x14:formula1>
          <xm:sqref>NJS196615:NJS196638</xm:sqref>
        </x14:dataValidation>
        <x14:dataValidation type="list" allowBlank="1" showInputMessage="1" showErrorMessage="1" xr:uid="{A46E152D-8659-420B-AEBC-C0007D3E41DF}">
          <x14:formula1>
            <xm:f>項目!C17:$NTG$196609</xm:f>
          </x14:formula1>
          <xm:sqref>NTO196615:NTO196638</xm:sqref>
        </x14:dataValidation>
        <x14:dataValidation type="list" allowBlank="1" showInputMessage="1" showErrorMessage="1" xr:uid="{70D0CF82-2F6A-4C4E-9F52-CC6171A344DD}">
          <x14:formula1>
            <xm:f>項目!C17:$ODC$196609</xm:f>
          </x14:formula1>
          <xm:sqref>ODK196615:ODK196638</xm:sqref>
        </x14:dataValidation>
        <x14:dataValidation type="list" allowBlank="1" showInputMessage="1" showErrorMessage="1" xr:uid="{D340C800-FA78-4D51-968B-56C14E2E4F65}">
          <x14:formula1>
            <xm:f>項目!C17:$OMY$196609</xm:f>
          </x14:formula1>
          <xm:sqref>ONG196615:ONG196638</xm:sqref>
        </x14:dataValidation>
        <x14:dataValidation type="list" allowBlank="1" showInputMessage="1" showErrorMessage="1" xr:uid="{E8F5952A-B044-4D3E-8A1A-BA54D1E0123A}">
          <x14:formula1>
            <xm:f>項目!C17:$OWU$196609</xm:f>
          </x14:formula1>
          <xm:sqref>OXC196615:OXC196638</xm:sqref>
        </x14:dataValidation>
        <x14:dataValidation type="list" allowBlank="1" showInputMessage="1" showErrorMessage="1" xr:uid="{487CBD35-4893-4D15-9624-752703B471D1}">
          <x14:formula1>
            <xm:f>項目!C17:$PGQ$196609</xm:f>
          </x14:formula1>
          <xm:sqref>PGY196615:PGY196638</xm:sqref>
        </x14:dataValidation>
        <x14:dataValidation type="list" allowBlank="1" showInputMessage="1" showErrorMessage="1" xr:uid="{6AEBF624-8E9A-44D6-AD3D-7CA6BC96F0E7}">
          <x14:formula1>
            <xm:f>項目!C17:$PQM$196609</xm:f>
          </x14:formula1>
          <xm:sqref>PQU196615:PQU196638</xm:sqref>
        </x14:dataValidation>
        <x14:dataValidation type="list" allowBlank="1" showInputMessage="1" showErrorMessage="1" xr:uid="{57AD0BA8-70FE-40F2-94F2-35B8E2CEDB1E}">
          <x14:formula1>
            <xm:f>項目!C17:$QAI$196609</xm:f>
          </x14:formula1>
          <xm:sqref>QAQ196615:QAQ196638</xm:sqref>
        </x14:dataValidation>
        <x14:dataValidation type="list" allowBlank="1" showInputMessage="1" showErrorMessage="1" xr:uid="{47C4FC99-D3EF-406B-86F5-BDFB3E3ABB5F}">
          <x14:formula1>
            <xm:f>項目!C17:$QKE$196609</xm:f>
          </x14:formula1>
          <xm:sqref>QKM196615:QKM196638</xm:sqref>
        </x14:dataValidation>
        <x14:dataValidation type="list" allowBlank="1" showInputMessage="1" showErrorMessage="1" xr:uid="{FFC5FEF0-321A-4C90-9B22-D5B4047AEC8E}">
          <x14:formula1>
            <xm:f>項目!C17:$QUA$196609</xm:f>
          </x14:formula1>
          <xm:sqref>QUI196615:QUI196638</xm:sqref>
        </x14:dataValidation>
        <x14:dataValidation type="list" allowBlank="1" showInputMessage="1" showErrorMessage="1" xr:uid="{8174C5F8-963D-43D5-B05E-DBC3DEC0F7BF}">
          <x14:formula1>
            <xm:f>項目!C17:$RDW$196609</xm:f>
          </x14:formula1>
          <xm:sqref>REE196615:REE196638</xm:sqref>
        </x14:dataValidation>
        <x14:dataValidation type="list" allowBlank="1" showInputMessage="1" showErrorMessage="1" xr:uid="{88B38397-D50D-45B9-ADCD-82E6A9B65429}">
          <x14:formula1>
            <xm:f>項目!C17:$RNS$196609</xm:f>
          </x14:formula1>
          <xm:sqref>ROA196615:ROA196638</xm:sqref>
        </x14:dataValidation>
        <x14:dataValidation type="list" allowBlank="1" showInputMessage="1" showErrorMessage="1" xr:uid="{92962CA4-4D0E-4A3D-8F02-852B7130D872}">
          <x14:formula1>
            <xm:f>項目!C17:$RXO$196609</xm:f>
          </x14:formula1>
          <xm:sqref>RXW196615:RXW196638</xm:sqref>
        </x14:dataValidation>
        <x14:dataValidation type="list" allowBlank="1" showInputMessage="1" showErrorMessage="1" xr:uid="{27531403-BA8B-430C-A8C0-CFD1055351A0}">
          <x14:formula1>
            <xm:f>項目!C17:$SHK$196609</xm:f>
          </x14:formula1>
          <xm:sqref>SHS196615:SHS196638</xm:sqref>
        </x14:dataValidation>
        <x14:dataValidation type="list" allowBlank="1" showInputMessage="1" showErrorMessage="1" xr:uid="{A9BC86AC-615C-4AB4-B6F9-BDB5F2E5D2C0}">
          <x14:formula1>
            <xm:f>項目!C17:$SRG$196609</xm:f>
          </x14:formula1>
          <xm:sqref>SRO196615:SRO196638</xm:sqref>
        </x14:dataValidation>
        <x14:dataValidation type="list" allowBlank="1" showInputMessage="1" showErrorMessage="1" xr:uid="{E58C3372-DE81-4810-BCEC-04DF0E201E93}">
          <x14:formula1>
            <xm:f>項目!C17:$TBC$196609</xm:f>
          </x14:formula1>
          <xm:sqref>TBK196615:TBK196638</xm:sqref>
        </x14:dataValidation>
        <x14:dataValidation type="list" allowBlank="1" showInputMessage="1" showErrorMessage="1" xr:uid="{6850DBF5-3AE8-472F-A8F3-3D1EAF0F012A}">
          <x14:formula1>
            <xm:f>項目!C17:$TKY$196609</xm:f>
          </x14:formula1>
          <xm:sqref>TLG196615:TLG196638</xm:sqref>
        </x14:dataValidation>
        <x14:dataValidation type="list" allowBlank="1" showInputMessage="1" showErrorMessage="1" xr:uid="{29912356-1427-4C9C-A0BC-ED5327D44D96}">
          <x14:formula1>
            <xm:f>項目!C17:$TUU$196609</xm:f>
          </x14:formula1>
          <xm:sqref>TVC196615:TVC196638</xm:sqref>
        </x14:dataValidation>
        <x14:dataValidation type="list" allowBlank="1" showInputMessage="1" showErrorMessage="1" xr:uid="{7303C72B-F9F7-4B2B-884E-6A105A05760A}">
          <x14:formula1>
            <xm:f>項目!C17:$UEQ$196609</xm:f>
          </x14:formula1>
          <xm:sqref>UEY196615:UEY196638</xm:sqref>
        </x14:dataValidation>
        <x14:dataValidation type="list" allowBlank="1" showInputMessage="1" showErrorMessage="1" xr:uid="{1EB995DA-D03C-4C9D-97E4-BF01DC6F3926}">
          <x14:formula1>
            <xm:f>項目!C17:$UOM$196609</xm:f>
          </x14:formula1>
          <xm:sqref>UOU196615:UOU196638</xm:sqref>
        </x14:dataValidation>
        <x14:dataValidation type="list" allowBlank="1" showInputMessage="1" showErrorMessage="1" xr:uid="{C7C6F14C-AD92-42F4-98BA-7E94F91294AA}">
          <x14:formula1>
            <xm:f>項目!C17:$UYI$196609</xm:f>
          </x14:formula1>
          <xm:sqref>UYQ196615:UYQ196638</xm:sqref>
        </x14:dataValidation>
        <x14:dataValidation type="list" allowBlank="1" showInputMessage="1" showErrorMessage="1" xr:uid="{563DE8B7-7BC8-4B01-8A96-086E5978D0A4}">
          <x14:formula1>
            <xm:f>項目!C17:$VIE$196609</xm:f>
          </x14:formula1>
          <xm:sqref>VIM196615:VIM196638</xm:sqref>
        </x14:dataValidation>
        <x14:dataValidation type="list" allowBlank="1" showInputMessage="1" showErrorMessage="1" xr:uid="{5935517E-C05D-4758-8019-744BCE9934F3}">
          <x14:formula1>
            <xm:f>項目!C17:$VSA$196609</xm:f>
          </x14:formula1>
          <xm:sqref>VSI196615:VSI196638</xm:sqref>
        </x14:dataValidation>
        <x14:dataValidation type="list" allowBlank="1" showInputMessage="1" showErrorMessage="1" xr:uid="{407E4351-209A-4A10-BE6E-9EC94BF620C2}">
          <x14:formula1>
            <xm:f>項目!C17:$WBW$196609</xm:f>
          </x14:formula1>
          <xm:sqref>WCE196615:WCE196638</xm:sqref>
        </x14:dataValidation>
        <x14:dataValidation type="list" allowBlank="1" showInputMessage="1" showErrorMessage="1" xr:uid="{7A13CE8C-0C64-4590-9078-69B712450AB8}">
          <x14:formula1>
            <xm:f>項目!C17:$WLS$196609</xm:f>
          </x14:formula1>
          <xm:sqref>WMA196615:WMA196638</xm:sqref>
        </x14:dataValidation>
        <x14:dataValidation type="list" allowBlank="1" showInputMessage="1" showErrorMessage="1" xr:uid="{2A407BE8-49B1-4FBD-B1BF-0DAEADD95275}">
          <x14:formula1>
            <xm:f>項目!C17:$WVO$196609</xm:f>
          </x14:formula1>
          <xm:sqref>WVW196615:WVW196638</xm:sqref>
        </x14:dataValidation>
        <x14:dataValidation type="list" allowBlank="1" showInputMessage="1" showErrorMessage="1" xr:uid="{8500AD97-EDFB-450C-AE5C-8E21820C1946}">
          <x14:formula1>
            <xm:f>項目!C17:$J$262145</xm:f>
          </x14:formula1>
          <xm:sqref>O262151:O262174</xm:sqref>
        </x14:dataValidation>
        <x14:dataValidation type="list" allowBlank="1" showInputMessage="1" showErrorMessage="1" xr:uid="{96BE2A8A-1A11-4483-95EE-E8460D7337E6}">
          <x14:formula1>
            <xm:f>項目!C17:$JC$262145</xm:f>
          </x14:formula1>
          <xm:sqref>JK262151:JK262174</xm:sqref>
        </x14:dataValidation>
        <x14:dataValidation type="list" allowBlank="1" showInputMessage="1" showErrorMessage="1" xr:uid="{00A4EEBC-3592-4B88-9B4C-6FDA3CE5CBCA}">
          <x14:formula1>
            <xm:f>項目!C17:$SY$262145</xm:f>
          </x14:formula1>
          <xm:sqref>TG262151:TG262174</xm:sqref>
        </x14:dataValidation>
        <x14:dataValidation type="list" allowBlank="1" showInputMessage="1" showErrorMessage="1" xr:uid="{154ECB3B-F58F-4AD7-A1F0-4955B4E62821}">
          <x14:formula1>
            <xm:f>項目!C17:$ACU$262145</xm:f>
          </x14:formula1>
          <xm:sqref>ADC262151:ADC262174</xm:sqref>
        </x14:dataValidation>
        <x14:dataValidation type="list" allowBlank="1" showInputMessage="1" showErrorMessage="1" xr:uid="{4852AB64-5A90-45A8-9E4A-8463CCEA09EA}">
          <x14:formula1>
            <xm:f>項目!C17:$AMQ$262145</xm:f>
          </x14:formula1>
          <xm:sqref>AMY262151:AMY262174</xm:sqref>
        </x14:dataValidation>
        <x14:dataValidation type="list" allowBlank="1" showInputMessage="1" showErrorMessage="1" xr:uid="{8EAC6873-B6AB-4CF2-A141-44357EA068EF}">
          <x14:formula1>
            <xm:f>項目!C17:$AWM$262145</xm:f>
          </x14:formula1>
          <xm:sqref>AWU262151:AWU262174</xm:sqref>
        </x14:dataValidation>
        <x14:dataValidation type="list" allowBlank="1" showInputMessage="1" showErrorMessage="1" xr:uid="{B2791623-48FD-4E57-A869-DC22380F758B}">
          <x14:formula1>
            <xm:f>項目!C17:$BGI$262145</xm:f>
          </x14:formula1>
          <xm:sqref>BGQ262151:BGQ262174</xm:sqref>
        </x14:dataValidation>
        <x14:dataValidation type="list" allowBlank="1" showInputMessage="1" showErrorMessage="1" xr:uid="{3049E07C-E5B2-42BE-B04C-25E5A65BA105}">
          <x14:formula1>
            <xm:f>項目!C17:$BQE$262145</xm:f>
          </x14:formula1>
          <xm:sqref>BQM262151:BQM262174</xm:sqref>
        </x14:dataValidation>
        <x14:dataValidation type="list" allowBlank="1" showInputMessage="1" showErrorMessage="1" xr:uid="{61E16CF6-95DB-495F-A5A6-DE4FCA475BB8}">
          <x14:formula1>
            <xm:f>項目!C17:$CAA$262145</xm:f>
          </x14:formula1>
          <xm:sqref>CAI262151:CAI262174</xm:sqref>
        </x14:dataValidation>
        <x14:dataValidation type="list" allowBlank="1" showInputMessage="1" showErrorMessage="1" xr:uid="{CC767785-9E27-4EDD-974F-0F64317EC261}">
          <x14:formula1>
            <xm:f>項目!C17:$CJW$262145</xm:f>
          </x14:formula1>
          <xm:sqref>CKE262151:CKE262174</xm:sqref>
        </x14:dataValidation>
        <x14:dataValidation type="list" allowBlank="1" showInputMessage="1" showErrorMessage="1" xr:uid="{B2F69B78-2DF1-48A8-A218-9E6991744C24}">
          <x14:formula1>
            <xm:f>項目!C17:$CTS$262145</xm:f>
          </x14:formula1>
          <xm:sqref>CUA262151:CUA262174</xm:sqref>
        </x14:dataValidation>
        <x14:dataValidation type="list" allowBlank="1" showInputMessage="1" showErrorMessage="1" xr:uid="{E3886455-6960-435D-ADD4-7F79BF029E68}">
          <x14:formula1>
            <xm:f>項目!C17:$DDO$262145</xm:f>
          </x14:formula1>
          <xm:sqref>DDW262151:DDW262174</xm:sqref>
        </x14:dataValidation>
        <x14:dataValidation type="list" allowBlank="1" showInputMessage="1" showErrorMessage="1" xr:uid="{3479B77E-ABC0-4510-9F71-E812747B2A4B}">
          <x14:formula1>
            <xm:f>項目!C17:$DNK$262145</xm:f>
          </x14:formula1>
          <xm:sqref>DNS262151:DNS262174</xm:sqref>
        </x14:dataValidation>
        <x14:dataValidation type="list" allowBlank="1" showInputMessage="1" showErrorMessage="1" xr:uid="{15DFDEAC-E1CD-4115-AA2E-D655C2761F92}">
          <x14:formula1>
            <xm:f>項目!C17:$DXG$262145</xm:f>
          </x14:formula1>
          <xm:sqref>DXO262151:DXO262174</xm:sqref>
        </x14:dataValidation>
        <x14:dataValidation type="list" allowBlank="1" showInputMessage="1" showErrorMessage="1" xr:uid="{5B40F30E-C1EF-452C-B4B0-21F1C1E7A0DC}">
          <x14:formula1>
            <xm:f>項目!C17:$EHC$262145</xm:f>
          </x14:formula1>
          <xm:sqref>EHK262151:EHK262174</xm:sqref>
        </x14:dataValidation>
        <x14:dataValidation type="list" allowBlank="1" showInputMessage="1" showErrorMessage="1" xr:uid="{CB538BE0-A221-4A4B-B4D3-E018031F037A}">
          <x14:formula1>
            <xm:f>項目!C17:$EQY$262145</xm:f>
          </x14:formula1>
          <xm:sqref>ERG262151:ERG262174</xm:sqref>
        </x14:dataValidation>
        <x14:dataValidation type="list" allowBlank="1" showInputMessage="1" showErrorMessage="1" xr:uid="{A50800AC-FFFE-4242-8461-506D449626CE}">
          <x14:formula1>
            <xm:f>項目!C17:$FAU$262145</xm:f>
          </x14:formula1>
          <xm:sqref>FBC262151:FBC262174</xm:sqref>
        </x14:dataValidation>
        <x14:dataValidation type="list" allowBlank="1" showInputMessage="1" showErrorMessage="1" xr:uid="{C1A9CB6F-F66B-4027-B8D9-BAB1FF74A6A1}">
          <x14:formula1>
            <xm:f>項目!C17:$FKQ$262145</xm:f>
          </x14:formula1>
          <xm:sqref>FKY262151:FKY262174</xm:sqref>
        </x14:dataValidation>
        <x14:dataValidation type="list" allowBlank="1" showInputMessage="1" showErrorMessage="1" xr:uid="{2E8EFE36-6C9E-47C5-AE38-9C9C17B4F9C0}">
          <x14:formula1>
            <xm:f>項目!C17:$FUM$262145</xm:f>
          </x14:formula1>
          <xm:sqref>FUU262151:FUU262174</xm:sqref>
        </x14:dataValidation>
        <x14:dataValidation type="list" allowBlank="1" showInputMessage="1" showErrorMessage="1" xr:uid="{FFDC0369-2773-41F3-B64D-5E90A8D9B5BD}">
          <x14:formula1>
            <xm:f>項目!C17:$GEI$262145</xm:f>
          </x14:formula1>
          <xm:sqref>GEQ262151:GEQ262174</xm:sqref>
        </x14:dataValidation>
        <x14:dataValidation type="list" allowBlank="1" showInputMessage="1" showErrorMessage="1" xr:uid="{710DC1F3-D25A-41C1-9563-F1D8DDC6E132}">
          <x14:formula1>
            <xm:f>項目!C17:$GOE$262145</xm:f>
          </x14:formula1>
          <xm:sqref>GOM262151:GOM262174</xm:sqref>
        </x14:dataValidation>
        <x14:dataValidation type="list" allowBlank="1" showInputMessage="1" showErrorMessage="1" xr:uid="{5DE44284-CDE1-40A9-9149-5336B551B6A9}">
          <x14:formula1>
            <xm:f>項目!C17:$GYA$262145</xm:f>
          </x14:formula1>
          <xm:sqref>GYI262151:GYI262174</xm:sqref>
        </x14:dataValidation>
        <x14:dataValidation type="list" allowBlank="1" showInputMessage="1" showErrorMessage="1" xr:uid="{F1B0900E-C42D-4239-98AE-61E3F89607E7}">
          <x14:formula1>
            <xm:f>項目!C17:$HHW$262145</xm:f>
          </x14:formula1>
          <xm:sqref>HIE262151:HIE262174</xm:sqref>
        </x14:dataValidation>
        <x14:dataValidation type="list" allowBlank="1" showInputMessage="1" showErrorMessage="1" xr:uid="{6ABF163B-1EF5-48D7-900E-561A2D5DE7DA}">
          <x14:formula1>
            <xm:f>項目!C17:$HRS$262145</xm:f>
          </x14:formula1>
          <xm:sqref>HSA262151:HSA262174</xm:sqref>
        </x14:dataValidation>
        <x14:dataValidation type="list" allowBlank="1" showInputMessage="1" showErrorMessage="1" xr:uid="{FEB08721-2AAE-4FF0-AC79-846FFCF1405F}">
          <x14:formula1>
            <xm:f>項目!C17:$IBO$262145</xm:f>
          </x14:formula1>
          <xm:sqref>IBW262151:IBW262174</xm:sqref>
        </x14:dataValidation>
        <x14:dataValidation type="list" allowBlank="1" showInputMessage="1" showErrorMessage="1" xr:uid="{257E0BCE-7C18-4042-80B8-8F3D3C7A9C72}">
          <x14:formula1>
            <xm:f>項目!C17:$ILK$262145</xm:f>
          </x14:formula1>
          <xm:sqref>ILS262151:ILS262174</xm:sqref>
        </x14:dataValidation>
        <x14:dataValidation type="list" allowBlank="1" showInputMessage="1" showErrorMessage="1" xr:uid="{743D4F61-1AB5-4B41-AFD6-CC2CB7248339}">
          <x14:formula1>
            <xm:f>項目!C17:$IVG$262145</xm:f>
          </x14:formula1>
          <xm:sqref>IVO262151:IVO262174</xm:sqref>
        </x14:dataValidation>
        <x14:dataValidation type="list" allowBlank="1" showInputMessage="1" showErrorMessage="1" xr:uid="{1873FB96-6885-4228-AB9F-3EA47CF13311}">
          <x14:formula1>
            <xm:f>項目!C17:$JFC$262145</xm:f>
          </x14:formula1>
          <xm:sqref>JFK262151:JFK262174</xm:sqref>
        </x14:dataValidation>
        <x14:dataValidation type="list" allowBlank="1" showInputMessage="1" showErrorMessage="1" xr:uid="{20828511-C224-4C59-9508-153EC161139C}">
          <x14:formula1>
            <xm:f>項目!C17:$JOY$262145</xm:f>
          </x14:formula1>
          <xm:sqref>JPG262151:JPG262174</xm:sqref>
        </x14:dataValidation>
        <x14:dataValidation type="list" allowBlank="1" showInputMessage="1" showErrorMessage="1" xr:uid="{68D22265-5244-48EB-9240-159E483A15E5}">
          <x14:formula1>
            <xm:f>項目!C17:$JYU$262145</xm:f>
          </x14:formula1>
          <xm:sqref>JZC262151:JZC262174</xm:sqref>
        </x14:dataValidation>
        <x14:dataValidation type="list" allowBlank="1" showInputMessage="1" showErrorMessage="1" xr:uid="{50C75967-E66B-4E38-985C-F79D05D45409}">
          <x14:formula1>
            <xm:f>項目!C17:$KIQ$262145</xm:f>
          </x14:formula1>
          <xm:sqref>KIY262151:KIY262174</xm:sqref>
        </x14:dataValidation>
        <x14:dataValidation type="list" allowBlank="1" showInputMessage="1" showErrorMessage="1" xr:uid="{B6239A1A-27EF-4CE0-8570-3387769FB0FB}">
          <x14:formula1>
            <xm:f>項目!C17:$KSM$262145</xm:f>
          </x14:formula1>
          <xm:sqref>KSU262151:KSU262174</xm:sqref>
        </x14:dataValidation>
        <x14:dataValidation type="list" allowBlank="1" showInputMessage="1" showErrorMessage="1" xr:uid="{7DFFCD32-A8E0-4DBE-8639-168245FEB339}">
          <x14:formula1>
            <xm:f>項目!C17:$LCI$262145</xm:f>
          </x14:formula1>
          <xm:sqref>LCQ262151:LCQ262174</xm:sqref>
        </x14:dataValidation>
        <x14:dataValidation type="list" allowBlank="1" showInputMessage="1" showErrorMessage="1" xr:uid="{5594CEAF-A3A1-4131-802F-19BDE6238B97}">
          <x14:formula1>
            <xm:f>項目!C17:$LME$262145</xm:f>
          </x14:formula1>
          <xm:sqref>LMM262151:LMM262174</xm:sqref>
        </x14:dataValidation>
        <x14:dataValidation type="list" allowBlank="1" showInputMessage="1" showErrorMessage="1" xr:uid="{2726E032-B7EA-4EC2-81E4-5C509CDC7E38}">
          <x14:formula1>
            <xm:f>項目!C17:$LWA$262145</xm:f>
          </x14:formula1>
          <xm:sqref>LWI262151:LWI262174</xm:sqref>
        </x14:dataValidation>
        <x14:dataValidation type="list" allowBlank="1" showInputMessage="1" showErrorMessage="1" xr:uid="{F68DAEE0-6DD1-4884-8C45-77F51A48E157}">
          <x14:formula1>
            <xm:f>項目!C17:$MFW$262145</xm:f>
          </x14:formula1>
          <xm:sqref>MGE262151:MGE262174</xm:sqref>
        </x14:dataValidation>
        <x14:dataValidation type="list" allowBlank="1" showInputMessage="1" showErrorMessage="1" xr:uid="{DAF4AC69-0359-4E07-B704-D58B2242B4B3}">
          <x14:formula1>
            <xm:f>項目!C17:$MPS$262145</xm:f>
          </x14:formula1>
          <xm:sqref>MQA262151:MQA262174</xm:sqref>
        </x14:dataValidation>
        <x14:dataValidation type="list" allowBlank="1" showInputMessage="1" showErrorMessage="1" xr:uid="{BB506F3C-0CF9-4799-A318-207347F8F61D}">
          <x14:formula1>
            <xm:f>項目!C17:$MZO$262145</xm:f>
          </x14:formula1>
          <xm:sqref>MZW262151:MZW262174</xm:sqref>
        </x14:dataValidation>
        <x14:dataValidation type="list" allowBlank="1" showInputMessage="1" showErrorMessage="1" xr:uid="{8CC0F50C-F44D-4C1C-AA41-806578F00864}">
          <x14:formula1>
            <xm:f>項目!C17:$NJK$262145</xm:f>
          </x14:formula1>
          <xm:sqref>NJS262151:NJS262174</xm:sqref>
        </x14:dataValidation>
        <x14:dataValidation type="list" allowBlank="1" showInputMessage="1" showErrorMessage="1" xr:uid="{00957DCE-EA61-40A3-BAF2-72CE80064CDC}">
          <x14:formula1>
            <xm:f>項目!C17:$NTG$262145</xm:f>
          </x14:formula1>
          <xm:sqref>NTO262151:NTO262174</xm:sqref>
        </x14:dataValidation>
        <x14:dataValidation type="list" allowBlank="1" showInputMessage="1" showErrorMessage="1" xr:uid="{10352946-4D66-4F29-9F0D-E4B67F1D00D4}">
          <x14:formula1>
            <xm:f>項目!C17:$ODC$262145</xm:f>
          </x14:formula1>
          <xm:sqref>ODK262151:ODK262174</xm:sqref>
        </x14:dataValidation>
        <x14:dataValidation type="list" allowBlank="1" showInputMessage="1" showErrorMessage="1" xr:uid="{08C1AB7A-1B3B-4A47-B850-4AA766526597}">
          <x14:formula1>
            <xm:f>項目!C17:$OMY$262145</xm:f>
          </x14:formula1>
          <xm:sqref>ONG262151:ONG262174</xm:sqref>
        </x14:dataValidation>
        <x14:dataValidation type="list" allowBlank="1" showInputMessage="1" showErrorMessage="1" xr:uid="{7E3B61BA-5BC4-46C3-B522-815AE1D9FE98}">
          <x14:formula1>
            <xm:f>項目!C17:$OWU$262145</xm:f>
          </x14:formula1>
          <xm:sqref>OXC262151:OXC262174</xm:sqref>
        </x14:dataValidation>
        <x14:dataValidation type="list" allowBlank="1" showInputMessage="1" showErrorMessage="1" xr:uid="{0005DEA3-6BF6-4347-9C0B-75B813B94AC5}">
          <x14:formula1>
            <xm:f>項目!C17:$PGQ$262145</xm:f>
          </x14:formula1>
          <xm:sqref>PGY262151:PGY262174</xm:sqref>
        </x14:dataValidation>
        <x14:dataValidation type="list" allowBlank="1" showInputMessage="1" showErrorMessage="1" xr:uid="{60011A8F-4903-4A5C-BB30-4610AE3350AC}">
          <x14:formula1>
            <xm:f>項目!C17:$PQM$262145</xm:f>
          </x14:formula1>
          <xm:sqref>PQU262151:PQU262174</xm:sqref>
        </x14:dataValidation>
        <x14:dataValidation type="list" allowBlank="1" showInputMessage="1" showErrorMessage="1" xr:uid="{68D141C7-03AF-455A-90FC-B5790677FEBC}">
          <x14:formula1>
            <xm:f>項目!C17:$QAI$262145</xm:f>
          </x14:formula1>
          <xm:sqref>QAQ262151:QAQ262174</xm:sqref>
        </x14:dataValidation>
        <x14:dataValidation type="list" allowBlank="1" showInputMessage="1" showErrorMessage="1" xr:uid="{35F34374-9ACA-4DE0-BF1A-194133DE4B21}">
          <x14:formula1>
            <xm:f>項目!C17:$QKE$262145</xm:f>
          </x14:formula1>
          <xm:sqref>QKM262151:QKM262174</xm:sqref>
        </x14:dataValidation>
        <x14:dataValidation type="list" allowBlank="1" showInputMessage="1" showErrorMessage="1" xr:uid="{414DD6E2-D07C-4F30-9A2F-6FEDEC1E9A4D}">
          <x14:formula1>
            <xm:f>項目!C17:$QUA$262145</xm:f>
          </x14:formula1>
          <xm:sqref>QUI262151:QUI262174</xm:sqref>
        </x14:dataValidation>
        <x14:dataValidation type="list" allowBlank="1" showInputMessage="1" showErrorMessage="1" xr:uid="{D4D2F9F7-EBBD-440F-80D7-862F9D58531D}">
          <x14:formula1>
            <xm:f>項目!C17:$RDW$262145</xm:f>
          </x14:formula1>
          <xm:sqref>REE262151:REE262174</xm:sqref>
        </x14:dataValidation>
        <x14:dataValidation type="list" allowBlank="1" showInputMessage="1" showErrorMessage="1" xr:uid="{87074060-32E6-4D11-A2F3-3B5E8600DAD7}">
          <x14:formula1>
            <xm:f>項目!C17:$RNS$262145</xm:f>
          </x14:formula1>
          <xm:sqref>ROA262151:ROA262174</xm:sqref>
        </x14:dataValidation>
        <x14:dataValidation type="list" allowBlank="1" showInputMessage="1" showErrorMessage="1" xr:uid="{A9E3981B-0F50-48B2-BFE0-5E2C836A3A5F}">
          <x14:formula1>
            <xm:f>項目!C17:$RXO$262145</xm:f>
          </x14:formula1>
          <xm:sqref>RXW262151:RXW262174</xm:sqref>
        </x14:dataValidation>
        <x14:dataValidation type="list" allowBlank="1" showInputMessage="1" showErrorMessage="1" xr:uid="{61B82E5C-AA98-4496-9503-552FF60E1192}">
          <x14:formula1>
            <xm:f>項目!C17:$SHK$262145</xm:f>
          </x14:formula1>
          <xm:sqref>SHS262151:SHS262174</xm:sqref>
        </x14:dataValidation>
        <x14:dataValidation type="list" allowBlank="1" showInputMessage="1" showErrorMessage="1" xr:uid="{4225AD58-854A-4100-9487-E9547B1A639A}">
          <x14:formula1>
            <xm:f>項目!C17:$SRG$262145</xm:f>
          </x14:formula1>
          <xm:sqref>SRO262151:SRO262174</xm:sqref>
        </x14:dataValidation>
        <x14:dataValidation type="list" allowBlank="1" showInputMessage="1" showErrorMessage="1" xr:uid="{E1C3C80C-7685-41B5-AB0D-DBFECEE6EC73}">
          <x14:formula1>
            <xm:f>項目!C17:$TBC$262145</xm:f>
          </x14:formula1>
          <xm:sqref>TBK262151:TBK262174</xm:sqref>
        </x14:dataValidation>
        <x14:dataValidation type="list" allowBlank="1" showInputMessage="1" showErrorMessage="1" xr:uid="{D3B11E36-9B35-4EB1-8A7B-F7AED051F9BA}">
          <x14:formula1>
            <xm:f>項目!C17:$TKY$262145</xm:f>
          </x14:formula1>
          <xm:sqref>TLG262151:TLG262174</xm:sqref>
        </x14:dataValidation>
        <x14:dataValidation type="list" allowBlank="1" showInputMessage="1" showErrorMessage="1" xr:uid="{8D853E75-3A2E-402D-A58D-32ACD0551009}">
          <x14:formula1>
            <xm:f>項目!C17:$TUU$262145</xm:f>
          </x14:formula1>
          <xm:sqref>TVC262151:TVC262174</xm:sqref>
        </x14:dataValidation>
        <x14:dataValidation type="list" allowBlank="1" showInputMessage="1" showErrorMessage="1" xr:uid="{74C366F5-C7C0-46E9-88A7-3E5B5784C272}">
          <x14:formula1>
            <xm:f>項目!C17:$UEQ$262145</xm:f>
          </x14:formula1>
          <xm:sqref>UEY262151:UEY262174</xm:sqref>
        </x14:dataValidation>
        <x14:dataValidation type="list" allowBlank="1" showInputMessage="1" showErrorMessage="1" xr:uid="{9C11B173-9512-47AA-86A3-CE345992AFA9}">
          <x14:formula1>
            <xm:f>項目!C17:$UOM$262145</xm:f>
          </x14:formula1>
          <xm:sqref>UOU262151:UOU262174</xm:sqref>
        </x14:dataValidation>
        <x14:dataValidation type="list" allowBlank="1" showInputMessage="1" showErrorMessage="1" xr:uid="{27AA83C8-3A9F-492C-A68D-9730FADF1FBC}">
          <x14:formula1>
            <xm:f>項目!C17:$UYI$262145</xm:f>
          </x14:formula1>
          <xm:sqref>UYQ262151:UYQ262174</xm:sqref>
        </x14:dataValidation>
        <x14:dataValidation type="list" allowBlank="1" showInputMessage="1" showErrorMessage="1" xr:uid="{33E634C1-C16B-4D42-9A7C-A3B784337C62}">
          <x14:formula1>
            <xm:f>項目!C17:$VIE$262145</xm:f>
          </x14:formula1>
          <xm:sqref>VIM262151:VIM262174</xm:sqref>
        </x14:dataValidation>
        <x14:dataValidation type="list" allowBlank="1" showInputMessage="1" showErrorMessage="1" xr:uid="{43E7466E-8EBF-48D7-AD15-B04CB3938A09}">
          <x14:formula1>
            <xm:f>項目!C17:$VSA$262145</xm:f>
          </x14:formula1>
          <xm:sqref>VSI262151:VSI262174</xm:sqref>
        </x14:dataValidation>
        <x14:dataValidation type="list" allowBlank="1" showInputMessage="1" showErrorMessage="1" xr:uid="{D3C1C578-9390-4E33-B392-4BD5B3484DA6}">
          <x14:formula1>
            <xm:f>項目!C17:$WBW$262145</xm:f>
          </x14:formula1>
          <xm:sqref>WCE262151:WCE262174</xm:sqref>
        </x14:dataValidation>
        <x14:dataValidation type="list" allowBlank="1" showInputMessage="1" showErrorMessage="1" xr:uid="{B4738CB3-417F-4818-8D8F-9E9BFAADFF71}">
          <x14:formula1>
            <xm:f>項目!C17:$WLS$262145</xm:f>
          </x14:formula1>
          <xm:sqref>WMA262151:WMA262174</xm:sqref>
        </x14:dataValidation>
        <x14:dataValidation type="list" allowBlank="1" showInputMessage="1" showErrorMessage="1" xr:uid="{8B48BC12-624D-4813-BFC0-0C13293218DB}">
          <x14:formula1>
            <xm:f>項目!C17:$WVO$262145</xm:f>
          </x14:formula1>
          <xm:sqref>WVW262151:WVW262174</xm:sqref>
        </x14:dataValidation>
        <x14:dataValidation type="list" allowBlank="1" showInputMessage="1" showErrorMessage="1" xr:uid="{FB817037-AA31-4187-BC4A-09E4D93E7C48}">
          <x14:formula1>
            <xm:f>項目!C17:$J$327681</xm:f>
          </x14:formula1>
          <xm:sqref>O327687:O327710</xm:sqref>
        </x14:dataValidation>
        <x14:dataValidation type="list" allowBlank="1" showInputMessage="1" showErrorMessage="1" xr:uid="{0A3B1545-3DB8-4349-A248-8EC821B79178}">
          <x14:formula1>
            <xm:f>項目!C17:$JC$327681</xm:f>
          </x14:formula1>
          <xm:sqref>JK327687:JK327710</xm:sqref>
        </x14:dataValidation>
        <x14:dataValidation type="list" allowBlank="1" showInputMessage="1" showErrorMessage="1" xr:uid="{85318A6C-51BC-445F-9B2E-37DAAFBAE6BF}">
          <x14:formula1>
            <xm:f>項目!C17:$SY$327681</xm:f>
          </x14:formula1>
          <xm:sqref>TG327687:TG327710</xm:sqref>
        </x14:dataValidation>
        <x14:dataValidation type="list" allowBlank="1" showInputMessage="1" showErrorMessage="1" xr:uid="{13D45457-4225-409A-B69F-2D4BE332FCB9}">
          <x14:formula1>
            <xm:f>項目!C17:$ACU$327681</xm:f>
          </x14:formula1>
          <xm:sqref>ADC327687:ADC327710</xm:sqref>
        </x14:dataValidation>
        <x14:dataValidation type="list" allowBlank="1" showInputMessage="1" showErrorMessage="1" xr:uid="{CBC36740-8D10-4483-A4EF-F587198805A8}">
          <x14:formula1>
            <xm:f>項目!C17:$AMQ$327681</xm:f>
          </x14:formula1>
          <xm:sqref>AMY327687:AMY327710</xm:sqref>
        </x14:dataValidation>
        <x14:dataValidation type="list" allowBlank="1" showInputMessage="1" showErrorMessage="1" xr:uid="{D17C43C1-5AED-44C5-B48F-C9E0E91F215C}">
          <x14:formula1>
            <xm:f>項目!C17:$AWM$327681</xm:f>
          </x14:formula1>
          <xm:sqref>AWU327687:AWU327710</xm:sqref>
        </x14:dataValidation>
        <x14:dataValidation type="list" allowBlank="1" showInputMessage="1" showErrorMessage="1" xr:uid="{9427DF1E-00D2-4AA2-8E52-491901EAF0B6}">
          <x14:formula1>
            <xm:f>項目!C17:$BGI$327681</xm:f>
          </x14:formula1>
          <xm:sqref>BGQ327687:BGQ327710</xm:sqref>
        </x14:dataValidation>
        <x14:dataValidation type="list" allowBlank="1" showInputMessage="1" showErrorMessage="1" xr:uid="{DC46228D-A7E0-4D97-9C7C-717E5D01F927}">
          <x14:formula1>
            <xm:f>項目!C17:$BQE$327681</xm:f>
          </x14:formula1>
          <xm:sqref>BQM327687:BQM327710</xm:sqref>
        </x14:dataValidation>
        <x14:dataValidation type="list" allowBlank="1" showInputMessage="1" showErrorMessage="1" xr:uid="{AF7B3A22-8611-4520-82C8-9369FCBF90E6}">
          <x14:formula1>
            <xm:f>項目!C17:$CAA$327681</xm:f>
          </x14:formula1>
          <xm:sqref>CAI327687:CAI327710</xm:sqref>
        </x14:dataValidation>
        <x14:dataValidation type="list" allowBlank="1" showInputMessage="1" showErrorMessage="1" xr:uid="{8310E2A7-3A82-427A-954F-EC3010106087}">
          <x14:formula1>
            <xm:f>項目!C17:$CJW$327681</xm:f>
          </x14:formula1>
          <xm:sqref>CKE327687:CKE327710</xm:sqref>
        </x14:dataValidation>
        <x14:dataValidation type="list" allowBlank="1" showInputMessage="1" showErrorMessage="1" xr:uid="{3DFA70F7-2752-45CF-996F-BE2D3CF455DD}">
          <x14:formula1>
            <xm:f>項目!C17:$CTS$327681</xm:f>
          </x14:formula1>
          <xm:sqref>CUA327687:CUA327710</xm:sqref>
        </x14:dataValidation>
        <x14:dataValidation type="list" allowBlank="1" showInputMessage="1" showErrorMessage="1" xr:uid="{59471B07-0D27-4867-B914-E4CA247A5F3B}">
          <x14:formula1>
            <xm:f>項目!C17:$DDO$327681</xm:f>
          </x14:formula1>
          <xm:sqref>DDW327687:DDW327710</xm:sqref>
        </x14:dataValidation>
        <x14:dataValidation type="list" allowBlank="1" showInputMessage="1" showErrorMessage="1" xr:uid="{12F4123B-F171-4B7B-B289-EB57614F56FC}">
          <x14:formula1>
            <xm:f>項目!C17:$DNK$327681</xm:f>
          </x14:formula1>
          <xm:sqref>DNS327687:DNS327710</xm:sqref>
        </x14:dataValidation>
        <x14:dataValidation type="list" allowBlank="1" showInputMessage="1" showErrorMessage="1" xr:uid="{D132D68A-9074-4A12-8F5A-0116E63AD174}">
          <x14:formula1>
            <xm:f>項目!C17:$DXG$327681</xm:f>
          </x14:formula1>
          <xm:sqref>DXO327687:DXO327710</xm:sqref>
        </x14:dataValidation>
        <x14:dataValidation type="list" allowBlank="1" showInputMessage="1" showErrorMessage="1" xr:uid="{2CB23BF8-F78B-4628-B820-A04B877D393B}">
          <x14:formula1>
            <xm:f>項目!C17:$EHC$327681</xm:f>
          </x14:formula1>
          <xm:sqref>EHK327687:EHK327710</xm:sqref>
        </x14:dataValidation>
        <x14:dataValidation type="list" allowBlank="1" showInputMessage="1" showErrorMessage="1" xr:uid="{85F581FF-D318-4833-8D7F-6F817F1B88EC}">
          <x14:formula1>
            <xm:f>項目!C17:$EQY$327681</xm:f>
          </x14:formula1>
          <xm:sqref>ERG327687:ERG327710</xm:sqref>
        </x14:dataValidation>
        <x14:dataValidation type="list" allowBlank="1" showInputMessage="1" showErrorMessage="1" xr:uid="{22EDACC2-9E1C-4B63-B9D7-D9802CD449D8}">
          <x14:formula1>
            <xm:f>項目!C17:$FAU$327681</xm:f>
          </x14:formula1>
          <xm:sqref>FBC327687:FBC327710</xm:sqref>
        </x14:dataValidation>
        <x14:dataValidation type="list" allowBlank="1" showInputMessage="1" showErrorMessage="1" xr:uid="{DF510FA4-4472-4925-A351-0EDF51D57431}">
          <x14:formula1>
            <xm:f>項目!C17:$FKQ$327681</xm:f>
          </x14:formula1>
          <xm:sqref>FKY327687:FKY327710</xm:sqref>
        </x14:dataValidation>
        <x14:dataValidation type="list" allowBlank="1" showInputMessage="1" showErrorMessage="1" xr:uid="{CA695F8E-002A-43CF-B460-13568A1391B3}">
          <x14:formula1>
            <xm:f>項目!C17:$FUM$327681</xm:f>
          </x14:formula1>
          <xm:sqref>FUU327687:FUU327710</xm:sqref>
        </x14:dataValidation>
        <x14:dataValidation type="list" allowBlank="1" showInputMessage="1" showErrorMessage="1" xr:uid="{578A3E52-29C0-47D1-9643-1BBF029CD771}">
          <x14:formula1>
            <xm:f>項目!C17:$GEI$327681</xm:f>
          </x14:formula1>
          <xm:sqref>GEQ327687:GEQ327710</xm:sqref>
        </x14:dataValidation>
        <x14:dataValidation type="list" allowBlank="1" showInputMessage="1" showErrorMessage="1" xr:uid="{F523518C-4E2A-4738-9E92-DF87EB0FF0D6}">
          <x14:formula1>
            <xm:f>項目!C17:$GOE$327681</xm:f>
          </x14:formula1>
          <xm:sqref>GOM327687:GOM327710</xm:sqref>
        </x14:dataValidation>
        <x14:dataValidation type="list" allowBlank="1" showInputMessage="1" showErrorMessage="1" xr:uid="{BB6F1808-F387-4A25-80DE-EC56AB0255A7}">
          <x14:formula1>
            <xm:f>項目!C17:$GYA$327681</xm:f>
          </x14:formula1>
          <xm:sqref>GYI327687:GYI327710</xm:sqref>
        </x14:dataValidation>
        <x14:dataValidation type="list" allowBlank="1" showInputMessage="1" showErrorMessage="1" xr:uid="{72C73943-6573-457B-9208-4A61C7F4D891}">
          <x14:formula1>
            <xm:f>項目!C17:$HHW$327681</xm:f>
          </x14:formula1>
          <xm:sqref>HIE327687:HIE327710</xm:sqref>
        </x14:dataValidation>
        <x14:dataValidation type="list" allowBlank="1" showInputMessage="1" showErrorMessage="1" xr:uid="{C5DED718-599B-4AC3-851C-EF07E5CD6C14}">
          <x14:formula1>
            <xm:f>項目!C17:$HRS$327681</xm:f>
          </x14:formula1>
          <xm:sqref>HSA327687:HSA327710</xm:sqref>
        </x14:dataValidation>
        <x14:dataValidation type="list" allowBlank="1" showInputMessage="1" showErrorMessage="1" xr:uid="{785D444B-AB19-43B2-87EB-F15A7A12CC54}">
          <x14:formula1>
            <xm:f>項目!C17:$IBO$327681</xm:f>
          </x14:formula1>
          <xm:sqref>IBW327687:IBW327710</xm:sqref>
        </x14:dataValidation>
        <x14:dataValidation type="list" allowBlank="1" showInputMessage="1" showErrorMessage="1" xr:uid="{C0B91A8B-0E0B-4B2D-9DB3-BC2F0EF844E1}">
          <x14:formula1>
            <xm:f>項目!C17:$ILK$327681</xm:f>
          </x14:formula1>
          <xm:sqref>ILS327687:ILS327710</xm:sqref>
        </x14:dataValidation>
        <x14:dataValidation type="list" allowBlank="1" showInputMessage="1" showErrorMessage="1" xr:uid="{257F0F90-7853-4337-8D22-CFB26603B214}">
          <x14:formula1>
            <xm:f>項目!C17:$IVG$327681</xm:f>
          </x14:formula1>
          <xm:sqref>IVO327687:IVO327710</xm:sqref>
        </x14:dataValidation>
        <x14:dataValidation type="list" allowBlank="1" showInputMessage="1" showErrorMessage="1" xr:uid="{AC7559E5-744C-4E6B-88BA-990A068AAE10}">
          <x14:formula1>
            <xm:f>項目!C17:$JFC$327681</xm:f>
          </x14:formula1>
          <xm:sqref>JFK327687:JFK327710</xm:sqref>
        </x14:dataValidation>
        <x14:dataValidation type="list" allowBlank="1" showInputMessage="1" showErrorMessage="1" xr:uid="{70741E7E-C2E1-4A93-AEA3-37AE759C856F}">
          <x14:formula1>
            <xm:f>項目!C17:$JOY$327681</xm:f>
          </x14:formula1>
          <xm:sqref>JPG327687:JPG327710</xm:sqref>
        </x14:dataValidation>
        <x14:dataValidation type="list" allowBlank="1" showInputMessage="1" showErrorMessage="1" xr:uid="{093746C2-1803-42B9-A878-EE17A9795B51}">
          <x14:formula1>
            <xm:f>項目!C17:$JYU$327681</xm:f>
          </x14:formula1>
          <xm:sqref>JZC327687:JZC327710</xm:sqref>
        </x14:dataValidation>
        <x14:dataValidation type="list" allowBlank="1" showInputMessage="1" showErrorMessage="1" xr:uid="{F07ED56A-ECD3-4D61-A6F7-238151CC3ADB}">
          <x14:formula1>
            <xm:f>項目!C17:$KIQ$327681</xm:f>
          </x14:formula1>
          <xm:sqref>KIY327687:KIY327710</xm:sqref>
        </x14:dataValidation>
        <x14:dataValidation type="list" allowBlank="1" showInputMessage="1" showErrorMessage="1" xr:uid="{A19A6EBC-4CCD-41F3-9852-2A7C83EAFE31}">
          <x14:formula1>
            <xm:f>項目!C17:$KSM$327681</xm:f>
          </x14:formula1>
          <xm:sqref>KSU327687:KSU327710</xm:sqref>
        </x14:dataValidation>
        <x14:dataValidation type="list" allowBlank="1" showInputMessage="1" showErrorMessage="1" xr:uid="{92F87014-F551-49DF-BF29-C57EC3C02B80}">
          <x14:formula1>
            <xm:f>項目!C17:$LCI$327681</xm:f>
          </x14:formula1>
          <xm:sqref>LCQ327687:LCQ327710</xm:sqref>
        </x14:dataValidation>
        <x14:dataValidation type="list" allowBlank="1" showInputMessage="1" showErrorMessage="1" xr:uid="{96781048-C4C2-49A6-B8AB-AE0DAFC86EB2}">
          <x14:formula1>
            <xm:f>項目!C17:$LME$327681</xm:f>
          </x14:formula1>
          <xm:sqref>LMM327687:LMM327710</xm:sqref>
        </x14:dataValidation>
        <x14:dataValidation type="list" allowBlank="1" showInputMessage="1" showErrorMessage="1" xr:uid="{B48678C9-C4AD-45A5-842D-DEFC7C11675A}">
          <x14:formula1>
            <xm:f>項目!C17:$LWA$327681</xm:f>
          </x14:formula1>
          <xm:sqref>LWI327687:LWI327710</xm:sqref>
        </x14:dataValidation>
        <x14:dataValidation type="list" allowBlank="1" showInputMessage="1" showErrorMessage="1" xr:uid="{E6819A31-717E-4A58-A544-0F703D042E08}">
          <x14:formula1>
            <xm:f>項目!C17:$MFW$327681</xm:f>
          </x14:formula1>
          <xm:sqref>MGE327687:MGE327710</xm:sqref>
        </x14:dataValidation>
        <x14:dataValidation type="list" allowBlank="1" showInputMessage="1" showErrorMessage="1" xr:uid="{0810F8EE-5098-440C-9B92-71E37010AE9B}">
          <x14:formula1>
            <xm:f>項目!C17:$MPS$327681</xm:f>
          </x14:formula1>
          <xm:sqref>MQA327687:MQA327710</xm:sqref>
        </x14:dataValidation>
        <x14:dataValidation type="list" allowBlank="1" showInputMessage="1" showErrorMessage="1" xr:uid="{B73F2E5B-9AC5-4EC7-A406-7C163F019C95}">
          <x14:formula1>
            <xm:f>項目!C17:$MZO$327681</xm:f>
          </x14:formula1>
          <xm:sqref>MZW327687:MZW327710</xm:sqref>
        </x14:dataValidation>
        <x14:dataValidation type="list" allowBlank="1" showInputMessage="1" showErrorMessage="1" xr:uid="{3E1C2A70-861A-4241-9576-009FFC0D7783}">
          <x14:formula1>
            <xm:f>項目!C17:$NJK$327681</xm:f>
          </x14:formula1>
          <xm:sqref>NJS327687:NJS327710</xm:sqref>
        </x14:dataValidation>
        <x14:dataValidation type="list" allowBlank="1" showInputMessage="1" showErrorMessage="1" xr:uid="{1631E930-0CA6-4FD1-8521-0329EC552A55}">
          <x14:formula1>
            <xm:f>項目!C17:$NTG$327681</xm:f>
          </x14:formula1>
          <xm:sqref>NTO327687:NTO327710</xm:sqref>
        </x14:dataValidation>
        <x14:dataValidation type="list" allowBlank="1" showInputMessage="1" showErrorMessage="1" xr:uid="{AFA1A1BA-3A8E-4E3F-9771-1023B141D5E6}">
          <x14:formula1>
            <xm:f>項目!C17:$ODC$327681</xm:f>
          </x14:formula1>
          <xm:sqref>ODK327687:ODK327710</xm:sqref>
        </x14:dataValidation>
        <x14:dataValidation type="list" allowBlank="1" showInputMessage="1" showErrorMessage="1" xr:uid="{0EE0F149-7E56-4F7C-8E3C-D510518CD72A}">
          <x14:formula1>
            <xm:f>項目!C17:$OMY$327681</xm:f>
          </x14:formula1>
          <xm:sqref>ONG327687:ONG327710</xm:sqref>
        </x14:dataValidation>
        <x14:dataValidation type="list" allowBlank="1" showInputMessage="1" showErrorMessage="1" xr:uid="{51967900-9704-42CE-9CF4-B86D45EE82DD}">
          <x14:formula1>
            <xm:f>項目!C17:$OWU$327681</xm:f>
          </x14:formula1>
          <xm:sqref>OXC327687:OXC327710</xm:sqref>
        </x14:dataValidation>
        <x14:dataValidation type="list" allowBlank="1" showInputMessage="1" showErrorMessage="1" xr:uid="{16CE4B87-9C5D-4BBD-BDF6-5A9E3DFDFF52}">
          <x14:formula1>
            <xm:f>項目!C17:$PGQ$327681</xm:f>
          </x14:formula1>
          <xm:sqref>PGY327687:PGY327710</xm:sqref>
        </x14:dataValidation>
        <x14:dataValidation type="list" allowBlank="1" showInputMessage="1" showErrorMessage="1" xr:uid="{5F0F1E0C-9E3B-43A1-A7A4-6A55A7D0100E}">
          <x14:formula1>
            <xm:f>項目!C17:$PQM$327681</xm:f>
          </x14:formula1>
          <xm:sqref>PQU327687:PQU327710</xm:sqref>
        </x14:dataValidation>
        <x14:dataValidation type="list" allowBlank="1" showInputMessage="1" showErrorMessage="1" xr:uid="{F49080DB-BDF7-4A44-9E0B-8D6444DF7935}">
          <x14:formula1>
            <xm:f>項目!C17:$QAI$327681</xm:f>
          </x14:formula1>
          <xm:sqref>QAQ327687:QAQ327710</xm:sqref>
        </x14:dataValidation>
        <x14:dataValidation type="list" allowBlank="1" showInputMessage="1" showErrorMessage="1" xr:uid="{FDEE2A6A-FC5A-41F2-A42B-8A5C28E30018}">
          <x14:formula1>
            <xm:f>項目!C17:$QKE$327681</xm:f>
          </x14:formula1>
          <xm:sqref>QKM327687:QKM327710</xm:sqref>
        </x14:dataValidation>
        <x14:dataValidation type="list" allowBlank="1" showInputMessage="1" showErrorMessage="1" xr:uid="{0DEBF70C-A76C-41CE-A245-ED0A11A98229}">
          <x14:formula1>
            <xm:f>項目!C17:$QUA$327681</xm:f>
          </x14:formula1>
          <xm:sqref>QUI327687:QUI327710</xm:sqref>
        </x14:dataValidation>
        <x14:dataValidation type="list" allowBlank="1" showInputMessage="1" showErrorMessage="1" xr:uid="{BD9CBFB2-5942-4B32-9E4B-35E947CC4374}">
          <x14:formula1>
            <xm:f>項目!C17:$RDW$327681</xm:f>
          </x14:formula1>
          <xm:sqref>REE327687:REE327710</xm:sqref>
        </x14:dataValidation>
        <x14:dataValidation type="list" allowBlank="1" showInputMessage="1" showErrorMessage="1" xr:uid="{74416BE8-64D6-4CD1-A29A-E63587C2F918}">
          <x14:formula1>
            <xm:f>項目!C17:$RNS$327681</xm:f>
          </x14:formula1>
          <xm:sqref>ROA327687:ROA327710</xm:sqref>
        </x14:dataValidation>
        <x14:dataValidation type="list" allowBlank="1" showInputMessage="1" showErrorMessage="1" xr:uid="{6A29F905-7EC4-4BE8-9D04-46D5D59E01D0}">
          <x14:formula1>
            <xm:f>項目!C17:$RXO$327681</xm:f>
          </x14:formula1>
          <xm:sqref>RXW327687:RXW327710</xm:sqref>
        </x14:dataValidation>
        <x14:dataValidation type="list" allowBlank="1" showInputMessage="1" showErrorMessage="1" xr:uid="{7582E453-CE4F-477C-B95D-1C4B3F487CCB}">
          <x14:formula1>
            <xm:f>項目!C17:$SHK$327681</xm:f>
          </x14:formula1>
          <xm:sqref>SHS327687:SHS327710</xm:sqref>
        </x14:dataValidation>
        <x14:dataValidation type="list" allowBlank="1" showInputMessage="1" showErrorMessage="1" xr:uid="{764885CD-89C3-481D-8245-3C54A6D6F27E}">
          <x14:formula1>
            <xm:f>項目!C17:$SRG$327681</xm:f>
          </x14:formula1>
          <xm:sqref>SRO327687:SRO327710</xm:sqref>
        </x14:dataValidation>
        <x14:dataValidation type="list" allowBlank="1" showInputMessage="1" showErrorMessage="1" xr:uid="{95256346-FFF1-47B1-8F3C-9B8F72A6553A}">
          <x14:formula1>
            <xm:f>項目!C17:$TBC$327681</xm:f>
          </x14:formula1>
          <xm:sqref>TBK327687:TBK327710</xm:sqref>
        </x14:dataValidation>
        <x14:dataValidation type="list" allowBlank="1" showInputMessage="1" showErrorMessage="1" xr:uid="{3789558D-5014-4991-9C1A-7ED5FD63C180}">
          <x14:formula1>
            <xm:f>項目!C17:$TKY$327681</xm:f>
          </x14:formula1>
          <xm:sqref>TLG327687:TLG327710</xm:sqref>
        </x14:dataValidation>
        <x14:dataValidation type="list" allowBlank="1" showInputMessage="1" showErrorMessage="1" xr:uid="{336F4C23-C2CA-40A6-B4A6-11CE81C32749}">
          <x14:formula1>
            <xm:f>項目!C17:$TUU$327681</xm:f>
          </x14:formula1>
          <xm:sqref>TVC327687:TVC327710</xm:sqref>
        </x14:dataValidation>
        <x14:dataValidation type="list" allowBlank="1" showInputMessage="1" showErrorMessage="1" xr:uid="{69F966A5-BC51-4C2C-800E-AA90BD2D9811}">
          <x14:formula1>
            <xm:f>項目!C17:$UEQ$327681</xm:f>
          </x14:formula1>
          <xm:sqref>UEY327687:UEY327710</xm:sqref>
        </x14:dataValidation>
        <x14:dataValidation type="list" allowBlank="1" showInputMessage="1" showErrorMessage="1" xr:uid="{F5F8A98C-A477-453B-8EC0-7C1CFE818174}">
          <x14:formula1>
            <xm:f>項目!C17:$UOM$327681</xm:f>
          </x14:formula1>
          <xm:sqref>UOU327687:UOU327710</xm:sqref>
        </x14:dataValidation>
        <x14:dataValidation type="list" allowBlank="1" showInputMessage="1" showErrorMessage="1" xr:uid="{F0F1055E-1D42-4D72-94FD-25AFE880029D}">
          <x14:formula1>
            <xm:f>項目!C17:$UYI$327681</xm:f>
          </x14:formula1>
          <xm:sqref>UYQ327687:UYQ327710</xm:sqref>
        </x14:dataValidation>
        <x14:dataValidation type="list" allowBlank="1" showInputMessage="1" showErrorMessage="1" xr:uid="{0057B697-63DD-4EAF-AF7D-70184BC0127B}">
          <x14:formula1>
            <xm:f>項目!C17:$VIE$327681</xm:f>
          </x14:formula1>
          <xm:sqref>VIM327687:VIM327710</xm:sqref>
        </x14:dataValidation>
        <x14:dataValidation type="list" allowBlank="1" showInputMessage="1" showErrorMessage="1" xr:uid="{EA0EE2F9-3F68-4F79-86DB-352CA561C590}">
          <x14:formula1>
            <xm:f>項目!C17:$VSA$327681</xm:f>
          </x14:formula1>
          <xm:sqref>VSI327687:VSI327710</xm:sqref>
        </x14:dataValidation>
        <x14:dataValidation type="list" allowBlank="1" showInputMessage="1" showErrorMessage="1" xr:uid="{7FBFD007-0537-4A44-8BBE-1B30B761ABB1}">
          <x14:formula1>
            <xm:f>項目!C17:$WBW$327681</xm:f>
          </x14:formula1>
          <xm:sqref>WCE327687:WCE327710</xm:sqref>
        </x14:dataValidation>
        <x14:dataValidation type="list" allowBlank="1" showInputMessage="1" showErrorMessage="1" xr:uid="{8066311A-0CEB-4E7D-9476-ABF52C8F76B9}">
          <x14:formula1>
            <xm:f>項目!C17:$WLS$327681</xm:f>
          </x14:formula1>
          <xm:sqref>WMA327687:WMA327710</xm:sqref>
        </x14:dataValidation>
        <x14:dataValidation type="list" allowBlank="1" showInputMessage="1" showErrorMessage="1" xr:uid="{CEC26294-7931-4876-B61E-45BAB815A64B}">
          <x14:formula1>
            <xm:f>項目!C17:$WVO$327681</xm:f>
          </x14:formula1>
          <xm:sqref>WVW327687:WVW327710</xm:sqref>
        </x14:dataValidation>
        <x14:dataValidation type="list" allowBlank="1" showInputMessage="1" showErrorMessage="1" xr:uid="{22782F80-84CA-4B92-8BD6-DABBBB344611}">
          <x14:formula1>
            <xm:f>項目!C17:$J$393217</xm:f>
          </x14:formula1>
          <xm:sqref>O393223:O393246</xm:sqref>
        </x14:dataValidation>
        <x14:dataValidation type="list" allowBlank="1" showInputMessage="1" showErrorMessage="1" xr:uid="{BFA55919-53A2-417A-8A8B-FD3B32F6EFB7}">
          <x14:formula1>
            <xm:f>項目!C17:$JC$393217</xm:f>
          </x14:formula1>
          <xm:sqref>JK393223:JK393246</xm:sqref>
        </x14:dataValidation>
        <x14:dataValidation type="list" allowBlank="1" showInputMessage="1" showErrorMessage="1" xr:uid="{558E2E10-70DC-43C1-BB33-FEA9636EA4D7}">
          <x14:formula1>
            <xm:f>項目!C17:$SY$393217</xm:f>
          </x14:formula1>
          <xm:sqref>TG393223:TG393246</xm:sqref>
        </x14:dataValidation>
        <x14:dataValidation type="list" allowBlank="1" showInputMessage="1" showErrorMessage="1" xr:uid="{47E976B9-9BBF-4DCF-AD8B-6945CC78AA57}">
          <x14:formula1>
            <xm:f>項目!C17:$ACU$393217</xm:f>
          </x14:formula1>
          <xm:sqref>ADC393223:ADC393246</xm:sqref>
        </x14:dataValidation>
        <x14:dataValidation type="list" allowBlank="1" showInputMessage="1" showErrorMessage="1" xr:uid="{61CEA261-F59E-4666-9237-AF693AE32B4E}">
          <x14:formula1>
            <xm:f>項目!C17:$AMQ$393217</xm:f>
          </x14:formula1>
          <xm:sqref>AMY393223:AMY393246</xm:sqref>
        </x14:dataValidation>
        <x14:dataValidation type="list" allowBlank="1" showInputMessage="1" showErrorMessage="1" xr:uid="{37EDF4F6-1F78-4DD5-A0D1-C158142B3D8B}">
          <x14:formula1>
            <xm:f>項目!C17:$AWM$393217</xm:f>
          </x14:formula1>
          <xm:sqref>AWU393223:AWU393246</xm:sqref>
        </x14:dataValidation>
        <x14:dataValidation type="list" allowBlank="1" showInputMessage="1" showErrorMessage="1" xr:uid="{F37F6672-ECF1-440E-B4A5-DC31EC7B7F72}">
          <x14:formula1>
            <xm:f>項目!C17:$BGI$393217</xm:f>
          </x14:formula1>
          <xm:sqref>BGQ393223:BGQ393246</xm:sqref>
        </x14:dataValidation>
        <x14:dataValidation type="list" allowBlank="1" showInputMessage="1" showErrorMessage="1" xr:uid="{DD554D31-0CEA-4073-A3DB-EE078307B180}">
          <x14:formula1>
            <xm:f>項目!C17:$BQE$393217</xm:f>
          </x14:formula1>
          <xm:sqref>BQM393223:BQM393246</xm:sqref>
        </x14:dataValidation>
        <x14:dataValidation type="list" allowBlank="1" showInputMessage="1" showErrorMessage="1" xr:uid="{14A21AA9-3AE2-4D83-BEDA-D45CA1FDAF4E}">
          <x14:formula1>
            <xm:f>項目!C17:$CAA$393217</xm:f>
          </x14:formula1>
          <xm:sqref>CAI393223:CAI393246</xm:sqref>
        </x14:dataValidation>
        <x14:dataValidation type="list" allowBlank="1" showInputMessage="1" showErrorMessage="1" xr:uid="{E09EA548-0C24-482E-8C2A-622DF2752DB2}">
          <x14:formula1>
            <xm:f>項目!C17:$CJW$393217</xm:f>
          </x14:formula1>
          <xm:sqref>CKE393223:CKE393246</xm:sqref>
        </x14:dataValidation>
        <x14:dataValidation type="list" allowBlank="1" showInputMessage="1" showErrorMessage="1" xr:uid="{33F98700-D24C-4E3D-8DDF-74EC4496AED9}">
          <x14:formula1>
            <xm:f>項目!C17:$CTS$393217</xm:f>
          </x14:formula1>
          <xm:sqref>CUA393223:CUA393246</xm:sqref>
        </x14:dataValidation>
        <x14:dataValidation type="list" allowBlank="1" showInputMessage="1" showErrorMessage="1" xr:uid="{A6499E61-583C-450F-8152-1E5151424296}">
          <x14:formula1>
            <xm:f>項目!C17:$DDO$393217</xm:f>
          </x14:formula1>
          <xm:sqref>DDW393223:DDW393246</xm:sqref>
        </x14:dataValidation>
        <x14:dataValidation type="list" allowBlank="1" showInputMessage="1" showErrorMessage="1" xr:uid="{4B4C0B3E-4E1A-4597-815A-9414A92178EB}">
          <x14:formula1>
            <xm:f>項目!C17:$DNK$393217</xm:f>
          </x14:formula1>
          <xm:sqref>DNS393223:DNS393246</xm:sqref>
        </x14:dataValidation>
        <x14:dataValidation type="list" allowBlank="1" showInputMessage="1" showErrorMessage="1" xr:uid="{D79CF365-2BC2-4882-80E7-D358772DC5B3}">
          <x14:formula1>
            <xm:f>項目!C17:$DXG$393217</xm:f>
          </x14:formula1>
          <xm:sqref>DXO393223:DXO393246</xm:sqref>
        </x14:dataValidation>
        <x14:dataValidation type="list" allowBlank="1" showInputMessage="1" showErrorMessage="1" xr:uid="{88C18791-CEAF-47FD-AA90-6F7D3283DCCC}">
          <x14:formula1>
            <xm:f>項目!C17:$EHC$393217</xm:f>
          </x14:formula1>
          <xm:sqref>EHK393223:EHK393246</xm:sqref>
        </x14:dataValidation>
        <x14:dataValidation type="list" allowBlank="1" showInputMessage="1" showErrorMessage="1" xr:uid="{5BD3440C-D904-4E1A-854A-3A2B5F18DE93}">
          <x14:formula1>
            <xm:f>項目!C17:$EQY$393217</xm:f>
          </x14:formula1>
          <xm:sqref>ERG393223:ERG393246</xm:sqref>
        </x14:dataValidation>
        <x14:dataValidation type="list" allowBlank="1" showInputMessage="1" showErrorMessage="1" xr:uid="{23F73B12-271C-4D1B-B202-AD2C7A58E2A2}">
          <x14:formula1>
            <xm:f>項目!C17:$FAU$393217</xm:f>
          </x14:formula1>
          <xm:sqref>FBC393223:FBC393246</xm:sqref>
        </x14:dataValidation>
        <x14:dataValidation type="list" allowBlank="1" showInputMessage="1" showErrorMessage="1" xr:uid="{BDE4EF04-81E5-43B8-8F0F-285A7D2753C1}">
          <x14:formula1>
            <xm:f>項目!C17:$FKQ$393217</xm:f>
          </x14:formula1>
          <xm:sqref>FKY393223:FKY393246</xm:sqref>
        </x14:dataValidation>
        <x14:dataValidation type="list" allowBlank="1" showInputMessage="1" showErrorMessage="1" xr:uid="{1F8ED6A6-1C2E-40A1-BEB6-72378301C441}">
          <x14:formula1>
            <xm:f>項目!C17:$FUM$393217</xm:f>
          </x14:formula1>
          <xm:sqref>FUU393223:FUU393246</xm:sqref>
        </x14:dataValidation>
        <x14:dataValidation type="list" allowBlank="1" showInputMessage="1" showErrorMessage="1" xr:uid="{E70D58FF-E3B3-424E-8FDB-F666E1E4FE3F}">
          <x14:formula1>
            <xm:f>項目!C17:$GEI$393217</xm:f>
          </x14:formula1>
          <xm:sqref>GEQ393223:GEQ393246</xm:sqref>
        </x14:dataValidation>
        <x14:dataValidation type="list" allowBlank="1" showInputMessage="1" showErrorMessage="1" xr:uid="{A8E43D30-33FA-4812-9A35-C70CE7A8629C}">
          <x14:formula1>
            <xm:f>項目!C17:$GOE$393217</xm:f>
          </x14:formula1>
          <xm:sqref>GOM393223:GOM393246</xm:sqref>
        </x14:dataValidation>
        <x14:dataValidation type="list" allowBlank="1" showInputMessage="1" showErrorMessage="1" xr:uid="{6376BADC-E509-49F2-BBA3-0DF4858A147C}">
          <x14:formula1>
            <xm:f>項目!C17:$GYA$393217</xm:f>
          </x14:formula1>
          <xm:sqref>GYI393223:GYI393246</xm:sqref>
        </x14:dataValidation>
        <x14:dataValidation type="list" allowBlank="1" showInputMessage="1" showErrorMessage="1" xr:uid="{E07C5A11-945B-4A77-99AD-AF03B56AC59A}">
          <x14:formula1>
            <xm:f>項目!C17:$HHW$393217</xm:f>
          </x14:formula1>
          <xm:sqref>HIE393223:HIE393246</xm:sqref>
        </x14:dataValidation>
        <x14:dataValidation type="list" allowBlank="1" showInputMessage="1" showErrorMessage="1" xr:uid="{E09A6593-1362-42DD-A22D-EA4FFACFD16D}">
          <x14:formula1>
            <xm:f>項目!C17:$HRS$393217</xm:f>
          </x14:formula1>
          <xm:sqref>HSA393223:HSA393246</xm:sqref>
        </x14:dataValidation>
        <x14:dataValidation type="list" allowBlank="1" showInputMessage="1" showErrorMessage="1" xr:uid="{9B522FA8-BBA2-4F9D-A33D-3D3CF2741903}">
          <x14:formula1>
            <xm:f>項目!C17:$IBO$393217</xm:f>
          </x14:formula1>
          <xm:sqref>IBW393223:IBW393246</xm:sqref>
        </x14:dataValidation>
        <x14:dataValidation type="list" allowBlank="1" showInputMessage="1" showErrorMessage="1" xr:uid="{4D44091A-8D69-4781-8EE6-949FCCACE06D}">
          <x14:formula1>
            <xm:f>項目!C17:$ILK$393217</xm:f>
          </x14:formula1>
          <xm:sqref>ILS393223:ILS393246</xm:sqref>
        </x14:dataValidation>
        <x14:dataValidation type="list" allowBlank="1" showInputMessage="1" showErrorMessage="1" xr:uid="{1B33D2AF-DAF9-4248-A0C1-DA7C1CB1B8A8}">
          <x14:formula1>
            <xm:f>項目!C17:$IVG$393217</xm:f>
          </x14:formula1>
          <xm:sqref>IVO393223:IVO393246</xm:sqref>
        </x14:dataValidation>
        <x14:dataValidation type="list" allowBlank="1" showInputMessage="1" showErrorMessage="1" xr:uid="{7CE045AE-3627-4B48-BF8C-16D3D2BCCE23}">
          <x14:formula1>
            <xm:f>項目!C17:$JFC$393217</xm:f>
          </x14:formula1>
          <xm:sqref>JFK393223:JFK393246</xm:sqref>
        </x14:dataValidation>
        <x14:dataValidation type="list" allowBlank="1" showInputMessage="1" showErrorMessage="1" xr:uid="{99955157-59F2-4790-BEA2-02FB2466EF4A}">
          <x14:formula1>
            <xm:f>項目!C17:$JOY$393217</xm:f>
          </x14:formula1>
          <xm:sqref>JPG393223:JPG393246</xm:sqref>
        </x14:dataValidation>
        <x14:dataValidation type="list" allowBlank="1" showInputMessage="1" showErrorMessage="1" xr:uid="{7020B170-4E22-4633-8BCB-DB6DB0EC5E4A}">
          <x14:formula1>
            <xm:f>項目!C17:$JYU$393217</xm:f>
          </x14:formula1>
          <xm:sqref>JZC393223:JZC393246</xm:sqref>
        </x14:dataValidation>
        <x14:dataValidation type="list" allowBlank="1" showInputMessage="1" showErrorMessage="1" xr:uid="{9EF75FFD-E9FB-4E2D-AD9A-7601CBDA4631}">
          <x14:formula1>
            <xm:f>項目!C17:$KIQ$393217</xm:f>
          </x14:formula1>
          <xm:sqref>KIY393223:KIY393246</xm:sqref>
        </x14:dataValidation>
        <x14:dataValidation type="list" allowBlank="1" showInputMessage="1" showErrorMessage="1" xr:uid="{BD69D1DC-CBA2-48A5-8B17-7755040C4C0C}">
          <x14:formula1>
            <xm:f>項目!C17:$KSM$393217</xm:f>
          </x14:formula1>
          <xm:sqref>KSU393223:KSU393246</xm:sqref>
        </x14:dataValidation>
        <x14:dataValidation type="list" allowBlank="1" showInputMessage="1" showErrorMessage="1" xr:uid="{1FEE6763-5914-4324-B2C1-7BEC348E77D8}">
          <x14:formula1>
            <xm:f>項目!C17:$LCI$393217</xm:f>
          </x14:formula1>
          <xm:sqref>LCQ393223:LCQ393246</xm:sqref>
        </x14:dataValidation>
        <x14:dataValidation type="list" allowBlank="1" showInputMessage="1" showErrorMessage="1" xr:uid="{3AF6BFDF-16E0-4FFB-A349-52B22C1ECF63}">
          <x14:formula1>
            <xm:f>項目!C17:$LME$393217</xm:f>
          </x14:formula1>
          <xm:sqref>LMM393223:LMM393246</xm:sqref>
        </x14:dataValidation>
        <x14:dataValidation type="list" allowBlank="1" showInputMessage="1" showErrorMessage="1" xr:uid="{E2BFCBF5-113A-41C0-A0F3-CA02A8EBCADE}">
          <x14:formula1>
            <xm:f>項目!C17:$LWA$393217</xm:f>
          </x14:formula1>
          <xm:sqref>LWI393223:LWI393246</xm:sqref>
        </x14:dataValidation>
        <x14:dataValidation type="list" allowBlank="1" showInputMessage="1" showErrorMessage="1" xr:uid="{25F38CCC-836D-448B-8F8B-DEA07EA09720}">
          <x14:formula1>
            <xm:f>項目!C17:$MFW$393217</xm:f>
          </x14:formula1>
          <xm:sqref>MGE393223:MGE393246</xm:sqref>
        </x14:dataValidation>
        <x14:dataValidation type="list" allowBlank="1" showInputMessage="1" showErrorMessage="1" xr:uid="{6F6BF6B6-5306-414F-8672-8CFBD9E686DE}">
          <x14:formula1>
            <xm:f>項目!C17:$MPS$393217</xm:f>
          </x14:formula1>
          <xm:sqref>MQA393223:MQA393246</xm:sqref>
        </x14:dataValidation>
        <x14:dataValidation type="list" allowBlank="1" showInputMessage="1" showErrorMessage="1" xr:uid="{A4E076A7-2197-44CD-B426-5E22CF505EF2}">
          <x14:formula1>
            <xm:f>項目!C17:$MZO$393217</xm:f>
          </x14:formula1>
          <xm:sqref>MZW393223:MZW393246</xm:sqref>
        </x14:dataValidation>
        <x14:dataValidation type="list" allowBlank="1" showInputMessage="1" showErrorMessage="1" xr:uid="{C7052086-0B3F-42AF-A9FB-80F0DEDB9EC2}">
          <x14:formula1>
            <xm:f>項目!C17:$NJK$393217</xm:f>
          </x14:formula1>
          <xm:sqref>NJS393223:NJS393246</xm:sqref>
        </x14:dataValidation>
        <x14:dataValidation type="list" allowBlank="1" showInputMessage="1" showErrorMessage="1" xr:uid="{E2D0DF2E-F494-4643-B780-85277D6D445B}">
          <x14:formula1>
            <xm:f>項目!C17:$NTG$393217</xm:f>
          </x14:formula1>
          <xm:sqref>NTO393223:NTO393246</xm:sqref>
        </x14:dataValidation>
        <x14:dataValidation type="list" allowBlank="1" showInputMessage="1" showErrorMessage="1" xr:uid="{CE7BE979-525E-480E-A5C5-8CB76353BBEB}">
          <x14:formula1>
            <xm:f>項目!C17:$ODC$393217</xm:f>
          </x14:formula1>
          <xm:sqref>ODK393223:ODK393246</xm:sqref>
        </x14:dataValidation>
        <x14:dataValidation type="list" allowBlank="1" showInputMessage="1" showErrorMessage="1" xr:uid="{DA88F555-CEA3-4EDB-9BF1-B26CDCE0373D}">
          <x14:formula1>
            <xm:f>項目!C17:$OMY$393217</xm:f>
          </x14:formula1>
          <xm:sqref>ONG393223:ONG393246</xm:sqref>
        </x14:dataValidation>
        <x14:dataValidation type="list" allowBlank="1" showInputMessage="1" showErrorMessage="1" xr:uid="{0CA52C0A-3C06-48C0-B68D-7CAC299D0637}">
          <x14:formula1>
            <xm:f>項目!C17:$OWU$393217</xm:f>
          </x14:formula1>
          <xm:sqref>OXC393223:OXC393246</xm:sqref>
        </x14:dataValidation>
        <x14:dataValidation type="list" allowBlank="1" showInputMessage="1" showErrorMessage="1" xr:uid="{CA1D59DE-2419-4EC3-984C-9023E737A053}">
          <x14:formula1>
            <xm:f>項目!C17:$PGQ$393217</xm:f>
          </x14:formula1>
          <xm:sqref>PGY393223:PGY393246</xm:sqref>
        </x14:dataValidation>
        <x14:dataValidation type="list" allowBlank="1" showInputMessage="1" showErrorMessage="1" xr:uid="{BE6ECC49-63A6-4FEB-AB54-7CFE7004BFBF}">
          <x14:formula1>
            <xm:f>項目!C17:$PQM$393217</xm:f>
          </x14:formula1>
          <xm:sqref>PQU393223:PQU393246</xm:sqref>
        </x14:dataValidation>
        <x14:dataValidation type="list" allowBlank="1" showInputMessage="1" showErrorMessage="1" xr:uid="{B48383FD-A26D-4BE1-85AD-24AB153C0365}">
          <x14:formula1>
            <xm:f>項目!C17:$QAI$393217</xm:f>
          </x14:formula1>
          <xm:sqref>QAQ393223:QAQ393246</xm:sqref>
        </x14:dataValidation>
        <x14:dataValidation type="list" allowBlank="1" showInputMessage="1" showErrorMessage="1" xr:uid="{83A6D7B0-042B-407E-9B3A-50FDB2FAA0C5}">
          <x14:formula1>
            <xm:f>項目!C17:$QKE$393217</xm:f>
          </x14:formula1>
          <xm:sqref>QKM393223:QKM393246</xm:sqref>
        </x14:dataValidation>
        <x14:dataValidation type="list" allowBlank="1" showInputMessage="1" showErrorMessage="1" xr:uid="{DFB16E2C-FCF2-4D48-8D8F-BE55664E2E1F}">
          <x14:formula1>
            <xm:f>項目!C17:$QUA$393217</xm:f>
          </x14:formula1>
          <xm:sqref>QUI393223:QUI393246</xm:sqref>
        </x14:dataValidation>
        <x14:dataValidation type="list" allowBlank="1" showInputMessage="1" showErrorMessage="1" xr:uid="{DE06A3E4-D913-4147-ADD5-0336576BCC56}">
          <x14:formula1>
            <xm:f>項目!C17:$RDW$393217</xm:f>
          </x14:formula1>
          <xm:sqref>REE393223:REE393246</xm:sqref>
        </x14:dataValidation>
        <x14:dataValidation type="list" allowBlank="1" showInputMessage="1" showErrorMessage="1" xr:uid="{843C467C-728B-4B04-8B57-F5AFB693AD38}">
          <x14:formula1>
            <xm:f>項目!C17:$RNS$393217</xm:f>
          </x14:formula1>
          <xm:sqref>ROA393223:ROA393246</xm:sqref>
        </x14:dataValidation>
        <x14:dataValidation type="list" allowBlank="1" showInputMessage="1" showErrorMessage="1" xr:uid="{1CCECF6E-FECD-46D7-8808-6B27F3C045DD}">
          <x14:formula1>
            <xm:f>項目!C17:$RXO$393217</xm:f>
          </x14:formula1>
          <xm:sqref>RXW393223:RXW393246</xm:sqref>
        </x14:dataValidation>
        <x14:dataValidation type="list" allowBlank="1" showInputMessage="1" showErrorMessage="1" xr:uid="{75295AE2-418F-4C45-9B70-6DECED8773F5}">
          <x14:formula1>
            <xm:f>項目!C17:$SHK$393217</xm:f>
          </x14:formula1>
          <xm:sqref>SHS393223:SHS393246</xm:sqref>
        </x14:dataValidation>
        <x14:dataValidation type="list" allowBlank="1" showInputMessage="1" showErrorMessage="1" xr:uid="{579B6B92-E54D-4129-8713-AD00A8FF0807}">
          <x14:formula1>
            <xm:f>項目!C17:$SRG$393217</xm:f>
          </x14:formula1>
          <xm:sqref>SRO393223:SRO393246</xm:sqref>
        </x14:dataValidation>
        <x14:dataValidation type="list" allowBlank="1" showInputMessage="1" showErrorMessage="1" xr:uid="{F1591E80-1622-45F5-867E-55EB5D556ADB}">
          <x14:formula1>
            <xm:f>項目!C17:$TBC$393217</xm:f>
          </x14:formula1>
          <xm:sqref>TBK393223:TBK393246</xm:sqref>
        </x14:dataValidation>
        <x14:dataValidation type="list" allowBlank="1" showInputMessage="1" showErrorMessage="1" xr:uid="{A2155A2B-EF38-459D-828E-A549F271D7B6}">
          <x14:formula1>
            <xm:f>項目!C17:$TKY$393217</xm:f>
          </x14:formula1>
          <xm:sqref>TLG393223:TLG393246</xm:sqref>
        </x14:dataValidation>
        <x14:dataValidation type="list" allowBlank="1" showInputMessage="1" showErrorMessage="1" xr:uid="{F86E74FB-928E-44F1-982B-F33224F7DE46}">
          <x14:formula1>
            <xm:f>項目!C17:$TUU$393217</xm:f>
          </x14:formula1>
          <xm:sqref>TVC393223:TVC393246</xm:sqref>
        </x14:dataValidation>
        <x14:dataValidation type="list" allowBlank="1" showInputMessage="1" showErrorMessage="1" xr:uid="{2B157A0B-422F-4BC2-B504-203B0327A37E}">
          <x14:formula1>
            <xm:f>項目!C17:$UEQ$393217</xm:f>
          </x14:formula1>
          <xm:sqref>UEY393223:UEY393246</xm:sqref>
        </x14:dataValidation>
        <x14:dataValidation type="list" allowBlank="1" showInputMessage="1" showErrorMessage="1" xr:uid="{16B9626D-0EB1-4D67-BF3D-36C45166A201}">
          <x14:formula1>
            <xm:f>項目!C17:$UOM$393217</xm:f>
          </x14:formula1>
          <xm:sqref>UOU393223:UOU393246</xm:sqref>
        </x14:dataValidation>
        <x14:dataValidation type="list" allowBlank="1" showInputMessage="1" showErrorMessage="1" xr:uid="{6FF676C6-67C8-45AE-B894-AFD12806A6AA}">
          <x14:formula1>
            <xm:f>項目!C17:$UYI$393217</xm:f>
          </x14:formula1>
          <xm:sqref>UYQ393223:UYQ393246</xm:sqref>
        </x14:dataValidation>
        <x14:dataValidation type="list" allowBlank="1" showInputMessage="1" showErrorMessage="1" xr:uid="{10710494-1C70-4574-B055-64DF38CF6187}">
          <x14:formula1>
            <xm:f>項目!C17:$VIE$393217</xm:f>
          </x14:formula1>
          <xm:sqref>VIM393223:VIM393246</xm:sqref>
        </x14:dataValidation>
        <x14:dataValidation type="list" allowBlank="1" showInputMessage="1" showErrorMessage="1" xr:uid="{26251D85-D5EA-49AC-AF91-B56455A0F8AB}">
          <x14:formula1>
            <xm:f>項目!C17:$VSA$393217</xm:f>
          </x14:formula1>
          <xm:sqref>VSI393223:VSI393246</xm:sqref>
        </x14:dataValidation>
        <x14:dataValidation type="list" allowBlank="1" showInputMessage="1" showErrorMessage="1" xr:uid="{220DF40A-C3B7-465F-A7B6-A4BE7BCEAD8C}">
          <x14:formula1>
            <xm:f>項目!C17:$WBW$393217</xm:f>
          </x14:formula1>
          <xm:sqref>WCE393223:WCE393246</xm:sqref>
        </x14:dataValidation>
        <x14:dataValidation type="list" allowBlank="1" showInputMessage="1" showErrorMessage="1" xr:uid="{57BE191A-0E26-457A-A32C-5E9E78B1E456}">
          <x14:formula1>
            <xm:f>項目!C17:$WLS$393217</xm:f>
          </x14:formula1>
          <xm:sqref>WMA393223:WMA393246</xm:sqref>
        </x14:dataValidation>
        <x14:dataValidation type="list" allowBlank="1" showInputMessage="1" showErrorMessage="1" xr:uid="{B33D9F4C-7027-4AB9-AB77-878065159C27}">
          <x14:formula1>
            <xm:f>項目!C17:$WVO$393217</xm:f>
          </x14:formula1>
          <xm:sqref>WVW393223:WVW393246</xm:sqref>
        </x14:dataValidation>
        <x14:dataValidation type="list" allowBlank="1" showInputMessage="1" showErrorMessage="1" xr:uid="{14519D21-6B2D-4ECF-B66C-46C50543D459}">
          <x14:formula1>
            <xm:f>項目!C17:$J$458753</xm:f>
          </x14:formula1>
          <xm:sqref>O458759:O458782</xm:sqref>
        </x14:dataValidation>
        <x14:dataValidation type="list" allowBlank="1" showInputMessage="1" showErrorMessage="1" xr:uid="{F46DB759-EBBD-4F5C-9821-386EC65C37F3}">
          <x14:formula1>
            <xm:f>項目!C17:$JC$458753</xm:f>
          </x14:formula1>
          <xm:sqref>JK458759:JK458782</xm:sqref>
        </x14:dataValidation>
        <x14:dataValidation type="list" allowBlank="1" showInputMessage="1" showErrorMessage="1" xr:uid="{63A7F143-69D2-4338-8661-C809604BC937}">
          <x14:formula1>
            <xm:f>項目!C17:$SY$458753</xm:f>
          </x14:formula1>
          <xm:sqref>TG458759:TG458782</xm:sqref>
        </x14:dataValidation>
        <x14:dataValidation type="list" allowBlank="1" showInputMessage="1" showErrorMessage="1" xr:uid="{20284A42-65D1-4549-BFD7-87126334D059}">
          <x14:formula1>
            <xm:f>項目!C17:$ACU$458753</xm:f>
          </x14:formula1>
          <xm:sqref>ADC458759:ADC458782</xm:sqref>
        </x14:dataValidation>
        <x14:dataValidation type="list" allowBlank="1" showInputMessage="1" showErrorMessage="1" xr:uid="{0B2B4399-DB58-4576-B0A8-085A89963C82}">
          <x14:formula1>
            <xm:f>項目!C17:$AMQ$458753</xm:f>
          </x14:formula1>
          <xm:sqref>AMY458759:AMY458782</xm:sqref>
        </x14:dataValidation>
        <x14:dataValidation type="list" allowBlank="1" showInputMessage="1" showErrorMessage="1" xr:uid="{F32059B6-03EA-4143-A9F8-C3087EDCD197}">
          <x14:formula1>
            <xm:f>項目!C17:$AWM$458753</xm:f>
          </x14:formula1>
          <xm:sqref>AWU458759:AWU458782</xm:sqref>
        </x14:dataValidation>
        <x14:dataValidation type="list" allowBlank="1" showInputMessage="1" showErrorMessage="1" xr:uid="{C19BBC8A-4E05-4F9C-B741-649A379BBE71}">
          <x14:formula1>
            <xm:f>項目!C17:$BGI$458753</xm:f>
          </x14:formula1>
          <xm:sqref>BGQ458759:BGQ458782</xm:sqref>
        </x14:dataValidation>
        <x14:dataValidation type="list" allowBlank="1" showInputMessage="1" showErrorMessage="1" xr:uid="{83E6ADEA-FA35-4D06-815F-D6716B6440C8}">
          <x14:formula1>
            <xm:f>項目!C17:$BQE$458753</xm:f>
          </x14:formula1>
          <xm:sqref>BQM458759:BQM458782</xm:sqref>
        </x14:dataValidation>
        <x14:dataValidation type="list" allowBlank="1" showInputMessage="1" showErrorMessage="1" xr:uid="{E790612C-A2B2-40AE-8DF1-23CE2E16857A}">
          <x14:formula1>
            <xm:f>項目!C17:$CAA$458753</xm:f>
          </x14:formula1>
          <xm:sqref>CAI458759:CAI458782</xm:sqref>
        </x14:dataValidation>
        <x14:dataValidation type="list" allowBlank="1" showInputMessage="1" showErrorMessage="1" xr:uid="{88F3874B-F411-4D2D-9599-49776A0B5AE7}">
          <x14:formula1>
            <xm:f>項目!C17:$CJW$458753</xm:f>
          </x14:formula1>
          <xm:sqref>CKE458759:CKE458782</xm:sqref>
        </x14:dataValidation>
        <x14:dataValidation type="list" allowBlank="1" showInputMessage="1" showErrorMessage="1" xr:uid="{80ED7861-1C37-4677-A9A4-B39AB8EA363F}">
          <x14:formula1>
            <xm:f>項目!C17:$CTS$458753</xm:f>
          </x14:formula1>
          <xm:sqref>CUA458759:CUA458782</xm:sqref>
        </x14:dataValidation>
        <x14:dataValidation type="list" allowBlank="1" showInputMessage="1" showErrorMessage="1" xr:uid="{622D0DB5-7F59-460F-BA5F-F114902F2F86}">
          <x14:formula1>
            <xm:f>項目!C17:$DDO$458753</xm:f>
          </x14:formula1>
          <xm:sqref>DDW458759:DDW458782</xm:sqref>
        </x14:dataValidation>
        <x14:dataValidation type="list" allowBlank="1" showInputMessage="1" showErrorMessage="1" xr:uid="{9E020CAB-E79B-4493-95A1-6EA0E30FA3B6}">
          <x14:formula1>
            <xm:f>項目!C17:$DNK$458753</xm:f>
          </x14:formula1>
          <xm:sqref>DNS458759:DNS458782</xm:sqref>
        </x14:dataValidation>
        <x14:dataValidation type="list" allowBlank="1" showInputMessage="1" showErrorMessage="1" xr:uid="{99149273-3823-4CAC-ABEE-D750628D6059}">
          <x14:formula1>
            <xm:f>項目!C17:$DXG$458753</xm:f>
          </x14:formula1>
          <xm:sqref>DXO458759:DXO458782</xm:sqref>
        </x14:dataValidation>
        <x14:dataValidation type="list" allowBlank="1" showInputMessage="1" showErrorMessage="1" xr:uid="{41060C81-BD9F-4F5D-ADB6-729D81FFA83D}">
          <x14:formula1>
            <xm:f>項目!C17:$EHC$458753</xm:f>
          </x14:formula1>
          <xm:sqref>EHK458759:EHK458782</xm:sqref>
        </x14:dataValidation>
        <x14:dataValidation type="list" allowBlank="1" showInputMessage="1" showErrorMessage="1" xr:uid="{E5A43878-29A1-4CCA-8405-B6709A85D9CC}">
          <x14:formula1>
            <xm:f>項目!C17:$EQY$458753</xm:f>
          </x14:formula1>
          <xm:sqref>ERG458759:ERG458782</xm:sqref>
        </x14:dataValidation>
        <x14:dataValidation type="list" allowBlank="1" showInputMessage="1" showErrorMessage="1" xr:uid="{7B332042-4F85-4E43-B36B-92B6D2D7EFE0}">
          <x14:formula1>
            <xm:f>項目!C17:$FAU$458753</xm:f>
          </x14:formula1>
          <xm:sqref>FBC458759:FBC458782</xm:sqref>
        </x14:dataValidation>
        <x14:dataValidation type="list" allowBlank="1" showInputMessage="1" showErrorMessage="1" xr:uid="{76DF9733-4109-40F6-AE4F-A0BB374DDD6D}">
          <x14:formula1>
            <xm:f>項目!C17:$FKQ$458753</xm:f>
          </x14:formula1>
          <xm:sqref>FKY458759:FKY458782</xm:sqref>
        </x14:dataValidation>
        <x14:dataValidation type="list" allowBlank="1" showInputMessage="1" showErrorMessage="1" xr:uid="{BEEB09CB-7C0C-45CA-9914-E22E5930D180}">
          <x14:formula1>
            <xm:f>項目!C17:$FUM$458753</xm:f>
          </x14:formula1>
          <xm:sqref>FUU458759:FUU458782</xm:sqref>
        </x14:dataValidation>
        <x14:dataValidation type="list" allowBlank="1" showInputMessage="1" showErrorMessage="1" xr:uid="{1FDC9579-B4AC-4ED6-921C-072828B956F0}">
          <x14:formula1>
            <xm:f>項目!C17:$GEI$458753</xm:f>
          </x14:formula1>
          <xm:sqref>GEQ458759:GEQ458782</xm:sqref>
        </x14:dataValidation>
        <x14:dataValidation type="list" allowBlank="1" showInputMessage="1" showErrorMessage="1" xr:uid="{500ACCF2-97AF-4B9B-A5F7-5D62C2B83580}">
          <x14:formula1>
            <xm:f>項目!C17:$GOE$458753</xm:f>
          </x14:formula1>
          <xm:sqref>GOM458759:GOM458782</xm:sqref>
        </x14:dataValidation>
        <x14:dataValidation type="list" allowBlank="1" showInputMessage="1" showErrorMessage="1" xr:uid="{4E03A0B9-B602-449C-96DC-3DC278C5CFB1}">
          <x14:formula1>
            <xm:f>項目!C17:$GYA$458753</xm:f>
          </x14:formula1>
          <xm:sqref>GYI458759:GYI458782</xm:sqref>
        </x14:dataValidation>
        <x14:dataValidation type="list" allowBlank="1" showInputMessage="1" showErrorMessage="1" xr:uid="{A51B71B5-EEB2-432E-8C10-F536F3888DE0}">
          <x14:formula1>
            <xm:f>項目!C17:$HHW$458753</xm:f>
          </x14:formula1>
          <xm:sqref>HIE458759:HIE458782</xm:sqref>
        </x14:dataValidation>
        <x14:dataValidation type="list" allowBlank="1" showInputMessage="1" showErrorMessage="1" xr:uid="{1546439B-FBEC-4480-A52A-EA320837E345}">
          <x14:formula1>
            <xm:f>項目!C17:$HRS$458753</xm:f>
          </x14:formula1>
          <xm:sqref>HSA458759:HSA458782</xm:sqref>
        </x14:dataValidation>
        <x14:dataValidation type="list" allowBlank="1" showInputMessage="1" showErrorMessage="1" xr:uid="{4CEE9ADE-AAB7-49E0-812F-A27D7FC9A1FE}">
          <x14:formula1>
            <xm:f>項目!C17:$IBO$458753</xm:f>
          </x14:formula1>
          <xm:sqref>IBW458759:IBW458782</xm:sqref>
        </x14:dataValidation>
        <x14:dataValidation type="list" allowBlank="1" showInputMessage="1" showErrorMessage="1" xr:uid="{9D0BB172-472E-4799-B005-5B13A769EA29}">
          <x14:formula1>
            <xm:f>項目!C17:$ILK$458753</xm:f>
          </x14:formula1>
          <xm:sqref>ILS458759:ILS458782</xm:sqref>
        </x14:dataValidation>
        <x14:dataValidation type="list" allowBlank="1" showInputMessage="1" showErrorMessage="1" xr:uid="{77FC2516-0A05-45B0-90E1-F84B3BF6EC25}">
          <x14:formula1>
            <xm:f>項目!C17:$IVG$458753</xm:f>
          </x14:formula1>
          <xm:sqref>IVO458759:IVO458782</xm:sqref>
        </x14:dataValidation>
        <x14:dataValidation type="list" allowBlank="1" showInputMessage="1" showErrorMessage="1" xr:uid="{E0E8CF4F-C29C-4209-865D-5F103E03FB8A}">
          <x14:formula1>
            <xm:f>項目!C17:$JFC$458753</xm:f>
          </x14:formula1>
          <xm:sqref>JFK458759:JFK458782</xm:sqref>
        </x14:dataValidation>
        <x14:dataValidation type="list" allowBlank="1" showInputMessage="1" showErrorMessage="1" xr:uid="{F6D1849B-41FC-4FFD-BD66-9AB0E6C560D9}">
          <x14:formula1>
            <xm:f>項目!C17:$JOY$458753</xm:f>
          </x14:formula1>
          <xm:sqref>JPG458759:JPG458782</xm:sqref>
        </x14:dataValidation>
        <x14:dataValidation type="list" allowBlank="1" showInputMessage="1" showErrorMessage="1" xr:uid="{3C5DEEAE-D481-4670-99E6-36F691CFB5AE}">
          <x14:formula1>
            <xm:f>項目!C17:$JYU$458753</xm:f>
          </x14:formula1>
          <xm:sqref>JZC458759:JZC458782</xm:sqref>
        </x14:dataValidation>
        <x14:dataValidation type="list" allowBlank="1" showInputMessage="1" showErrorMessage="1" xr:uid="{08B4420C-053B-43BA-91A7-6E3F232A0489}">
          <x14:formula1>
            <xm:f>項目!C17:$KIQ$458753</xm:f>
          </x14:formula1>
          <xm:sqref>KIY458759:KIY458782</xm:sqref>
        </x14:dataValidation>
        <x14:dataValidation type="list" allowBlank="1" showInputMessage="1" showErrorMessage="1" xr:uid="{B6F566A2-5749-4C65-91EC-9CCA01F3FB75}">
          <x14:formula1>
            <xm:f>項目!C17:$KSM$458753</xm:f>
          </x14:formula1>
          <xm:sqref>KSU458759:KSU458782</xm:sqref>
        </x14:dataValidation>
        <x14:dataValidation type="list" allowBlank="1" showInputMessage="1" showErrorMessage="1" xr:uid="{5AF12188-0389-412D-A48F-082F9DF239F8}">
          <x14:formula1>
            <xm:f>項目!C17:$LCI$458753</xm:f>
          </x14:formula1>
          <xm:sqref>LCQ458759:LCQ458782</xm:sqref>
        </x14:dataValidation>
        <x14:dataValidation type="list" allowBlank="1" showInputMessage="1" showErrorMessage="1" xr:uid="{F240F7BF-2C1C-4081-9680-16DF983C8F6C}">
          <x14:formula1>
            <xm:f>項目!C17:$LME$458753</xm:f>
          </x14:formula1>
          <xm:sqref>LMM458759:LMM458782</xm:sqref>
        </x14:dataValidation>
        <x14:dataValidation type="list" allowBlank="1" showInputMessage="1" showErrorMessage="1" xr:uid="{38BDA7F7-F3B7-4E28-9B0F-777CE715892B}">
          <x14:formula1>
            <xm:f>項目!C17:$LWA$458753</xm:f>
          </x14:formula1>
          <xm:sqref>LWI458759:LWI458782</xm:sqref>
        </x14:dataValidation>
        <x14:dataValidation type="list" allowBlank="1" showInputMessage="1" showErrorMessage="1" xr:uid="{588C21A7-72AD-4211-AA7A-243E8CE0C55A}">
          <x14:formula1>
            <xm:f>項目!C17:$MFW$458753</xm:f>
          </x14:formula1>
          <xm:sqref>MGE458759:MGE458782</xm:sqref>
        </x14:dataValidation>
        <x14:dataValidation type="list" allowBlank="1" showInputMessage="1" showErrorMessage="1" xr:uid="{38AA70D9-A4B7-468E-BB13-F1118C10F47E}">
          <x14:formula1>
            <xm:f>項目!C17:$MPS$458753</xm:f>
          </x14:formula1>
          <xm:sqref>MQA458759:MQA458782</xm:sqref>
        </x14:dataValidation>
        <x14:dataValidation type="list" allowBlank="1" showInputMessage="1" showErrorMessage="1" xr:uid="{199C4F49-CE04-4029-A873-232372526627}">
          <x14:formula1>
            <xm:f>項目!C17:$MZO$458753</xm:f>
          </x14:formula1>
          <xm:sqref>MZW458759:MZW458782</xm:sqref>
        </x14:dataValidation>
        <x14:dataValidation type="list" allowBlank="1" showInputMessage="1" showErrorMessage="1" xr:uid="{A7449463-B17A-46ED-AFB7-F0DC2FA6EF66}">
          <x14:formula1>
            <xm:f>項目!C17:$NJK$458753</xm:f>
          </x14:formula1>
          <xm:sqref>NJS458759:NJS458782</xm:sqref>
        </x14:dataValidation>
        <x14:dataValidation type="list" allowBlank="1" showInputMessage="1" showErrorMessage="1" xr:uid="{BE933A24-1DAE-4E47-84AE-8B4F21E9FB43}">
          <x14:formula1>
            <xm:f>項目!C17:$NTG$458753</xm:f>
          </x14:formula1>
          <xm:sqref>NTO458759:NTO458782</xm:sqref>
        </x14:dataValidation>
        <x14:dataValidation type="list" allowBlank="1" showInputMessage="1" showErrorMessage="1" xr:uid="{73A1E943-868F-4EAC-91B7-52B241B25CE8}">
          <x14:formula1>
            <xm:f>項目!C17:$ODC$458753</xm:f>
          </x14:formula1>
          <xm:sqref>ODK458759:ODK458782</xm:sqref>
        </x14:dataValidation>
        <x14:dataValidation type="list" allowBlank="1" showInputMessage="1" showErrorMessage="1" xr:uid="{A2CE8C94-776C-404F-BD41-554A89BD2986}">
          <x14:formula1>
            <xm:f>項目!C17:$OMY$458753</xm:f>
          </x14:formula1>
          <xm:sqref>ONG458759:ONG458782</xm:sqref>
        </x14:dataValidation>
        <x14:dataValidation type="list" allowBlank="1" showInputMessage="1" showErrorMessage="1" xr:uid="{746DF5EF-7069-4C4A-A013-49E54A813AE9}">
          <x14:formula1>
            <xm:f>項目!C17:$OWU$458753</xm:f>
          </x14:formula1>
          <xm:sqref>OXC458759:OXC458782</xm:sqref>
        </x14:dataValidation>
        <x14:dataValidation type="list" allowBlank="1" showInputMessage="1" showErrorMessage="1" xr:uid="{01886F31-13E6-43A1-89CE-EC7D7E9EA9A3}">
          <x14:formula1>
            <xm:f>項目!C17:$PGQ$458753</xm:f>
          </x14:formula1>
          <xm:sqref>PGY458759:PGY458782</xm:sqref>
        </x14:dataValidation>
        <x14:dataValidation type="list" allowBlank="1" showInputMessage="1" showErrorMessage="1" xr:uid="{6D96286A-1B51-4A94-8EC3-CA73209D839B}">
          <x14:formula1>
            <xm:f>項目!C17:$PQM$458753</xm:f>
          </x14:formula1>
          <xm:sqref>PQU458759:PQU458782</xm:sqref>
        </x14:dataValidation>
        <x14:dataValidation type="list" allowBlank="1" showInputMessage="1" showErrorMessage="1" xr:uid="{5A99C5C6-F26B-423E-886E-956AB8BBBA5C}">
          <x14:formula1>
            <xm:f>項目!C17:$QAI$458753</xm:f>
          </x14:formula1>
          <xm:sqref>QAQ458759:QAQ458782</xm:sqref>
        </x14:dataValidation>
        <x14:dataValidation type="list" allowBlank="1" showInputMessage="1" showErrorMessage="1" xr:uid="{ACA175D3-11A3-474A-ACC4-EE8B634ADAC1}">
          <x14:formula1>
            <xm:f>項目!C17:$QKE$458753</xm:f>
          </x14:formula1>
          <xm:sqref>QKM458759:QKM458782</xm:sqref>
        </x14:dataValidation>
        <x14:dataValidation type="list" allowBlank="1" showInputMessage="1" showErrorMessage="1" xr:uid="{57267E49-2141-4F8B-9AC9-28A00FC7683E}">
          <x14:formula1>
            <xm:f>項目!C17:$QUA$458753</xm:f>
          </x14:formula1>
          <xm:sqref>QUI458759:QUI458782</xm:sqref>
        </x14:dataValidation>
        <x14:dataValidation type="list" allowBlank="1" showInputMessage="1" showErrorMessage="1" xr:uid="{4A225471-A1E8-4B55-9306-EA7F0D0DA3AB}">
          <x14:formula1>
            <xm:f>項目!C17:$RDW$458753</xm:f>
          </x14:formula1>
          <xm:sqref>REE458759:REE458782</xm:sqref>
        </x14:dataValidation>
        <x14:dataValidation type="list" allowBlank="1" showInputMessage="1" showErrorMessage="1" xr:uid="{F0F56A50-BCB5-45A4-847B-F31E0F0186C3}">
          <x14:formula1>
            <xm:f>項目!C17:$RNS$458753</xm:f>
          </x14:formula1>
          <xm:sqref>ROA458759:ROA458782</xm:sqref>
        </x14:dataValidation>
        <x14:dataValidation type="list" allowBlank="1" showInputMessage="1" showErrorMessage="1" xr:uid="{70E2EAA3-9496-4FB7-B746-0D97DC8EFB8E}">
          <x14:formula1>
            <xm:f>項目!C17:$RXO$458753</xm:f>
          </x14:formula1>
          <xm:sqref>RXW458759:RXW458782</xm:sqref>
        </x14:dataValidation>
        <x14:dataValidation type="list" allowBlank="1" showInputMessage="1" showErrorMessage="1" xr:uid="{064F5554-61E6-48D3-A17A-0E4F515327FF}">
          <x14:formula1>
            <xm:f>項目!C17:$SHK$458753</xm:f>
          </x14:formula1>
          <xm:sqref>SHS458759:SHS458782</xm:sqref>
        </x14:dataValidation>
        <x14:dataValidation type="list" allowBlank="1" showInputMessage="1" showErrorMessage="1" xr:uid="{B6F30240-E9D8-45F4-97D0-AE0F2F042512}">
          <x14:formula1>
            <xm:f>項目!C17:$SRG$458753</xm:f>
          </x14:formula1>
          <xm:sqref>SRO458759:SRO458782</xm:sqref>
        </x14:dataValidation>
        <x14:dataValidation type="list" allowBlank="1" showInputMessage="1" showErrorMessage="1" xr:uid="{48B1CA84-03FC-4F87-BDA8-597394D8DBEF}">
          <x14:formula1>
            <xm:f>項目!C17:$TBC$458753</xm:f>
          </x14:formula1>
          <xm:sqref>TBK458759:TBK458782</xm:sqref>
        </x14:dataValidation>
        <x14:dataValidation type="list" allowBlank="1" showInputMessage="1" showErrorMessage="1" xr:uid="{226492D6-996F-4015-88AB-E6180973226D}">
          <x14:formula1>
            <xm:f>項目!C17:$TKY$458753</xm:f>
          </x14:formula1>
          <xm:sqref>TLG458759:TLG458782</xm:sqref>
        </x14:dataValidation>
        <x14:dataValidation type="list" allowBlank="1" showInputMessage="1" showErrorMessage="1" xr:uid="{4E865691-1A52-4B41-BCFF-9621438E2E20}">
          <x14:formula1>
            <xm:f>項目!C17:$TUU$458753</xm:f>
          </x14:formula1>
          <xm:sqref>TVC458759:TVC458782</xm:sqref>
        </x14:dataValidation>
        <x14:dataValidation type="list" allowBlank="1" showInputMessage="1" showErrorMessage="1" xr:uid="{2E348E42-22C5-47D5-B059-A37D74DFFEB1}">
          <x14:formula1>
            <xm:f>項目!C17:$UEQ$458753</xm:f>
          </x14:formula1>
          <xm:sqref>UEY458759:UEY458782</xm:sqref>
        </x14:dataValidation>
        <x14:dataValidation type="list" allowBlank="1" showInputMessage="1" showErrorMessage="1" xr:uid="{5C2AF571-84BB-41B4-948A-36784349F7BA}">
          <x14:formula1>
            <xm:f>項目!C17:$UOM$458753</xm:f>
          </x14:formula1>
          <xm:sqref>UOU458759:UOU458782</xm:sqref>
        </x14:dataValidation>
        <x14:dataValidation type="list" allowBlank="1" showInputMessage="1" showErrorMessage="1" xr:uid="{BBCF1E34-EF2F-4FE1-A02A-2280DCB02D32}">
          <x14:formula1>
            <xm:f>項目!C17:$UYI$458753</xm:f>
          </x14:formula1>
          <xm:sqref>UYQ458759:UYQ458782</xm:sqref>
        </x14:dataValidation>
        <x14:dataValidation type="list" allowBlank="1" showInputMessage="1" showErrorMessage="1" xr:uid="{BCBC227C-96A0-4A06-AD11-95A5AA347722}">
          <x14:formula1>
            <xm:f>項目!C17:$VIE$458753</xm:f>
          </x14:formula1>
          <xm:sqref>VIM458759:VIM458782</xm:sqref>
        </x14:dataValidation>
        <x14:dataValidation type="list" allowBlank="1" showInputMessage="1" showErrorMessage="1" xr:uid="{A8267C56-79D0-4C62-B3FB-4FDAF3EEC947}">
          <x14:formula1>
            <xm:f>項目!C17:$VSA$458753</xm:f>
          </x14:formula1>
          <xm:sqref>VSI458759:VSI458782</xm:sqref>
        </x14:dataValidation>
        <x14:dataValidation type="list" allowBlank="1" showInputMessage="1" showErrorMessage="1" xr:uid="{2EFE1092-DEE2-4C4B-988C-B86ECC8CBB63}">
          <x14:formula1>
            <xm:f>項目!C17:$WBW$458753</xm:f>
          </x14:formula1>
          <xm:sqref>WCE458759:WCE458782</xm:sqref>
        </x14:dataValidation>
        <x14:dataValidation type="list" allowBlank="1" showInputMessage="1" showErrorMessage="1" xr:uid="{514932E9-A453-41A9-96DA-4E8C576F6B2E}">
          <x14:formula1>
            <xm:f>項目!C17:$WLS$458753</xm:f>
          </x14:formula1>
          <xm:sqref>WMA458759:WMA458782</xm:sqref>
        </x14:dataValidation>
        <x14:dataValidation type="list" allowBlank="1" showInputMessage="1" showErrorMessage="1" xr:uid="{C61F36AD-B8A7-45EE-B868-5404F1625E48}">
          <x14:formula1>
            <xm:f>項目!C17:$WVO$458753</xm:f>
          </x14:formula1>
          <xm:sqref>WVW458759:WVW458782</xm:sqref>
        </x14:dataValidation>
        <x14:dataValidation type="list" allowBlank="1" showInputMessage="1" showErrorMessage="1" xr:uid="{707E7766-24DC-446F-9274-6F51F7F6C820}">
          <x14:formula1>
            <xm:f>項目!C17:$J$524289</xm:f>
          </x14:formula1>
          <xm:sqref>O524295:O524318</xm:sqref>
        </x14:dataValidation>
        <x14:dataValidation type="list" allowBlank="1" showInputMessage="1" showErrorMessage="1" xr:uid="{908E3F0D-B319-4E2D-8966-791DA774A6F5}">
          <x14:formula1>
            <xm:f>項目!C17:$JC$524289</xm:f>
          </x14:formula1>
          <xm:sqref>JK524295:JK524318</xm:sqref>
        </x14:dataValidation>
        <x14:dataValidation type="list" allowBlank="1" showInputMessage="1" showErrorMessage="1" xr:uid="{1BB5F1E0-0273-4C02-B1DE-0B22C1EDA147}">
          <x14:formula1>
            <xm:f>項目!C17:$SY$524289</xm:f>
          </x14:formula1>
          <xm:sqref>TG524295:TG524318</xm:sqref>
        </x14:dataValidation>
        <x14:dataValidation type="list" allowBlank="1" showInputMessage="1" showErrorMessage="1" xr:uid="{A5741CC7-D00C-4AB8-9E2F-D323EAC89E1F}">
          <x14:formula1>
            <xm:f>項目!C17:$ACU$524289</xm:f>
          </x14:formula1>
          <xm:sqref>ADC524295:ADC524318</xm:sqref>
        </x14:dataValidation>
        <x14:dataValidation type="list" allowBlank="1" showInputMessage="1" showErrorMessage="1" xr:uid="{F88585F6-EA20-415D-B7AF-DAEF561EDEE2}">
          <x14:formula1>
            <xm:f>項目!C17:$AMQ$524289</xm:f>
          </x14:formula1>
          <xm:sqref>AMY524295:AMY524318</xm:sqref>
        </x14:dataValidation>
        <x14:dataValidation type="list" allowBlank="1" showInputMessage="1" showErrorMessage="1" xr:uid="{26E83AF0-0AF7-45D1-A121-653D6590BA81}">
          <x14:formula1>
            <xm:f>項目!C17:$AWM$524289</xm:f>
          </x14:formula1>
          <xm:sqref>AWU524295:AWU524318</xm:sqref>
        </x14:dataValidation>
        <x14:dataValidation type="list" allowBlank="1" showInputMessage="1" showErrorMessage="1" xr:uid="{9DFC0F16-F266-4C82-A3E1-B0A2DF5BADCA}">
          <x14:formula1>
            <xm:f>項目!C17:$BGI$524289</xm:f>
          </x14:formula1>
          <xm:sqref>BGQ524295:BGQ524318</xm:sqref>
        </x14:dataValidation>
        <x14:dataValidation type="list" allowBlank="1" showInputMessage="1" showErrorMessage="1" xr:uid="{FA39A2AA-5B20-4757-B8AB-48A56C5110AF}">
          <x14:formula1>
            <xm:f>項目!C17:$BQE$524289</xm:f>
          </x14:formula1>
          <xm:sqref>BQM524295:BQM524318</xm:sqref>
        </x14:dataValidation>
        <x14:dataValidation type="list" allowBlank="1" showInputMessage="1" showErrorMessage="1" xr:uid="{17B089FA-C0BD-47E6-958A-E847BE954455}">
          <x14:formula1>
            <xm:f>項目!C17:$CAA$524289</xm:f>
          </x14:formula1>
          <xm:sqref>CAI524295:CAI524318</xm:sqref>
        </x14:dataValidation>
        <x14:dataValidation type="list" allowBlank="1" showInputMessage="1" showErrorMessage="1" xr:uid="{14E2A415-E9EA-4557-BCE6-8E55F93349D4}">
          <x14:formula1>
            <xm:f>項目!C17:$CJW$524289</xm:f>
          </x14:formula1>
          <xm:sqref>CKE524295:CKE524318</xm:sqref>
        </x14:dataValidation>
        <x14:dataValidation type="list" allowBlank="1" showInputMessage="1" showErrorMessage="1" xr:uid="{917D79E2-194A-46E0-A1C6-10DDCAA2F329}">
          <x14:formula1>
            <xm:f>項目!C17:$CTS$524289</xm:f>
          </x14:formula1>
          <xm:sqref>CUA524295:CUA524318</xm:sqref>
        </x14:dataValidation>
        <x14:dataValidation type="list" allowBlank="1" showInputMessage="1" showErrorMessage="1" xr:uid="{38A36E1A-EE5C-4232-B2A2-80EDB30BE35C}">
          <x14:formula1>
            <xm:f>項目!C17:$DDO$524289</xm:f>
          </x14:formula1>
          <xm:sqref>DDW524295:DDW524318</xm:sqref>
        </x14:dataValidation>
        <x14:dataValidation type="list" allowBlank="1" showInputMessage="1" showErrorMessage="1" xr:uid="{58BE3B5E-4CDF-4CCD-BD6B-7B8E4C1674B4}">
          <x14:formula1>
            <xm:f>項目!C17:$DNK$524289</xm:f>
          </x14:formula1>
          <xm:sqref>DNS524295:DNS524318</xm:sqref>
        </x14:dataValidation>
        <x14:dataValidation type="list" allowBlank="1" showInputMessage="1" showErrorMessage="1" xr:uid="{5D0462C0-AF70-4632-99C9-0DF4C097FCB4}">
          <x14:formula1>
            <xm:f>項目!C17:$DXG$524289</xm:f>
          </x14:formula1>
          <xm:sqref>DXO524295:DXO524318</xm:sqref>
        </x14:dataValidation>
        <x14:dataValidation type="list" allowBlank="1" showInputMessage="1" showErrorMessage="1" xr:uid="{1CDFD2FB-E94A-47BF-B08B-B980042B57E1}">
          <x14:formula1>
            <xm:f>項目!C17:$EHC$524289</xm:f>
          </x14:formula1>
          <xm:sqref>EHK524295:EHK524318</xm:sqref>
        </x14:dataValidation>
        <x14:dataValidation type="list" allowBlank="1" showInputMessage="1" showErrorMessage="1" xr:uid="{88F07420-0B00-4028-A727-2072557D3C8B}">
          <x14:formula1>
            <xm:f>項目!C17:$EQY$524289</xm:f>
          </x14:formula1>
          <xm:sqref>ERG524295:ERG524318</xm:sqref>
        </x14:dataValidation>
        <x14:dataValidation type="list" allowBlank="1" showInputMessage="1" showErrorMessage="1" xr:uid="{5CCE338E-C7FA-4317-974D-313941B88024}">
          <x14:formula1>
            <xm:f>項目!C17:$FAU$524289</xm:f>
          </x14:formula1>
          <xm:sqref>FBC524295:FBC524318</xm:sqref>
        </x14:dataValidation>
        <x14:dataValidation type="list" allowBlank="1" showInputMessage="1" showErrorMessage="1" xr:uid="{B0D79784-BCFD-4EF8-8988-5EF6A0935FA5}">
          <x14:formula1>
            <xm:f>項目!C17:$FKQ$524289</xm:f>
          </x14:formula1>
          <xm:sqref>FKY524295:FKY524318</xm:sqref>
        </x14:dataValidation>
        <x14:dataValidation type="list" allowBlank="1" showInputMessage="1" showErrorMessage="1" xr:uid="{8D301D94-724E-431F-A414-FDC802F47F99}">
          <x14:formula1>
            <xm:f>項目!C17:$FUM$524289</xm:f>
          </x14:formula1>
          <xm:sqref>FUU524295:FUU524318</xm:sqref>
        </x14:dataValidation>
        <x14:dataValidation type="list" allowBlank="1" showInputMessage="1" showErrorMessage="1" xr:uid="{BD0AFAE8-DED1-4929-B405-2C697595FAB1}">
          <x14:formula1>
            <xm:f>項目!C17:$GEI$524289</xm:f>
          </x14:formula1>
          <xm:sqref>GEQ524295:GEQ524318</xm:sqref>
        </x14:dataValidation>
        <x14:dataValidation type="list" allowBlank="1" showInputMessage="1" showErrorMessage="1" xr:uid="{6FC7DB14-24F0-4F73-ADF7-148183B08226}">
          <x14:formula1>
            <xm:f>項目!C17:$GOE$524289</xm:f>
          </x14:formula1>
          <xm:sqref>GOM524295:GOM524318</xm:sqref>
        </x14:dataValidation>
        <x14:dataValidation type="list" allowBlank="1" showInputMessage="1" showErrorMessage="1" xr:uid="{C7EF28F1-15CD-4CA9-8E07-0FF98BD14A65}">
          <x14:formula1>
            <xm:f>項目!C17:$GYA$524289</xm:f>
          </x14:formula1>
          <xm:sqref>GYI524295:GYI524318</xm:sqref>
        </x14:dataValidation>
        <x14:dataValidation type="list" allowBlank="1" showInputMessage="1" showErrorMessage="1" xr:uid="{23E59313-EFC6-41FF-B1E3-5250746C5B6D}">
          <x14:formula1>
            <xm:f>項目!C17:$HHW$524289</xm:f>
          </x14:formula1>
          <xm:sqref>HIE524295:HIE524318</xm:sqref>
        </x14:dataValidation>
        <x14:dataValidation type="list" allowBlank="1" showInputMessage="1" showErrorMessage="1" xr:uid="{575E4732-C8A5-45A3-A2AB-8332823053E3}">
          <x14:formula1>
            <xm:f>項目!C17:$HRS$524289</xm:f>
          </x14:formula1>
          <xm:sqref>HSA524295:HSA524318</xm:sqref>
        </x14:dataValidation>
        <x14:dataValidation type="list" allowBlank="1" showInputMessage="1" showErrorMessage="1" xr:uid="{15123C88-F47E-4E1D-9B77-FC5B122B7A73}">
          <x14:formula1>
            <xm:f>項目!C17:$IBO$524289</xm:f>
          </x14:formula1>
          <xm:sqref>IBW524295:IBW524318</xm:sqref>
        </x14:dataValidation>
        <x14:dataValidation type="list" allowBlank="1" showInputMessage="1" showErrorMessage="1" xr:uid="{7948B4C6-0267-4BAA-AC10-E588C02B6102}">
          <x14:formula1>
            <xm:f>項目!C17:$ILK$524289</xm:f>
          </x14:formula1>
          <xm:sqref>ILS524295:ILS524318</xm:sqref>
        </x14:dataValidation>
        <x14:dataValidation type="list" allowBlank="1" showInputMessage="1" showErrorMessage="1" xr:uid="{0E6A6588-3C0B-4EB2-A278-CBD59D313823}">
          <x14:formula1>
            <xm:f>項目!C17:$IVG$524289</xm:f>
          </x14:formula1>
          <xm:sqref>IVO524295:IVO524318</xm:sqref>
        </x14:dataValidation>
        <x14:dataValidation type="list" allowBlank="1" showInputMessage="1" showErrorMessage="1" xr:uid="{551949DC-EFAF-4E25-9797-B3D189B017A0}">
          <x14:formula1>
            <xm:f>項目!C17:$JFC$524289</xm:f>
          </x14:formula1>
          <xm:sqref>JFK524295:JFK524318</xm:sqref>
        </x14:dataValidation>
        <x14:dataValidation type="list" allowBlank="1" showInputMessage="1" showErrorMessage="1" xr:uid="{7DC5F077-CF00-4515-834F-B835DC8D1C20}">
          <x14:formula1>
            <xm:f>項目!C17:$JOY$524289</xm:f>
          </x14:formula1>
          <xm:sqref>JPG524295:JPG524318</xm:sqref>
        </x14:dataValidation>
        <x14:dataValidation type="list" allowBlank="1" showInputMessage="1" showErrorMessage="1" xr:uid="{C0737D48-43DB-4827-80C5-450DDCF8ACD1}">
          <x14:formula1>
            <xm:f>項目!C17:$JYU$524289</xm:f>
          </x14:formula1>
          <xm:sqref>JZC524295:JZC524318</xm:sqref>
        </x14:dataValidation>
        <x14:dataValidation type="list" allowBlank="1" showInputMessage="1" showErrorMessage="1" xr:uid="{84EB995E-8692-4D8F-8981-FA6EE6F17E69}">
          <x14:formula1>
            <xm:f>項目!C17:$KIQ$524289</xm:f>
          </x14:formula1>
          <xm:sqref>KIY524295:KIY524318</xm:sqref>
        </x14:dataValidation>
        <x14:dataValidation type="list" allowBlank="1" showInputMessage="1" showErrorMessage="1" xr:uid="{9591DFEC-85FD-48E8-842D-AA61D191343F}">
          <x14:formula1>
            <xm:f>項目!C17:$KSM$524289</xm:f>
          </x14:formula1>
          <xm:sqref>KSU524295:KSU524318</xm:sqref>
        </x14:dataValidation>
        <x14:dataValidation type="list" allowBlank="1" showInputMessage="1" showErrorMessage="1" xr:uid="{14836057-6EB2-4EA6-A751-3B59445252BC}">
          <x14:formula1>
            <xm:f>項目!C17:$LCI$524289</xm:f>
          </x14:formula1>
          <xm:sqref>LCQ524295:LCQ524318</xm:sqref>
        </x14:dataValidation>
        <x14:dataValidation type="list" allowBlank="1" showInputMessage="1" showErrorMessage="1" xr:uid="{B2A40689-0988-40F6-A31D-8E5680B357A9}">
          <x14:formula1>
            <xm:f>項目!C17:$LME$524289</xm:f>
          </x14:formula1>
          <xm:sqref>LMM524295:LMM524318</xm:sqref>
        </x14:dataValidation>
        <x14:dataValidation type="list" allowBlank="1" showInputMessage="1" showErrorMessage="1" xr:uid="{6F8F4993-608F-40F5-94D0-3B1F9C57687F}">
          <x14:formula1>
            <xm:f>項目!C17:$LWA$524289</xm:f>
          </x14:formula1>
          <xm:sqref>LWI524295:LWI524318</xm:sqref>
        </x14:dataValidation>
        <x14:dataValidation type="list" allowBlank="1" showInputMessage="1" showErrorMessage="1" xr:uid="{C11B1E59-E50F-4BB9-87B6-408324D551AA}">
          <x14:formula1>
            <xm:f>項目!C17:$MFW$524289</xm:f>
          </x14:formula1>
          <xm:sqref>MGE524295:MGE524318</xm:sqref>
        </x14:dataValidation>
        <x14:dataValidation type="list" allowBlank="1" showInputMessage="1" showErrorMessage="1" xr:uid="{307FAB26-B4C4-4E87-809C-E8000D49A081}">
          <x14:formula1>
            <xm:f>項目!C17:$MPS$524289</xm:f>
          </x14:formula1>
          <xm:sqref>MQA524295:MQA524318</xm:sqref>
        </x14:dataValidation>
        <x14:dataValidation type="list" allowBlank="1" showInputMessage="1" showErrorMessage="1" xr:uid="{FC8CA071-5957-4265-BE5E-B3D7C126FF9A}">
          <x14:formula1>
            <xm:f>項目!C17:$MZO$524289</xm:f>
          </x14:formula1>
          <xm:sqref>MZW524295:MZW524318</xm:sqref>
        </x14:dataValidation>
        <x14:dataValidation type="list" allowBlank="1" showInputMessage="1" showErrorMessage="1" xr:uid="{DCF6D33D-7AD4-424E-AC6D-A0EEBD85D306}">
          <x14:formula1>
            <xm:f>項目!C17:$NJK$524289</xm:f>
          </x14:formula1>
          <xm:sqref>NJS524295:NJS524318</xm:sqref>
        </x14:dataValidation>
        <x14:dataValidation type="list" allowBlank="1" showInputMessage="1" showErrorMessage="1" xr:uid="{7C8D3797-1BE6-4391-84C9-5B931EAE4200}">
          <x14:formula1>
            <xm:f>項目!C17:$NTG$524289</xm:f>
          </x14:formula1>
          <xm:sqref>NTO524295:NTO524318</xm:sqref>
        </x14:dataValidation>
        <x14:dataValidation type="list" allowBlank="1" showInputMessage="1" showErrorMessage="1" xr:uid="{72CF35AC-38BF-4E2D-8FC2-50B2A44C9384}">
          <x14:formula1>
            <xm:f>項目!C17:$ODC$524289</xm:f>
          </x14:formula1>
          <xm:sqref>ODK524295:ODK524318</xm:sqref>
        </x14:dataValidation>
        <x14:dataValidation type="list" allowBlank="1" showInputMessage="1" showErrorMessage="1" xr:uid="{6AAA9F42-9A66-4A24-9A38-6D143BE4C836}">
          <x14:formula1>
            <xm:f>項目!C17:$OMY$524289</xm:f>
          </x14:formula1>
          <xm:sqref>ONG524295:ONG524318</xm:sqref>
        </x14:dataValidation>
        <x14:dataValidation type="list" allowBlank="1" showInputMessage="1" showErrorMessage="1" xr:uid="{C0AB6416-C4C4-4696-B8FA-CF8799740DD8}">
          <x14:formula1>
            <xm:f>項目!C17:$OWU$524289</xm:f>
          </x14:formula1>
          <xm:sqref>OXC524295:OXC524318</xm:sqref>
        </x14:dataValidation>
        <x14:dataValidation type="list" allowBlank="1" showInputMessage="1" showErrorMessage="1" xr:uid="{55486807-2BB7-4F8E-BF7C-9EAAF804C650}">
          <x14:formula1>
            <xm:f>項目!C17:$PGQ$524289</xm:f>
          </x14:formula1>
          <xm:sqref>PGY524295:PGY524318</xm:sqref>
        </x14:dataValidation>
        <x14:dataValidation type="list" allowBlank="1" showInputMessage="1" showErrorMessage="1" xr:uid="{62C245BF-AEA3-47ED-A6CA-D5CE2587ADC0}">
          <x14:formula1>
            <xm:f>項目!C17:$PQM$524289</xm:f>
          </x14:formula1>
          <xm:sqref>PQU524295:PQU524318</xm:sqref>
        </x14:dataValidation>
        <x14:dataValidation type="list" allowBlank="1" showInputMessage="1" showErrorMessage="1" xr:uid="{233D1F62-0856-449E-9F43-3CADD124B897}">
          <x14:formula1>
            <xm:f>項目!C17:$QAI$524289</xm:f>
          </x14:formula1>
          <xm:sqref>QAQ524295:QAQ524318</xm:sqref>
        </x14:dataValidation>
        <x14:dataValidation type="list" allowBlank="1" showInputMessage="1" showErrorMessage="1" xr:uid="{C7F9C49F-42DC-4295-8F82-ACDC92F4FB59}">
          <x14:formula1>
            <xm:f>項目!C17:$QKE$524289</xm:f>
          </x14:formula1>
          <xm:sqref>QKM524295:QKM524318</xm:sqref>
        </x14:dataValidation>
        <x14:dataValidation type="list" allowBlank="1" showInputMessage="1" showErrorMessage="1" xr:uid="{B1387344-1C44-4FD9-84E8-34DEFF5C90DF}">
          <x14:formula1>
            <xm:f>項目!C17:$QUA$524289</xm:f>
          </x14:formula1>
          <xm:sqref>QUI524295:QUI524318</xm:sqref>
        </x14:dataValidation>
        <x14:dataValidation type="list" allowBlank="1" showInputMessage="1" showErrorMessage="1" xr:uid="{97D093E4-D8E6-4262-AADC-521958DD946E}">
          <x14:formula1>
            <xm:f>項目!C17:$RDW$524289</xm:f>
          </x14:formula1>
          <xm:sqref>REE524295:REE524318</xm:sqref>
        </x14:dataValidation>
        <x14:dataValidation type="list" allowBlank="1" showInputMessage="1" showErrorMessage="1" xr:uid="{B779E5E2-50D4-4457-A543-8A0F3775FE02}">
          <x14:formula1>
            <xm:f>項目!C17:$RNS$524289</xm:f>
          </x14:formula1>
          <xm:sqref>ROA524295:ROA524318</xm:sqref>
        </x14:dataValidation>
        <x14:dataValidation type="list" allowBlank="1" showInputMessage="1" showErrorMessage="1" xr:uid="{CCE0A994-95C3-4483-937A-25309723BBB0}">
          <x14:formula1>
            <xm:f>項目!C17:$RXO$524289</xm:f>
          </x14:formula1>
          <xm:sqref>RXW524295:RXW524318</xm:sqref>
        </x14:dataValidation>
        <x14:dataValidation type="list" allowBlank="1" showInputMessage="1" showErrorMessage="1" xr:uid="{F29020B9-169F-4025-98C6-7A05F47A69DF}">
          <x14:formula1>
            <xm:f>項目!C17:$SHK$524289</xm:f>
          </x14:formula1>
          <xm:sqref>SHS524295:SHS524318</xm:sqref>
        </x14:dataValidation>
        <x14:dataValidation type="list" allowBlank="1" showInputMessage="1" showErrorMessage="1" xr:uid="{7A7AE3AD-AAA6-4AAC-81C8-ACB6FCD4FB18}">
          <x14:formula1>
            <xm:f>項目!C17:$SRG$524289</xm:f>
          </x14:formula1>
          <xm:sqref>SRO524295:SRO524318</xm:sqref>
        </x14:dataValidation>
        <x14:dataValidation type="list" allowBlank="1" showInputMessage="1" showErrorMessage="1" xr:uid="{BDF05B82-E57C-4A4B-9D6A-08C83752241D}">
          <x14:formula1>
            <xm:f>項目!C17:$TBC$524289</xm:f>
          </x14:formula1>
          <xm:sqref>TBK524295:TBK524318</xm:sqref>
        </x14:dataValidation>
        <x14:dataValidation type="list" allowBlank="1" showInputMessage="1" showErrorMessage="1" xr:uid="{E8B9EB5D-A11C-4FD0-81FC-5252D1F15323}">
          <x14:formula1>
            <xm:f>項目!C17:$TKY$524289</xm:f>
          </x14:formula1>
          <xm:sqref>TLG524295:TLG524318</xm:sqref>
        </x14:dataValidation>
        <x14:dataValidation type="list" allowBlank="1" showInputMessage="1" showErrorMessage="1" xr:uid="{C1C799A8-DF43-42DC-8422-0FA2AD04CE2E}">
          <x14:formula1>
            <xm:f>項目!C17:$TUU$524289</xm:f>
          </x14:formula1>
          <xm:sqref>TVC524295:TVC524318</xm:sqref>
        </x14:dataValidation>
        <x14:dataValidation type="list" allowBlank="1" showInputMessage="1" showErrorMessage="1" xr:uid="{BD91ABAE-04A3-4B91-AE08-9C28BDA6CCDA}">
          <x14:formula1>
            <xm:f>項目!C17:$UEQ$524289</xm:f>
          </x14:formula1>
          <xm:sqref>UEY524295:UEY524318</xm:sqref>
        </x14:dataValidation>
        <x14:dataValidation type="list" allowBlank="1" showInputMessage="1" showErrorMessage="1" xr:uid="{1235E922-6016-4295-AE84-7E0F13194775}">
          <x14:formula1>
            <xm:f>項目!C17:$UOM$524289</xm:f>
          </x14:formula1>
          <xm:sqref>UOU524295:UOU524318</xm:sqref>
        </x14:dataValidation>
        <x14:dataValidation type="list" allowBlank="1" showInputMessage="1" showErrorMessage="1" xr:uid="{B5D76572-EA7C-4AD4-9213-4585326EBB46}">
          <x14:formula1>
            <xm:f>項目!C17:$UYI$524289</xm:f>
          </x14:formula1>
          <xm:sqref>UYQ524295:UYQ524318</xm:sqref>
        </x14:dataValidation>
        <x14:dataValidation type="list" allowBlank="1" showInputMessage="1" showErrorMessage="1" xr:uid="{A7BB1694-5FA5-451E-92B5-CDBD1EB8F5D5}">
          <x14:formula1>
            <xm:f>項目!C17:$VIE$524289</xm:f>
          </x14:formula1>
          <xm:sqref>VIM524295:VIM524318</xm:sqref>
        </x14:dataValidation>
        <x14:dataValidation type="list" allowBlank="1" showInputMessage="1" showErrorMessage="1" xr:uid="{EA190C66-330A-428F-860B-AB8B58AF0161}">
          <x14:formula1>
            <xm:f>項目!C17:$VSA$524289</xm:f>
          </x14:formula1>
          <xm:sqref>VSI524295:VSI524318</xm:sqref>
        </x14:dataValidation>
        <x14:dataValidation type="list" allowBlank="1" showInputMessage="1" showErrorMessage="1" xr:uid="{781BD019-60FA-460F-8716-FAD3ED008025}">
          <x14:formula1>
            <xm:f>項目!C17:$WBW$524289</xm:f>
          </x14:formula1>
          <xm:sqref>WCE524295:WCE524318</xm:sqref>
        </x14:dataValidation>
        <x14:dataValidation type="list" allowBlank="1" showInputMessage="1" showErrorMessage="1" xr:uid="{9098EA18-0F62-41A5-9681-441F08D1ED98}">
          <x14:formula1>
            <xm:f>項目!C17:$WLS$524289</xm:f>
          </x14:formula1>
          <xm:sqref>WMA524295:WMA524318</xm:sqref>
        </x14:dataValidation>
        <x14:dataValidation type="list" allowBlank="1" showInputMessage="1" showErrorMessage="1" xr:uid="{6113A8D3-CDF9-4AD2-9AFC-E55130A1AB8C}">
          <x14:formula1>
            <xm:f>項目!C17:$WVO$524289</xm:f>
          </x14:formula1>
          <xm:sqref>WVW524295:WVW524318</xm:sqref>
        </x14:dataValidation>
        <x14:dataValidation type="list" allowBlank="1" showInputMessage="1" showErrorMessage="1" xr:uid="{E5F535CD-72AF-47D5-B8C5-B04FEB2B5AD1}">
          <x14:formula1>
            <xm:f>項目!C17:$J$589825</xm:f>
          </x14:formula1>
          <xm:sqref>O589831:O589854</xm:sqref>
        </x14:dataValidation>
        <x14:dataValidation type="list" allowBlank="1" showInputMessage="1" showErrorMessage="1" xr:uid="{6F6CB04C-35C0-4DA8-BBAA-C64D63AA47E6}">
          <x14:formula1>
            <xm:f>項目!C17:$JC$589825</xm:f>
          </x14:formula1>
          <xm:sqref>JK589831:JK589854</xm:sqref>
        </x14:dataValidation>
        <x14:dataValidation type="list" allowBlank="1" showInputMessage="1" showErrorMessage="1" xr:uid="{D8ECE198-70EE-4C15-88AA-CFBA232ED0D8}">
          <x14:formula1>
            <xm:f>項目!C17:$SY$589825</xm:f>
          </x14:formula1>
          <xm:sqref>TG589831:TG589854</xm:sqref>
        </x14:dataValidation>
        <x14:dataValidation type="list" allowBlank="1" showInputMessage="1" showErrorMessage="1" xr:uid="{65C2AC5D-9511-4BF0-9AEF-0581D77B268D}">
          <x14:formula1>
            <xm:f>項目!C17:$ACU$589825</xm:f>
          </x14:formula1>
          <xm:sqref>ADC589831:ADC589854</xm:sqref>
        </x14:dataValidation>
        <x14:dataValidation type="list" allowBlank="1" showInputMessage="1" showErrorMessage="1" xr:uid="{C87995BF-5A04-43DF-9B0F-D04946AC6B81}">
          <x14:formula1>
            <xm:f>項目!C17:$AMQ$589825</xm:f>
          </x14:formula1>
          <xm:sqref>AMY589831:AMY589854</xm:sqref>
        </x14:dataValidation>
        <x14:dataValidation type="list" allowBlank="1" showInputMessage="1" showErrorMessage="1" xr:uid="{A82D720F-BCF0-4BB5-88EC-6D2A64F6C431}">
          <x14:formula1>
            <xm:f>項目!C17:$AWM$589825</xm:f>
          </x14:formula1>
          <xm:sqref>AWU589831:AWU589854</xm:sqref>
        </x14:dataValidation>
        <x14:dataValidation type="list" allowBlank="1" showInputMessage="1" showErrorMessage="1" xr:uid="{890EFBA9-C9FB-4965-8A12-424C2948E5B4}">
          <x14:formula1>
            <xm:f>項目!C17:$BGI$589825</xm:f>
          </x14:formula1>
          <xm:sqref>BGQ589831:BGQ589854</xm:sqref>
        </x14:dataValidation>
        <x14:dataValidation type="list" allowBlank="1" showInputMessage="1" showErrorMessage="1" xr:uid="{AE1CA227-3CB5-4EE1-9288-F042D8AA6306}">
          <x14:formula1>
            <xm:f>項目!C17:$BQE$589825</xm:f>
          </x14:formula1>
          <xm:sqref>BQM589831:BQM589854</xm:sqref>
        </x14:dataValidation>
        <x14:dataValidation type="list" allowBlank="1" showInputMessage="1" showErrorMessage="1" xr:uid="{45101F23-BB60-421A-A316-B2D23C43AF60}">
          <x14:formula1>
            <xm:f>項目!C17:$CAA$589825</xm:f>
          </x14:formula1>
          <xm:sqref>CAI589831:CAI589854</xm:sqref>
        </x14:dataValidation>
        <x14:dataValidation type="list" allowBlank="1" showInputMessage="1" showErrorMessage="1" xr:uid="{BB4DD10C-7666-469E-8892-C74B8E029B3D}">
          <x14:formula1>
            <xm:f>項目!C17:$CJW$589825</xm:f>
          </x14:formula1>
          <xm:sqref>CKE589831:CKE589854</xm:sqref>
        </x14:dataValidation>
        <x14:dataValidation type="list" allowBlank="1" showInputMessage="1" showErrorMessage="1" xr:uid="{0B1BD9AA-D73D-4F95-B0F1-E866D4427D3C}">
          <x14:formula1>
            <xm:f>項目!C17:$CTS$589825</xm:f>
          </x14:formula1>
          <xm:sqref>CUA589831:CUA589854</xm:sqref>
        </x14:dataValidation>
        <x14:dataValidation type="list" allowBlank="1" showInputMessage="1" showErrorMessage="1" xr:uid="{DD5C7D58-FAC3-4AA8-BCE3-AD1FE05784CE}">
          <x14:formula1>
            <xm:f>項目!C17:$DDO$589825</xm:f>
          </x14:formula1>
          <xm:sqref>DDW589831:DDW589854</xm:sqref>
        </x14:dataValidation>
        <x14:dataValidation type="list" allowBlank="1" showInputMessage="1" showErrorMessage="1" xr:uid="{59FC7E11-5E35-46F2-83CA-E845D89BC902}">
          <x14:formula1>
            <xm:f>項目!C17:$DNK$589825</xm:f>
          </x14:formula1>
          <xm:sqref>DNS589831:DNS589854</xm:sqref>
        </x14:dataValidation>
        <x14:dataValidation type="list" allowBlank="1" showInputMessage="1" showErrorMessage="1" xr:uid="{10BBDA76-9769-4676-9DE5-A955BECA665D}">
          <x14:formula1>
            <xm:f>項目!C17:$DXG$589825</xm:f>
          </x14:formula1>
          <xm:sqref>DXO589831:DXO589854</xm:sqref>
        </x14:dataValidation>
        <x14:dataValidation type="list" allowBlank="1" showInputMessage="1" showErrorMessage="1" xr:uid="{A9D07F25-DDB4-4105-A8D4-59661215ACDC}">
          <x14:formula1>
            <xm:f>項目!C17:$EHC$589825</xm:f>
          </x14:formula1>
          <xm:sqref>EHK589831:EHK589854</xm:sqref>
        </x14:dataValidation>
        <x14:dataValidation type="list" allowBlank="1" showInputMessage="1" showErrorMessage="1" xr:uid="{AACF1B67-4863-481E-9261-B74D3CE1DA5B}">
          <x14:formula1>
            <xm:f>項目!C17:$EQY$589825</xm:f>
          </x14:formula1>
          <xm:sqref>ERG589831:ERG589854</xm:sqref>
        </x14:dataValidation>
        <x14:dataValidation type="list" allowBlank="1" showInputMessage="1" showErrorMessage="1" xr:uid="{1C6BF1E2-80DF-4BDE-9B07-8F16258F008B}">
          <x14:formula1>
            <xm:f>項目!C17:$FAU$589825</xm:f>
          </x14:formula1>
          <xm:sqref>FBC589831:FBC589854</xm:sqref>
        </x14:dataValidation>
        <x14:dataValidation type="list" allowBlank="1" showInputMessage="1" showErrorMessage="1" xr:uid="{8C6892C5-89AC-4FD5-9376-960350E943AF}">
          <x14:formula1>
            <xm:f>項目!C17:$FKQ$589825</xm:f>
          </x14:formula1>
          <xm:sqref>FKY589831:FKY589854</xm:sqref>
        </x14:dataValidation>
        <x14:dataValidation type="list" allowBlank="1" showInputMessage="1" showErrorMessage="1" xr:uid="{28A47054-D925-4F97-AD38-18C642C36865}">
          <x14:formula1>
            <xm:f>項目!C17:$FUM$589825</xm:f>
          </x14:formula1>
          <xm:sqref>FUU589831:FUU589854</xm:sqref>
        </x14:dataValidation>
        <x14:dataValidation type="list" allowBlank="1" showInputMessage="1" showErrorMessage="1" xr:uid="{81F57F1C-74D2-47F7-A1DB-057D716A79F6}">
          <x14:formula1>
            <xm:f>項目!C17:$GEI$589825</xm:f>
          </x14:formula1>
          <xm:sqref>GEQ589831:GEQ589854</xm:sqref>
        </x14:dataValidation>
        <x14:dataValidation type="list" allowBlank="1" showInputMessage="1" showErrorMessage="1" xr:uid="{C53EAC9D-D664-4022-9B80-2D41F4E43547}">
          <x14:formula1>
            <xm:f>項目!C17:$GOE$589825</xm:f>
          </x14:formula1>
          <xm:sqref>GOM589831:GOM589854</xm:sqref>
        </x14:dataValidation>
        <x14:dataValidation type="list" allowBlank="1" showInputMessage="1" showErrorMessage="1" xr:uid="{8FC68FE6-E775-4F9D-828B-D81639434B44}">
          <x14:formula1>
            <xm:f>項目!C17:$GYA$589825</xm:f>
          </x14:formula1>
          <xm:sqref>GYI589831:GYI589854</xm:sqref>
        </x14:dataValidation>
        <x14:dataValidation type="list" allowBlank="1" showInputMessage="1" showErrorMessage="1" xr:uid="{A3A572B8-5FB3-4E04-A695-F4344F465225}">
          <x14:formula1>
            <xm:f>項目!C17:$HHW$589825</xm:f>
          </x14:formula1>
          <xm:sqref>HIE589831:HIE589854</xm:sqref>
        </x14:dataValidation>
        <x14:dataValidation type="list" allowBlank="1" showInputMessage="1" showErrorMessage="1" xr:uid="{3E6CA78E-CC2C-440C-9D46-F8766D96ADB9}">
          <x14:formula1>
            <xm:f>項目!C17:$HRS$589825</xm:f>
          </x14:formula1>
          <xm:sqref>HSA589831:HSA589854</xm:sqref>
        </x14:dataValidation>
        <x14:dataValidation type="list" allowBlank="1" showInputMessage="1" showErrorMessage="1" xr:uid="{B261DE4F-0A12-4F65-AC5F-02F936869C9D}">
          <x14:formula1>
            <xm:f>項目!C17:$IBO$589825</xm:f>
          </x14:formula1>
          <xm:sqref>IBW589831:IBW589854</xm:sqref>
        </x14:dataValidation>
        <x14:dataValidation type="list" allowBlank="1" showInputMessage="1" showErrorMessage="1" xr:uid="{FFA18978-E29A-4192-AA98-FDBB93F40452}">
          <x14:formula1>
            <xm:f>項目!C17:$ILK$589825</xm:f>
          </x14:formula1>
          <xm:sqref>ILS589831:ILS589854</xm:sqref>
        </x14:dataValidation>
        <x14:dataValidation type="list" allowBlank="1" showInputMessage="1" showErrorMessage="1" xr:uid="{ED066FF8-3E2E-49A1-8C6C-5AB173B6AE33}">
          <x14:formula1>
            <xm:f>項目!C17:$IVG$589825</xm:f>
          </x14:formula1>
          <xm:sqref>IVO589831:IVO589854</xm:sqref>
        </x14:dataValidation>
        <x14:dataValidation type="list" allowBlank="1" showInputMessage="1" showErrorMessage="1" xr:uid="{EE7346F5-DAEA-4CB5-B782-B4310E92732D}">
          <x14:formula1>
            <xm:f>項目!C17:$JFC$589825</xm:f>
          </x14:formula1>
          <xm:sqref>JFK589831:JFK589854</xm:sqref>
        </x14:dataValidation>
        <x14:dataValidation type="list" allowBlank="1" showInputMessage="1" showErrorMessage="1" xr:uid="{E17BA52A-1A8B-4845-9E74-1A7FBF89A054}">
          <x14:formula1>
            <xm:f>項目!C17:$JOY$589825</xm:f>
          </x14:formula1>
          <xm:sqref>JPG589831:JPG589854</xm:sqref>
        </x14:dataValidation>
        <x14:dataValidation type="list" allowBlank="1" showInputMessage="1" showErrorMessage="1" xr:uid="{E0E72089-586C-4E6E-A18B-F360D3E60BBC}">
          <x14:formula1>
            <xm:f>項目!C17:$JYU$589825</xm:f>
          </x14:formula1>
          <xm:sqref>JZC589831:JZC589854</xm:sqref>
        </x14:dataValidation>
        <x14:dataValidation type="list" allowBlank="1" showInputMessage="1" showErrorMessage="1" xr:uid="{44F10BAD-7AB4-4E92-ACC4-CE5F3EBDA93B}">
          <x14:formula1>
            <xm:f>項目!C17:$KIQ$589825</xm:f>
          </x14:formula1>
          <xm:sqref>KIY589831:KIY589854</xm:sqref>
        </x14:dataValidation>
        <x14:dataValidation type="list" allowBlank="1" showInputMessage="1" showErrorMessage="1" xr:uid="{BF8A7C12-C408-4974-8936-49FCD9D54CCD}">
          <x14:formula1>
            <xm:f>項目!C17:$KSM$589825</xm:f>
          </x14:formula1>
          <xm:sqref>KSU589831:KSU589854</xm:sqref>
        </x14:dataValidation>
        <x14:dataValidation type="list" allowBlank="1" showInputMessage="1" showErrorMessage="1" xr:uid="{383BB7A6-665E-4478-97BD-BA59F8A85A6F}">
          <x14:formula1>
            <xm:f>項目!C17:$LCI$589825</xm:f>
          </x14:formula1>
          <xm:sqref>LCQ589831:LCQ589854</xm:sqref>
        </x14:dataValidation>
        <x14:dataValidation type="list" allowBlank="1" showInputMessage="1" showErrorMessage="1" xr:uid="{31D33649-59D7-495E-ADD2-C73B4A3B923A}">
          <x14:formula1>
            <xm:f>項目!C17:$LME$589825</xm:f>
          </x14:formula1>
          <xm:sqref>LMM589831:LMM589854</xm:sqref>
        </x14:dataValidation>
        <x14:dataValidation type="list" allowBlank="1" showInputMessage="1" showErrorMessage="1" xr:uid="{8F06C443-75FF-4368-BB64-6D38BA87121E}">
          <x14:formula1>
            <xm:f>項目!C17:$LWA$589825</xm:f>
          </x14:formula1>
          <xm:sqref>LWI589831:LWI589854</xm:sqref>
        </x14:dataValidation>
        <x14:dataValidation type="list" allowBlank="1" showInputMessage="1" showErrorMessage="1" xr:uid="{29E84F11-3A87-4BA0-94FC-1E7204712CD3}">
          <x14:formula1>
            <xm:f>項目!C17:$MFW$589825</xm:f>
          </x14:formula1>
          <xm:sqref>MGE589831:MGE589854</xm:sqref>
        </x14:dataValidation>
        <x14:dataValidation type="list" allowBlank="1" showInputMessage="1" showErrorMessage="1" xr:uid="{2D96DF8D-7D94-44C9-9CDF-5332E4885851}">
          <x14:formula1>
            <xm:f>項目!C17:$MPS$589825</xm:f>
          </x14:formula1>
          <xm:sqref>MQA589831:MQA589854</xm:sqref>
        </x14:dataValidation>
        <x14:dataValidation type="list" allowBlank="1" showInputMessage="1" showErrorMessage="1" xr:uid="{7EA11F59-A1D1-474E-9742-1525BE848FE4}">
          <x14:formula1>
            <xm:f>項目!C17:$MZO$589825</xm:f>
          </x14:formula1>
          <xm:sqref>MZW589831:MZW589854</xm:sqref>
        </x14:dataValidation>
        <x14:dataValidation type="list" allowBlank="1" showInputMessage="1" showErrorMessage="1" xr:uid="{8319424E-BC83-4D0B-924F-CAC9B20C0697}">
          <x14:formula1>
            <xm:f>項目!C17:$NJK$589825</xm:f>
          </x14:formula1>
          <xm:sqref>NJS589831:NJS589854</xm:sqref>
        </x14:dataValidation>
        <x14:dataValidation type="list" allowBlank="1" showInputMessage="1" showErrorMessage="1" xr:uid="{A33FBFB9-0EBD-486F-98C5-67006EEAAD02}">
          <x14:formula1>
            <xm:f>項目!C17:$NTG$589825</xm:f>
          </x14:formula1>
          <xm:sqref>NTO589831:NTO589854</xm:sqref>
        </x14:dataValidation>
        <x14:dataValidation type="list" allowBlank="1" showInputMessage="1" showErrorMessage="1" xr:uid="{CEE70C4E-5D78-4015-9951-6B6B51D17BA3}">
          <x14:formula1>
            <xm:f>項目!C17:$ODC$589825</xm:f>
          </x14:formula1>
          <xm:sqref>ODK589831:ODK589854</xm:sqref>
        </x14:dataValidation>
        <x14:dataValidation type="list" allowBlank="1" showInputMessage="1" showErrorMessage="1" xr:uid="{62DC8471-13A7-4188-A1EE-58D358387D18}">
          <x14:formula1>
            <xm:f>項目!C17:$OMY$589825</xm:f>
          </x14:formula1>
          <xm:sqref>ONG589831:ONG589854</xm:sqref>
        </x14:dataValidation>
        <x14:dataValidation type="list" allowBlank="1" showInputMessage="1" showErrorMessage="1" xr:uid="{D46DFC07-C315-4C56-85E6-5C9D39BE7CBF}">
          <x14:formula1>
            <xm:f>項目!C17:$OWU$589825</xm:f>
          </x14:formula1>
          <xm:sqref>OXC589831:OXC589854</xm:sqref>
        </x14:dataValidation>
        <x14:dataValidation type="list" allowBlank="1" showInputMessage="1" showErrorMessage="1" xr:uid="{757B5091-5B3B-41EE-857E-FC83B8245D52}">
          <x14:formula1>
            <xm:f>項目!C17:$PGQ$589825</xm:f>
          </x14:formula1>
          <xm:sqref>PGY589831:PGY589854</xm:sqref>
        </x14:dataValidation>
        <x14:dataValidation type="list" allowBlank="1" showInputMessage="1" showErrorMessage="1" xr:uid="{94C819FC-5874-4A10-B484-A15D268A4D2B}">
          <x14:formula1>
            <xm:f>項目!C17:$PQM$589825</xm:f>
          </x14:formula1>
          <xm:sqref>PQU589831:PQU589854</xm:sqref>
        </x14:dataValidation>
        <x14:dataValidation type="list" allowBlank="1" showInputMessage="1" showErrorMessage="1" xr:uid="{1DFDC830-49DD-44E9-AA3D-770FC7687E58}">
          <x14:formula1>
            <xm:f>項目!C17:$QAI$589825</xm:f>
          </x14:formula1>
          <xm:sqref>QAQ589831:QAQ589854</xm:sqref>
        </x14:dataValidation>
        <x14:dataValidation type="list" allowBlank="1" showInputMessage="1" showErrorMessage="1" xr:uid="{F84B2199-85B9-4591-AE71-FD8FB27A7417}">
          <x14:formula1>
            <xm:f>項目!C17:$QKE$589825</xm:f>
          </x14:formula1>
          <xm:sqref>QKM589831:QKM589854</xm:sqref>
        </x14:dataValidation>
        <x14:dataValidation type="list" allowBlank="1" showInputMessage="1" showErrorMessage="1" xr:uid="{EBBB288B-10CA-48C7-A496-F5060277B080}">
          <x14:formula1>
            <xm:f>項目!C17:$QUA$589825</xm:f>
          </x14:formula1>
          <xm:sqref>QUI589831:QUI589854</xm:sqref>
        </x14:dataValidation>
        <x14:dataValidation type="list" allowBlank="1" showInputMessage="1" showErrorMessage="1" xr:uid="{40F22BFF-2CD3-476A-B931-FF80B80F9D7F}">
          <x14:formula1>
            <xm:f>項目!C17:$RDW$589825</xm:f>
          </x14:formula1>
          <xm:sqref>REE589831:REE589854</xm:sqref>
        </x14:dataValidation>
        <x14:dataValidation type="list" allowBlank="1" showInputMessage="1" showErrorMessage="1" xr:uid="{A955C698-13B6-4EDC-A899-B8C75EADE287}">
          <x14:formula1>
            <xm:f>項目!C17:$RNS$589825</xm:f>
          </x14:formula1>
          <xm:sqref>ROA589831:ROA589854</xm:sqref>
        </x14:dataValidation>
        <x14:dataValidation type="list" allowBlank="1" showInputMessage="1" showErrorMessage="1" xr:uid="{8DC02331-39F1-4A05-A1DE-58FA1007F9F3}">
          <x14:formula1>
            <xm:f>項目!C17:$RXO$589825</xm:f>
          </x14:formula1>
          <xm:sqref>RXW589831:RXW589854</xm:sqref>
        </x14:dataValidation>
        <x14:dataValidation type="list" allowBlank="1" showInputMessage="1" showErrorMessage="1" xr:uid="{CB3ABE96-D072-4556-81B6-4F4B4F3EA89B}">
          <x14:formula1>
            <xm:f>項目!C17:$SHK$589825</xm:f>
          </x14:formula1>
          <xm:sqref>SHS589831:SHS589854</xm:sqref>
        </x14:dataValidation>
        <x14:dataValidation type="list" allowBlank="1" showInputMessage="1" showErrorMessage="1" xr:uid="{5D607602-585B-40B5-A8A7-4ABB3051B6BA}">
          <x14:formula1>
            <xm:f>項目!C17:$SRG$589825</xm:f>
          </x14:formula1>
          <xm:sqref>SRO589831:SRO589854</xm:sqref>
        </x14:dataValidation>
        <x14:dataValidation type="list" allowBlank="1" showInputMessage="1" showErrorMessage="1" xr:uid="{BB9DB75B-2C27-4849-B1BE-1FEB28B4A8EF}">
          <x14:formula1>
            <xm:f>項目!C17:$TBC$589825</xm:f>
          </x14:formula1>
          <xm:sqref>TBK589831:TBK589854</xm:sqref>
        </x14:dataValidation>
        <x14:dataValidation type="list" allowBlank="1" showInputMessage="1" showErrorMessage="1" xr:uid="{E168EF2E-ED54-402F-AE71-9DEA4D773732}">
          <x14:formula1>
            <xm:f>項目!C17:$TKY$589825</xm:f>
          </x14:formula1>
          <xm:sqref>TLG589831:TLG589854</xm:sqref>
        </x14:dataValidation>
        <x14:dataValidation type="list" allowBlank="1" showInputMessage="1" showErrorMessage="1" xr:uid="{B489D4DB-3AEE-4E92-B25A-3A08712279E3}">
          <x14:formula1>
            <xm:f>項目!C17:$TUU$589825</xm:f>
          </x14:formula1>
          <xm:sqref>TVC589831:TVC589854</xm:sqref>
        </x14:dataValidation>
        <x14:dataValidation type="list" allowBlank="1" showInputMessage="1" showErrorMessage="1" xr:uid="{89E4B6BA-6578-4DC0-B778-E70103E88A7E}">
          <x14:formula1>
            <xm:f>項目!C17:$UEQ$589825</xm:f>
          </x14:formula1>
          <xm:sqref>UEY589831:UEY589854</xm:sqref>
        </x14:dataValidation>
        <x14:dataValidation type="list" allowBlank="1" showInputMessage="1" showErrorMessage="1" xr:uid="{52D550AD-219A-471E-95D7-C841D20C2255}">
          <x14:formula1>
            <xm:f>項目!C17:$UOM$589825</xm:f>
          </x14:formula1>
          <xm:sqref>UOU589831:UOU589854</xm:sqref>
        </x14:dataValidation>
        <x14:dataValidation type="list" allowBlank="1" showInputMessage="1" showErrorMessage="1" xr:uid="{AF50DA40-84F6-4FFF-97FF-DDD155BF3FA6}">
          <x14:formula1>
            <xm:f>項目!C17:$UYI$589825</xm:f>
          </x14:formula1>
          <xm:sqref>UYQ589831:UYQ589854</xm:sqref>
        </x14:dataValidation>
        <x14:dataValidation type="list" allowBlank="1" showInputMessage="1" showErrorMessage="1" xr:uid="{81541DFA-FEC3-44FE-8E10-31E32D79271D}">
          <x14:formula1>
            <xm:f>項目!C17:$VIE$589825</xm:f>
          </x14:formula1>
          <xm:sqref>VIM589831:VIM589854</xm:sqref>
        </x14:dataValidation>
        <x14:dataValidation type="list" allowBlank="1" showInputMessage="1" showErrorMessage="1" xr:uid="{E16989EB-6BA7-429A-968A-B9654DF73458}">
          <x14:formula1>
            <xm:f>項目!C17:$VSA$589825</xm:f>
          </x14:formula1>
          <xm:sqref>VSI589831:VSI589854</xm:sqref>
        </x14:dataValidation>
        <x14:dataValidation type="list" allowBlank="1" showInputMessage="1" showErrorMessage="1" xr:uid="{B575F83E-FC5D-4149-B9EC-E8C29DD9250F}">
          <x14:formula1>
            <xm:f>項目!C17:$WBW$589825</xm:f>
          </x14:formula1>
          <xm:sqref>WCE589831:WCE589854</xm:sqref>
        </x14:dataValidation>
        <x14:dataValidation type="list" allowBlank="1" showInputMessage="1" showErrorMessage="1" xr:uid="{297D2D1B-9676-430E-8F9B-534AE67AD756}">
          <x14:formula1>
            <xm:f>項目!C17:$WLS$589825</xm:f>
          </x14:formula1>
          <xm:sqref>WMA589831:WMA589854</xm:sqref>
        </x14:dataValidation>
        <x14:dataValidation type="list" allowBlank="1" showInputMessage="1" showErrorMessage="1" xr:uid="{4FE29DB5-5E25-480F-A084-2F884247A63A}">
          <x14:formula1>
            <xm:f>項目!C17:$WVO$589825</xm:f>
          </x14:formula1>
          <xm:sqref>WVW589831:WVW589854</xm:sqref>
        </x14:dataValidation>
        <x14:dataValidation type="list" allowBlank="1" showInputMessage="1" showErrorMessage="1" xr:uid="{F9094063-1E2F-49A2-9AF8-22BC2A1507E6}">
          <x14:formula1>
            <xm:f>項目!C17:$J$655361</xm:f>
          </x14:formula1>
          <xm:sqref>O655367:O655390</xm:sqref>
        </x14:dataValidation>
        <x14:dataValidation type="list" allowBlank="1" showInputMessage="1" showErrorMessage="1" xr:uid="{CE91C26F-B4E9-4802-9E00-B9192D19BF23}">
          <x14:formula1>
            <xm:f>項目!C17:$JC$655361</xm:f>
          </x14:formula1>
          <xm:sqref>JK655367:JK655390</xm:sqref>
        </x14:dataValidation>
        <x14:dataValidation type="list" allowBlank="1" showInputMessage="1" showErrorMessage="1" xr:uid="{649E1947-6748-406B-ACEA-083052ABB072}">
          <x14:formula1>
            <xm:f>項目!C17:$SY$655361</xm:f>
          </x14:formula1>
          <xm:sqref>TG655367:TG655390</xm:sqref>
        </x14:dataValidation>
        <x14:dataValidation type="list" allowBlank="1" showInputMessage="1" showErrorMessage="1" xr:uid="{8430FF8F-990F-4067-A8F5-DC394874ED95}">
          <x14:formula1>
            <xm:f>項目!C17:$ACU$655361</xm:f>
          </x14:formula1>
          <xm:sqref>ADC655367:ADC655390</xm:sqref>
        </x14:dataValidation>
        <x14:dataValidation type="list" allowBlank="1" showInputMessage="1" showErrorMessage="1" xr:uid="{ACD497AF-63C9-48DD-A8B3-E1276A6C159F}">
          <x14:formula1>
            <xm:f>項目!C17:$AMQ$655361</xm:f>
          </x14:formula1>
          <xm:sqref>AMY655367:AMY655390</xm:sqref>
        </x14:dataValidation>
        <x14:dataValidation type="list" allowBlank="1" showInputMessage="1" showErrorMessage="1" xr:uid="{E5CF24A2-2F88-4F26-B193-8885BE1844D5}">
          <x14:formula1>
            <xm:f>項目!C17:$AWM$655361</xm:f>
          </x14:formula1>
          <xm:sqref>AWU655367:AWU655390</xm:sqref>
        </x14:dataValidation>
        <x14:dataValidation type="list" allowBlank="1" showInputMessage="1" showErrorMessage="1" xr:uid="{750E4D63-2DBD-4D50-8257-8566B85CA559}">
          <x14:formula1>
            <xm:f>項目!C17:$BGI$655361</xm:f>
          </x14:formula1>
          <xm:sqref>BGQ655367:BGQ655390</xm:sqref>
        </x14:dataValidation>
        <x14:dataValidation type="list" allowBlank="1" showInputMessage="1" showErrorMessage="1" xr:uid="{5C7866EF-81AD-4AF5-BAD3-8279601697AE}">
          <x14:formula1>
            <xm:f>項目!C17:$BQE$655361</xm:f>
          </x14:formula1>
          <xm:sqref>BQM655367:BQM655390</xm:sqref>
        </x14:dataValidation>
        <x14:dataValidation type="list" allowBlank="1" showInputMessage="1" showErrorMessage="1" xr:uid="{DF57BAF7-C073-4E15-B62A-35B8B302C324}">
          <x14:formula1>
            <xm:f>項目!C17:$CAA$655361</xm:f>
          </x14:formula1>
          <xm:sqref>CAI655367:CAI655390</xm:sqref>
        </x14:dataValidation>
        <x14:dataValidation type="list" allowBlank="1" showInputMessage="1" showErrorMessage="1" xr:uid="{B30FD01A-88EB-4112-BEE2-C358F980FAF9}">
          <x14:formula1>
            <xm:f>項目!C17:$CJW$655361</xm:f>
          </x14:formula1>
          <xm:sqref>CKE655367:CKE655390</xm:sqref>
        </x14:dataValidation>
        <x14:dataValidation type="list" allowBlank="1" showInputMessage="1" showErrorMessage="1" xr:uid="{410E649C-4C4C-4F48-BA2F-8E0E52EB9C3C}">
          <x14:formula1>
            <xm:f>項目!C17:$CTS$655361</xm:f>
          </x14:formula1>
          <xm:sqref>CUA655367:CUA655390</xm:sqref>
        </x14:dataValidation>
        <x14:dataValidation type="list" allowBlank="1" showInputMessage="1" showErrorMessage="1" xr:uid="{CF64E7AB-2B21-4DF8-98F4-E7408FE47272}">
          <x14:formula1>
            <xm:f>項目!C17:$DDO$655361</xm:f>
          </x14:formula1>
          <xm:sqref>DDW655367:DDW655390</xm:sqref>
        </x14:dataValidation>
        <x14:dataValidation type="list" allowBlank="1" showInputMessage="1" showErrorMessage="1" xr:uid="{E75794A2-56BB-408F-A0F3-32F93F42DDA5}">
          <x14:formula1>
            <xm:f>項目!C17:$DNK$655361</xm:f>
          </x14:formula1>
          <xm:sqref>DNS655367:DNS655390</xm:sqref>
        </x14:dataValidation>
        <x14:dataValidation type="list" allowBlank="1" showInputMessage="1" showErrorMessage="1" xr:uid="{EFCCF6F4-6E39-41F2-82DB-4E81F35BBAA4}">
          <x14:formula1>
            <xm:f>項目!C17:$DXG$655361</xm:f>
          </x14:formula1>
          <xm:sqref>DXO655367:DXO655390</xm:sqref>
        </x14:dataValidation>
        <x14:dataValidation type="list" allowBlank="1" showInputMessage="1" showErrorMessage="1" xr:uid="{1535EA49-E2E2-406E-91C9-0E0BC611946E}">
          <x14:formula1>
            <xm:f>項目!C17:$EHC$655361</xm:f>
          </x14:formula1>
          <xm:sqref>EHK655367:EHK655390</xm:sqref>
        </x14:dataValidation>
        <x14:dataValidation type="list" allowBlank="1" showInputMessage="1" showErrorMessage="1" xr:uid="{77F17118-8444-4526-A8F3-C7151F4C9A0C}">
          <x14:formula1>
            <xm:f>項目!C17:$EQY$655361</xm:f>
          </x14:formula1>
          <xm:sqref>ERG655367:ERG655390</xm:sqref>
        </x14:dataValidation>
        <x14:dataValidation type="list" allowBlank="1" showInputMessage="1" showErrorMessage="1" xr:uid="{FF5BA2B4-FA3B-468A-BB4D-1989F87064A0}">
          <x14:formula1>
            <xm:f>項目!C17:$FAU$655361</xm:f>
          </x14:formula1>
          <xm:sqref>FBC655367:FBC655390</xm:sqref>
        </x14:dataValidation>
        <x14:dataValidation type="list" allowBlank="1" showInputMessage="1" showErrorMessage="1" xr:uid="{B7F352E9-6124-4786-967E-B15F08A06731}">
          <x14:formula1>
            <xm:f>項目!C17:$FKQ$655361</xm:f>
          </x14:formula1>
          <xm:sqref>FKY655367:FKY655390</xm:sqref>
        </x14:dataValidation>
        <x14:dataValidation type="list" allowBlank="1" showInputMessage="1" showErrorMessage="1" xr:uid="{6B66E224-0D4F-47BB-89E7-AD2FA764A5C0}">
          <x14:formula1>
            <xm:f>項目!C17:$FUM$655361</xm:f>
          </x14:formula1>
          <xm:sqref>FUU655367:FUU655390</xm:sqref>
        </x14:dataValidation>
        <x14:dataValidation type="list" allowBlank="1" showInputMessage="1" showErrorMessage="1" xr:uid="{5171FE4A-0107-4088-8814-77A34C4F8EF4}">
          <x14:formula1>
            <xm:f>項目!C17:$GEI$655361</xm:f>
          </x14:formula1>
          <xm:sqref>GEQ655367:GEQ655390</xm:sqref>
        </x14:dataValidation>
        <x14:dataValidation type="list" allowBlank="1" showInputMessage="1" showErrorMessage="1" xr:uid="{BE38422E-D265-4171-9D98-305F11E62C08}">
          <x14:formula1>
            <xm:f>項目!C17:$GOE$655361</xm:f>
          </x14:formula1>
          <xm:sqref>GOM655367:GOM655390</xm:sqref>
        </x14:dataValidation>
        <x14:dataValidation type="list" allowBlank="1" showInputMessage="1" showErrorMessage="1" xr:uid="{19E78406-A8AB-4026-B272-08CC83F1AEC3}">
          <x14:formula1>
            <xm:f>項目!C17:$GYA$655361</xm:f>
          </x14:formula1>
          <xm:sqref>GYI655367:GYI655390</xm:sqref>
        </x14:dataValidation>
        <x14:dataValidation type="list" allowBlank="1" showInputMessage="1" showErrorMessage="1" xr:uid="{9DFF48A3-1908-4F23-B782-E4177481911E}">
          <x14:formula1>
            <xm:f>項目!C17:$HHW$655361</xm:f>
          </x14:formula1>
          <xm:sqref>HIE655367:HIE655390</xm:sqref>
        </x14:dataValidation>
        <x14:dataValidation type="list" allowBlank="1" showInputMessage="1" showErrorMessage="1" xr:uid="{93B4E26A-4B0B-4C98-81D8-64A61AA9BB17}">
          <x14:formula1>
            <xm:f>項目!C17:$HRS$655361</xm:f>
          </x14:formula1>
          <xm:sqref>HSA655367:HSA655390</xm:sqref>
        </x14:dataValidation>
        <x14:dataValidation type="list" allowBlank="1" showInputMessage="1" showErrorMessage="1" xr:uid="{DF78882D-5274-4179-BFB4-EE62B44D519E}">
          <x14:formula1>
            <xm:f>項目!C17:$IBO$655361</xm:f>
          </x14:formula1>
          <xm:sqref>IBW655367:IBW655390</xm:sqref>
        </x14:dataValidation>
        <x14:dataValidation type="list" allowBlank="1" showInputMessage="1" showErrorMessage="1" xr:uid="{F54F5297-6750-4336-AB96-814F70CD8174}">
          <x14:formula1>
            <xm:f>項目!C17:$ILK$655361</xm:f>
          </x14:formula1>
          <xm:sqref>ILS655367:ILS655390</xm:sqref>
        </x14:dataValidation>
        <x14:dataValidation type="list" allowBlank="1" showInputMessage="1" showErrorMessage="1" xr:uid="{DB36DF81-5AAE-441D-A71B-75A42CE40223}">
          <x14:formula1>
            <xm:f>項目!C17:$IVG$655361</xm:f>
          </x14:formula1>
          <xm:sqref>IVO655367:IVO655390</xm:sqref>
        </x14:dataValidation>
        <x14:dataValidation type="list" allowBlank="1" showInputMessage="1" showErrorMessage="1" xr:uid="{4DE04FA3-DEB8-4164-892F-1CC8552EE47F}">
          <x14:formula1>
            <xm:f>項目!C17:$JFC$655361</xm:f>
          </x14:formula1>
          <xm:sqref>JFK655367:JFK655390</xm:sqref>
        </x14:dataValidation>
        <x14:dataValidation type="list" allowBlank="1" showInputMessage="1" showErrorMessage="1" xr:uid="{99EC696D-9426-4B32-91E0-2E51087AAD14}">
          <x14:formula1>
            <xm:f>項目!C17:$JOY$655361</xm:f>
          </x14:formula1>
          <xm:sqref>JPG655367:JPG655390</xm:sqref>
        </x14:dataValidation>
        <x14:dataValidation type="list" allowBlank="1" showInputMessage="1" showErrorMessage="1" xr:uid="{F41E8138-B58D-415C-9A1A-9E2FBC1F1F02}">
          <x14:formula1>
            <xm:f>項目!C17:$JYU$655361</xm:f>
          </x14:formula1>
          <xm:sqref>JZC655367:JZC655390</xm:sqref>
        </x14:dataValidation>
        <x14:dataValidation type="list" allowBlank="1" showInputMessage="1" showErrorMessage="1" xr:uid="{A66FCB68-192D-4A0E-A38B-A0A02B6F2749}">
          <x14:formula1>
            <xm:f>項目!C17:$KIQ$655361</xm:f>
          </x14:formula1>
          <xm:sqref>KIY655367:KIY655390</xm:sqref>
        </x14:dataValidation>
        <x14:dataValidation type="list" allowBlank="1" showInputMessage="1" showErrorMessage="1" xr:uid="{C0EB2B4E-CF4C-478F-8981-2B4CF7FAB59D}">
          <x14:formula1>
            <xm:f>項目!C17:$KSM$655361</xm:f>
          </x14:formula1>
          <xm:sqref>KSU655367:KSU655390</xm:sqref>
        </x14:dataValidation>
        <x14:dataValidation type="list" allowBlank="1" showInputMessage="1" showErrorMessage="1" xr:uid="{E8A81924-C628-4C57-BA6C-2B6837F09F88}">
          <x14:formula1>
            <xm:f>項目!C17:$LCI$655361</xm:f>
          </x14:formula1>
          <xm:sqref>LCQ655367:LCQ655390</xm:sqref>
        </x14:dataValidation>
        <x14:dataValidation type="list" allowBlank="1" showInputMessage="1" showErrorMessage="1" xr:uid="{39732CA7-3DB9-4ABF-8FCD-CA885AB33B47}">
          <x14:formula1>
            <xm:f>項目!C17:$LME$655361</xm:f>
          </x14:formula1>
          <xm:sqref>LMM655367:LMM655390</xm:sqref>
        </x14:dataValidation>
        <x14:dataValidation type="list" allowBlank="1" showInputMessage="1" showErrorMessage="1" xr:uid="{13B5A295-C423-4960-BF34-E7D6F91C4E3F}">
          <x14:formula1>
            <xm:f>項目!C17:$LWA$655361</xm:f>
          </x14:formula1>
          <xm:sqref>LWI655367:LWI655390</xm:sqref>
        </x14:dataValidation>
        <x14:dataValidation type="list" allowBlank="1" showInputMessage="1" showErrorMessage="1" xr:uid="{46927EAA-F352-4C71-845E-7389BEF6004C}">
          <x14:formula1>
            <xm:f>項目!C17:$MFW$655361</xm:f>
          </x14:formula1>
          <xm:sqref>MGE655367:MGE655390</xm:sqref>
        </x14:dataValidation>
        <x14:dataValidation type="list" allowBlank="1" showInputMessage="1" showErrorMessage="1" xr:uid="{D82A0432-9FE3-4AB9-A8AF-966182A1E548}">
          <x14:formula1>
            <xm:f>項目!C17:$MPS$655361</xm:f>
          </x14:formula1>
          <xm:sqref>MQA655367:MQA655390</xm:sqref>
        </x14:dataValidation>
        <x14:dataValidation type="list" allowBlank="1" showInputMessage="1" showErrorMessage="1" xr:uid="{9189447B-F457-4AED-9567-F8CB65EBD7FA}">
          <x14:formula1>
            <xm:f>項目!C17:$MZO$655361</xm:f>
          </x14:formula1>
          <xm:sqref>MZW655367:MZW655390</xm:sqref>
        </x14:dataValidation>
        <x14:dataValidation type="list" allowBlank="1" showInputMessage="1" showErrorMessage="1" xr:uid="{D2752B74-D19D-4B9C-9EE2-8E40090633FA}">
          <x14:formula1>
            <xm:f>項目!C17:$NJK$655361</xm:f>
          </x14:formula1>
          <xm:sqref>NJS655367:NJS655390</xm:sqref>
        </x14:dataValidation>
        <x14:dataValidation type="list" allowBlank="1" showInputMessage="1" showErrorMessage="1" xr:uid="{9DE54F80-A639-40FD-AF8A-1AA3340FC63D}">
          <x14:formula1>
            <xm:f>項目!C17:$NTG$655361</xm:f>
          </x14:formula1>
          <xm:sqref>NTO655367:NTO655390</xm:sqref>
        </x14:dataValidation>
        <x14:dataValidation type="list" allowBlank="1" showInputMessage="1" showErrorMessage="1" xr:uid="{03EEC182-AD71-4401-B66C-B5DC6F315242}">
          <x14:formula1>
            <xm:f>項目!C17:$ODC$655361</xm:f>
          </x14:formula1>
          <xm:sqref>ODK655367:ODK655390</xm:sqref>
        </x14:dataValidation>
        <x14:dataValidation type="list" allowBlank="1" showInputMessage="1" showErrorMessage="1" xr:uid="{3176D566-3220-4EBB-977C-F32216249248}">
          <x14:formula1>
            <xm:f>項目!C17:$OMY$655361</xm:f>
          </x14:formula1>
          <xm:sqref>ONG655367:ONG655390</xm:sqref>
        </x14:dataValidation>
        <x14:dataValidation type="list" allowBlank="1" showInputMessage="1" showErrorMessage="1" xr:uid="{A0CAEEB4-E1DA-4FE2-9D87-4C1062080816}">
          <x14:formula1>
            <xm:f>項目!C17:$OWU$655361</xm:f>
          </x14:formula1>
          <xm:sqref>OXC655367:OXC655390</xm:sqref>
        </x14:dataValidation>
        <x14:dataValidation type="list" allowBlank="1" showInputMessage="1" showErrorMessage="1" xr:uid="{66279FE3-975A-4209-B5FE-8427B67EA246}">
          <x14:formula1>
            <xm:f>項目!C17:$PGQ$655361</xm:f>
          </x14:formula1>
          <xm:sqref>PGY655367:PGY655390</xm:sqref>
        </x14:dataValidation>
        <x14:dataValidation type="list" allowBlank="1" showInputMessage="1" showErrorMessage="1" xr:uid="{56BE1B64-353E-4661-98D5-571513FE16CC}">
          <x14:formula1>
            <xm:f>項目!C17:$PQM$655361</xm:f>
          </x14:formula1>
          <xm:sqref>PQU655367:PQU655390</xm:sqref>
        </x14:dataValidation>
        <x14:dataValidation type="list" allowBlank="1" showInputMessage="1" showErrorMessage="1" xr:uid="{F6C791E1-7871-450A-ACD5-87AADA27C778}">
          <x14:formula1>
            <xm:f>項目!C17:$QAI$655361</xm:f>
          </x14:formula1>
          <xm:sqref>QAQ655367:QAQ655390</xm:sqref>
        </x14:dataValidation>
        <x14:dataValidation type="list" allowBlank="1" showInputMessage="1" showErrorMessage="1" xr:uid="{D0EAC4F6-D9E1-43B1-A714-F63C5BB24315}">
          <x14:formula1>
            <xm:f>項目!C17:$QKE$655361</xm:f>
          </x14:formula1>
          <xm:sqref>QKM655367:QKM655390</xm:sqref>
        </x14:dataValidation>
        <x14:dataValidation type="list" allowBlank="1" showInputMessage="1" showErrorMessage="1" xr:uid="{C02BAB7B-CA32-47A0-91EC-29D171E2CF76}">
          <x14:formula1>
            <xm:f>項目!C17:$QUA$655361</xm:f>
          </x14:formula1>
          <xm:sqref>QUI655367:QUI655390</xm:sqref>
        </x14:dataValidation>
        <x14:dataValidation type="list" allowBlank="1" showInputMessage="1" showErrorMessage="1" xr:uid="{AB76C5E6-D1EF-40B9-B9A0-7C35FA4CC0A5}">
          <x14:formula1>
            <xm:f>項目!C17:$RDW$655361</xm:f>
          </x14:formula1>
          <xm:sqref>REE655367:REE655390</xm:sqref>
        </x14:dataValidation>
        <x14:dataValidation type="list" allowBlank="1" showInputMessage="1" showErrorMessage="1" xr:uid="{34246F45-D5FF-4372-A56C-75602BD188B4}">
          <x14:formula1>
            <xm:f>項目!C17:$RNS$655361</xm:f>
          </x14:formula1>
          <xm:sqref>ROA655367:ROA655390</xm:sqref>
        </x14:dataValidation>
        <x14:dataValidation type="list" allowBlank="1" showInputMessage="1" showErrorMessage="1" xr:uid="{6F04E3E2-BD04-4CEF-91A1-CE41B44C4269}">
          <x14:formula1>
            <xm:f>項目!C17:$RXO$655361</xm:f>
          </x14:formula1>
          <xm:sqref>RXW655367:RXW655390</xm:sqref>
        </x14:dataValidation>
        <x14:dataValidation type="list" allowBlank="1" showInputMessage="1" showErrorMessage="1" xr:uid="{5271D7B3-7461-45C6-B36C-B80FD6982AE1}">
          <x14:formula1>
            <xm:f>項目!C17:$SHK$655361</xm:f>
          </x14:formula1>
          <xm:sqref>SHS655367:SHS655390</xm:sqref>
        </x14:dataValidation>
        <x14:dataValidation type="list" allowBlank="1" showInputMessage="1" showErrorMessage="1" xr:uid="{DE410774-8FDB-4896-9CF9-CBEC07FC2585}">
          <x14:formula1>
            <xm:f>項目!C17:$SRG$655361</xm:f>
          </x14:formula1>
          <xm:sqref>SRO655367:SRO655390</xm:sqref>
        </x14:dataValidation>
        <x14:dataValidation type="list" allowBlank="1" showInputMessage="1" showErrorMessage="1" xr:uid="{8A11DABA-AC9D-483F-93D8-80995D6D1386}">
          <x14:formula1>
            <xm:f>項目!C17:$TBC$655361</xm:f>
          </x14:formula1>
          <xm:sqref>TBK655367:TBK655390</xm:sqref>
        </x14:dataValidation>
        <x14:dataValidation type="list" allowBlank="1" showInputMessage="1" showErrorMessage="1" xr:uid="{033D5F43-FE1A-4980-89E2-502B1399DEA0}">
          <x14:formula1>
            <xm:f>項目!C17:$TKY$655361</xm:f>
          </x14:formula1>
          <xm:sqref>TLG655367:TLG655390</xm:sqref>
        </x14:dataValidation>
        <x14:dataValidation type="list" allowBlank="1" showInputMessage="1" showErrorMessage="1" xr:uid="{92C0579F-2A8A-436A-9299-5733ABD294B0}">
          <x14:formula1>
            <xm:f>項目!C17:$TUU$655361</xm:f>
          </x14:formula1>
          <xm:sqref>TVC655367:TVC655390</xm:sqref>
        </x14:dataValidation>
        <x14:dataValidation type="list" allowBlank="1" showInputMessage="1" showErrorMessage="1" xr:uid="{A3C80CD9-782C-4454-A7AF-4B7FBDB03512}">
          <x14:formula1>
            <xm:f>項目!C17:$UEQ$655361</xm:f>
          </x14:formula1>
          <xm:sqref>UEY655367:UEY655390</xm:sqref>
        </x14:dataValidation>
        <x14:dataValidation type="list" allowBlank="1" showInputMessage="1" showErrorMessage="1" xr:uid="{72F474B2-D319-4A53-A017-1CC5C756D7C0}">
          <x14:formula1>
            <xm:f>項目!C17:$UOM$655361</xm:f>
          </x14:formula1>
          <xm:sqref>UOU655367:UOU655390</xm:sqref>
        </x14:dataValidation>
        <x14:dataValidation type="list" allowBlank="1" showInputMessage="1" showErrorMessage="1" xr:uid="{4195E827-E6B8-481A-A443-ADC1BFB30C78}">
          <x14:formula1>
            <xm:f>項目!C17:$UYI$655361</xm:f>
          </x14:formula1>
          <xm:sqref>UYQ655367:UYQ655390</xm:sqref>
        </x14:dataValidation>
        <x14:dataValidation type="list" allowBlank="1" showInputMessage="1" showErrorMessage="1" xr:uid="{78B50F0F-51E9-418E-8F7D-D1BF82A5206E}">
          <x14:formula1>
            <xm:f>項目!C17:$VIE$655361</xm:f>
          </x14:formula1>
          <xm:sqref>VIM655367:VIM655390</xm:sqref>
        </x14:dataValidation>
        <x14:dataValidation type="list" allowBlank="1" showInputMessage="1" showErrorMessage="1" xr:uid="{3DDCD0A0-23C1-4AD9-95AD-FD2075BDB79D}">
          <x14:formula1>
            <xm:f>項目!C17:$VSA$655361</xm:f>
          </x14:formula1>
          <xm:sqref>VSI655367:VSI655390</xm:sqref>
        </x14:dataValidation>
        <x14:dataValidation type="list" allowBlank="1" showInputMessage="1" showErrorMessage="1" xr:uid="{E699A9F0-12A8-4EE8-8DF4-40869CD448CC}">
          <x14:formula1>
            <xm:f>項目!C17:$WBW$655361</xm:f>
          </x14:formula1>
          <xm:sqref>WCE655367:WCE655390</xm:sqref>
        </x14:dataValidation>
        <x14:dataValidation type="list" allowBlank="1" showInputMessage="1" showErrorMessage="1" xr:uid="{0B8E87ED-B958-4B3E-BE22-B16B33386989}">
          <x14:formula1>
            <xm:f>項目!C17:$WLS$655361</xm:f>
          </x14:formula1>
          <xm:sqref>WMA655367:WMA655390</xm:sqref>
        </x14:dataValidation>
        <x14:dataValidation type="list" allowBlank="1" showInputMessage="1" showErrorMessage="1" xr:uid="{43E8AF0B-7F56-42A4-96FF-633E36A008DF}">
          <x14:formula1>
            <xm:f>項目!C17:$WVO$655361</xm:f>
          </x14:formula1>
          <xm:sqref>WVW655367:WVW655390</xm:sqref>
        </x14:dataValidation>
        <x14:dataValidation type="list" allowBlank="1" showInputMessage="1" showErrorMessage="1" xr:uid="{1D84DD15-406A-4B97-B920-360CA2CFC96C}">
          <x14:formula1>
            <xm:f>項目!C17:$J$720897</xm:f>
          </x14:formula1>
          <xm:sqref>O720903:O720926</xm:sqref>
        </x14:dataValidation>
        <x14:dataValidation type="list" allowBlank="1" showInputMessage="1" showErrorMessage="1" xr:uid="{85FDC76E-99E6-486A-A99C-0D384202F3B1}">
          <x14:formula1>
            <xm:f>項目!C17:$JC$720897</xm:f>
          </x14:formula1>
          <xm:sqref>JK720903:JK720926</xm:sqref>
        </x14:dataValidation>
        <x14:dataValidation type="list" allowBlank="1" showInputMessage="1" showErrorMessage="1" xr:uid="{A3409433-B02A-4688-BEA7-D5B5BB618191}">
          <x14:formula1>
            <xm:f>項目!C17:$SY$720897</xm:f>
          </x14:formula1>
          <xm:sqref>TG720903:TG720926</xm:sqref>
        </x14:dataValidation>
        <x14:dataValidation type="list" allowBlank="1" showInputMessage="1" showErrorMessage="1" xr:uid="{2234530B-EE4A-4FDB-A833-C3BAD228C1DD}">
          <x14:formula1>
            <xm:f>項目!C17:$ACU$720897</xm:f>
          </x14:formula1>
          <xm:sqref>ADC720903:ADC720926</xm:sqref>
        </x14:dataValidation>
        <x14:dataValidation type="list" allowBlank="1" showInputMessage="1" showErrorMessage="1" xr:uid="{5CD7DD76-FD67-4693-9F56-3D59C80C048C}">
          <x14:formula1>
            <xm:f>項目!C17:$AMQ$720897</xm:f>
          </x14:formula1>
          <xm:sqref>AMY720903:AMY720926</xm:sqref>
        </x14:dataValidation>
        <x14:dataValidation type="list" allowBlank="1" showInputMessage="1" showErrorMessage="1" xr:uid="{4F58E3A8-3B21-4248-A037-67F67BF5DD29}">
          <x14:formula1>
            <xm:f>項目!C17:$AWM$720897</xm:f>
          </x14:formula1>
          <xm:sqref>AWU720903:AWU720926</xm:sqref>
        </x14:dataValidation>
        <x14:dataValidation type="list" allowBlank="1" showInputMessage="1" showErrorMessage="1" xr:uid="{06BD0A2B-8DF6-48A7-A0F0-3B1DA92B913E}">
          <x14:formula1>
            <xm:f>項目!C17:$BGI$720897</xm:f>
          </x14:formula1>
          <xm:sqref>BGQ720903:BGQ720926</xm:sqref>
        </x14:dataValidation>
        <x14:dataValidation type="list" allowBlank="1" showInputMessage="1" showErrorMessage="1" xr:uid="{CB02A0C8-0A3E-451C-B6CA-68581CC522C7}">
          <x14:formula1>
            <xm:f>項目!C17:$BQE$720897</xm:f>
          </x14:formula1>
          <xm:sqref>BQM720903:BQM720926</xm:sqref>
        </x14:dataValidation>
        <x14:dataValidation type="list" allowBlank="1" showInputMessage="1" showErrorMessage="1" xr:uid="{3D5331AE-D068-4BA9-B23B-445380E4220B}">
          <x14:formula1>
            <xm:f>項目!C17:$CAA$720897</xm:f>
          </x14:formula1>
          <xm:sqref>CAI720903:CAI720926</xm:sqref>
        </x14:dataValidation>
        <x14:dataValidation type="list" allowBlank="1" showInputMessage="1" showErrorMessage="1" xr:uid="{9D11BBE6-8027-41F7-BC59-A47AE5AB74D1}">
          <x14:formula1>
            <xm:f>項目!C17:$CJW$720897</xm:f>
          </x14:formula1>
          <xm:sqref>CKE720903:CKE720926</xm:sqref>
        </x14:dataValidation>
        <x14:dataValidation type="list" allowBlank="1" showInputMessage="1" showErrorMessage="1" xr:uid="{DA71B8A2-59CC-4712-857C-2CE978624D0C}">
          <x14:formula1>
            <xm:f>項目!C17:$CTS$720897</xm:f>
          </x14:formula1>
          <xm:sqref>CUA720903:CUA720926</xm:sqref>
        </x14:dataValidation>
        <x14:dataValidation type="list" allowBlank="1" showInputMessage="1" showErrorMessage="1" xr:uid="{F3E6B417-17FD-460A-8459-239C58AEF15B}">
          <x14:formula1>
            <xm:f>項目!C17:$DDO$720897</xm:f>
          </x14:formula1>
          <xm:sqref>DDW720903:DDW720926</xm:sqref>
        </x14:dataValidation>
        <x14:dataValidation type="list" allowBlank="1" showInputMessage="1" showErrorMessage="1" xr:uid="{1A63BF2C-F342-4F28-8F32-842C45AF3BD9}">
          <x14:formula1>
            <xm:f>項目!C17:$DNK$720897</xm:f>
          </x14:formula1>
          <xm:sqref>DNS720903:DNS720926</xm:sqref>
        </x14:dataValidation>
        <x14:dataValidation type="list" allowBlank="1" showInputMessage="1" showErrorMessage="1" xr:uid="{D6752AEF-FC5F-4EE2-826E-B46ED617C575}">
          <x14:formula1>
            <xm:f>項目!C17:$DXG$720897</xm:f>
          </x14:formula1>
          <xm:sqref>DXO720903:DXO720926</xm:sqref>
        </x14:dataValidation>
        <x14:dataValidation type="list" allowBlank="1" showInputMessage="1" showErrorMessage="1" xr:uid="{D8154F16-86F4-4537-841F-FABB7F5403CF}">
          <x14:formula1>
            <xm:f>項目!C17:$EHC$720897</xm:f>
          </x14:formula1>
          <xm:sqref>EHK720903:EHK720926</xm:sqref>
        </x14:dataValidation>
        <x14:dataValidation type="list" allowBlank="1" showInputMessage="1" showErrorMessage="1" xr:uid="{A14CD834-58B7-4128-B22A-A449C7B50D91}">
          <x14:formula1>
            <xm:f>項目!C17:$EQY$720897</xm:f>
          </x14:formula1>
          <xm:sqref>ERG720903:ERG720926</xm:sqref>
        </x14:dataValidation>
        <x14:dataValidation type="list" allowBlank="1" showInputMessage="1" showErrorMessage="1" xr:uid="{67230BD6-0D47-4D66-8DCC-A062B08F2CE1}">
          <x14:formula1>
            <xm:f>項目!C17:$FAU$720897</xm:f>
          </x14:formula1>
          <xm:sqref>FBC720903:FBC720926</xm:sqref>
        </x14:dataValidation>
        <x14:dataValidation type="list" allowBlank="1" showInputMessage="1" showErrorMessage="1" xr:uid="{36DAAA5C-D9DA-415B-ABAB-EAA1BBF77333}">
          <x14:formula1>
            <xm:f>項目!C17:$FKQ$720897</xm:f>
          </x14:formula1>
          <xm:sqref>FKY720903:FKY720926</xm:sqref>
        </x14:dataValidation>
        <x14:dataValidation type="list" allowBlank="1" showInputMessage="1" showErrorMessage="1" xr:uid="{2DD0C4D6-F6A9-435F-ABF2-2FCC902788BF}">
          <x14:formula1>
            <xm:f>項目!C17:$FUM$720897</xm:f>
          </x14:formula1>
          <xm:sqref>FUU720903:FUU720926</xm:sqref>
        </x14:dataValidation>
        <x14:dataValidation type="list" allowBlank="1" showInputMessage="1" showErrorMessage="1" xr:uid="{BE3E9F11-696E-480A-A6FC-6FDFDDD9061C}">
          <x14:formula1>
            <xm:f>項目!C17:$GEI$720897</xm:f>
          </x14:formula1>
          <xm:sqref>GEQ720903:GEQ720926</xm:sqref>
        </x14:dataValidation>
        <x14:dataValidation type="list" allowBlank="1" showInputMessage="1" showErrorMessage="1" xr:uid="{50A68B37-193D-41CE-9DAD-120BF8915DA9}">
          <x14:formula1>
            <xm:f>項目!C17:$GOE$720897</xm:f>
          </x14:formula1>
          <xm:sqref>GOM720903:GOM720926</xm:sqref>
        </x14:dataValidation>
        <x14:dataValidation type="list" allowBlank="1" showInputMessage="1" showErrorMessage="1" xr:uid="{41C68CD1-146C-425A-95FD-35134677D10E}">
          <x14:formula1>
            <xm:f>項目!C17:$GYA$720897</xm:f>
          </x14:formula1>
          <xm:sqref>GYI720903:GYI720926</xm:sqref>
        </x14:dataValidation>
        <x14:dataValidation type="list" allowBlank="1" showInputMessage="1" showErrorMessage="1" xr:uid="{EFBC66AB-762A-4410-AF1F-573DC614803A}">
          <x14:formula1>
            <xm:f>項目!C17:$HHW$720897</xm:f>
          </x14:formula1>
          <xm:sqref>HIE720903:HIE720926</xm:sqref>
        </x14:dataValidation>
        <x14:dataValidation type="list" allowBlank="1" showInputMessage="1" showErrorMessage="1" xr:uid="{7A37073A-4A49-4F19-90F1-67F0907E1FBB}">
          <x14:formula1>
            <xm:f>項目!C17:$HRS$720897</xm:f>
          </x14:formula1>
          <xm:sqref>HSA720903:HSA720926</xm:sqref>
        </x14:dataValidation>
        <x14:dataValidation type="list" allowBlank="1" showInputMessage="1" showErrorMessage="1" xr:uid="{0FF5C961-1B03-47A3-9A6D-E9D04576A02A}">
          <x14:formula1>
            <xm:f>項目!C17:$IBO$720897</xm:f>
          </x14:formula1>
          <xm:sqref>IBW720903:IBW720926</xm:sqref>
        </x14:dataValidation>
        <x14:dataValidation type="list" allowBlank="1" showInputMessage="1" showErrorMessage="1" xr:uid="{DEBDEE4D-B5A0-4833-9BFC-502067598501}">
          <x14:formula1>
            <xm:f>項目!C17:$ILK$720897</xm:f>
          </x14:formula1>
          <xm:sqref>ILS720903:ILS720926</xm:sqref>
        </x14:dataValidation>
        <x14:dataValidation type="list" allowBlank="1" showInputMessage="1" showErrorMessage="1" xr:uid="{948D63F8-B90F-47FD-A126-C8373CB81279}">
          <x14:formula1>
            <xm:f>項目!C17:$IVG$720897</xm:f>
          </x14:formula1>
          <xm:sqref>IVO720903:IVO720926</xm:sqref>
        </x14:dataValidation>
        <x14:dataValidation type="list" allowBlank="1" showInputMessage="1" showErrorMessage="1" xr:uid="{72270F85-6F90-40AA-8601-47682969EEBC}">
          <x14:formula1>
            <xm:f>項目!C17:$JFC$720897</xm:f>
          </x14:formula1>
          <xm:sqref>JFK720903:JFK720926</xm:sqref>
        </x14:dataValidation>
        <x14:dataValidation type="list" allowBlank="1" showInputMessage="1" showErrorMessage="1" xr:uid="{737D9351-ECE0-46AC-AEC7-1C182185B956}">
          <x14:formula1>
            <xm:f>項目!C17:$JOY$720897</xm:f>
          </x14:formula1>
          <xm:sqref>JPG720903:JPG720926</xm:sqref>
        </x14:dataValidation>
        <x14:dataValidation type="list" allowBlank="1" showInputMessage="1" showErrorMessage="1" xr:uid="{7C00D02D-DF08-407B-A0C2-8F4B5DB1D665}">
          <x14:formula1>
            <xm:f>項目!C17:$JYU$720897</xm:f>
          </x14:formula1>
          <xm:sqref>JZC720903:JZC720926</xm:sqref>
        </x14:dataValidation>
        <x14:dataValidation type="list" allowBlank="1" showInputMessage="1" showErrorMessage="1" xr:uid="{5F036B06-F057-4CFA-9599-1F9C1B1957A9}">
          <x14:formula1>
            <xm:f>項目!C17:$KIQ$720897</xm:f>
          </x14:formula1>
          <xm:sqref>KIY720903:KIY720926</xm:sqref>
        </x14:dataValidation>
        <x14:dataValidation type="list" allowBlank="1" showInputMessage="1" showErrorMessage="1" xr:uid="{FF022D47-3C4C-4B0E-A29B-2A39F77947F5}">
          <x14:formula1>
            <xm:f>項目!C17:$KSM$720897</xm:f>
          </x14:formula1>
          <xm:sqref>KSU720903:KSU720926</xm:sqref>
        </x14:dataValidation>
        <x14:dataValidation type="list" allowBlank="1" showInputMessage="1" showErrorMessage="1" xr:uid="{E63DA208-0BAD-46D7-B282-0FED29E53929}">
          <x14:formula1>
            <xm:f>項目!C17:$LCI$720897</xm:f>
          </x14:formula1>
          <xm:sqref>LCQ720903:LCQ720926</xm:sqref>
        </x14:dataValidation>
        <x14:dataValidation type="list" allowBlank="1" showInputMessage="1" showErrorMessage="1" xr:uid="{55F5F75E-1320-4FB5-8E9B-5AEA1D7A7654}">
          <x14:formula1>
            <xm:f>項目!C17:$LME$720897</xm:f>
          </x14:formula1>
          <xm:sqref>LMM720903:LMM720926</xm:sqref>
        </x14:dataValidation>
        <x14:dataValidation type="list" allowBlank="1" showInputMessage="1" showErrorMessage="1" xr:uid="{0D6C7645-2BE2-4D00-9285-EE086D4C9023}">
          <x14:formula1>
            <xm:f>項目!C17:$LWA$720897</xm:f>
          </x14:formula1>
          <xm:sqref>LWI720903:LWI720926</xm:sqref>
        </x14:dataValidation>
        <x14:dataValidation type="list" allowBlank="1" showInputMessage="1" showErrorMessage="1" xr:uid="{242A0459-B399-4E3B-8043-B27FA9810E95}">
          <x14:formula1>
            <xm:f>項目!C17:$MFW$720897</xm:f>
          </x14:formula1>
          <xm:sqref>MGE720903:MGE720926</xm:sqref>
        </x14:dataValidation>
        <x14:dataValidation type="list" allowBlank="1" showInputMessage="1" showErrorMessage="1" xr:uid="{8AA55853-7622-465C-A097-F570836E538C}">
          <x14:formula1>
            <xm:f>項目!C17:$MPS$720897</xm:f>
          </x14:formula1>
          <xm:sqref>MQA720903:MQA720926</xm:sqref>
        </x14:dataValidation>
        <x14:dataValidation type="list" allowBlank="1" showInputMessage="1" showErrorMessage="1" xr:uid="{7B5972F2-D11B-4791-A0CC-DD3D07EC0A51}">
          <x14:formula1>
            <xm:f>項目!C17:$MZO$720897</xm:f>
          </x14:formula1>
          <xm:sqref>MZW720903:MZW720926</xm:sqref>
        </x14:dataValidation>
        <x14:dataValidation type="list" allowBlank="1" showInputMessage="1" showErrorMessage="1" xr:uid="{1D6D2B64-624B-41F2-9FF5-AE32B2421238}">
          <x14:formula1>
            <xm:f>項目!C17:$NJK$720897</xm:f>
          </x14:formula1>
          <xm:sqref>NJS720903:NJS720926</xm:sqref>
        </x14:dataValidation>
        <x14:dataValidation type="list" allowBlank="1" showInputMessage="1" showErrorMessage="1" xr:uid="{0B93C2BE-F587-4843-A041-AF1C3A96CEE6}">
          <x14:formula1>
            <xm:f>項目!C17:$NTG$720897</xm:f>
          </x14:formula1>
          <xm:sqref>NTO720903:NTO720926</xm:sqref>
        </x14:dataValidation>
        <x14:dataValidation type="list" allowBlank="1" showInputMessage="1" showErrorMessage="1" xr:uid="{BE3227E2-6F51-4649-A35C-2AE304FFD53F}">
          <x14:formula1>
            <xm:f>項目!C17:$ODC$720897</xm:f>
          </x14:formula1>
          <xm:sqref>ODK720903:ODK720926</xm:sqref>
        </x14:dataValidation>
        <x14:dataValidation type="list" allowBlank="1" showInputMessage="1" showErrorMessage="1" xr:uid="{CB10E38D-243C-4FEE-8E53-C8F1B88F7509}">
          <x14:formula1>
            <xm:f>項目!C17:$OMY$720897</xm:f>
          </x14:formula1>
          <xm:sqref>ONG720903:ONG720926</xm:sqref>
        </x14:dataValidation>
        <x14:dataValidation type="list" allowBlank="1" showInputMessage="1" showErrorMessage="1" xr:uid="{9AB1B4FC-2DBC-4392-AB8F-FFDA940628A1}">
          <x14:formula1>
            <xm:f>項目!C17:$OWU$720897</xm:f>
          </x14:formula1>
          <xm:sqref>OXC720903:OXC720926</xm:sqref>
        </x14:dataValidation>
        <x14:dataValidation type="list" allowBlank="1" showInputMessage="1" showErrorMessage="1" xr:uid="{22875E0D-7100-4E5B-8478-4E97C618A411}">
          <x14:formula1>
            <xm:f>項目!C17:$PGQ$720897</xm:f>
          </x14:formula1>
          <xm:sqref>PGY720903:PGY720926</xm:sqref>
        </x14:dataValidation>
        <x14:dataValidation type="list" allowBlank="1" showInputMessage="1" showErrorMessage="1" xr:uid="{E48FAFB2-8285-4666-AF73-8CBA69BCBB6B}">
          <x14:formula1>
            <xm:f>項目!C17:$PQM$720897</xm:f>
          </x14:formula1>
          <xm:sqref>PQU720903:PQU720926</xm:sqref>
        </x14:dataValidation>
        <x14:dataValidation type="list" allowBlank="1" showInputMessage="1" showErrorMessage="1" xr:uid="{39296657-6B56-4349-858A-5C5A700EE473}">
          <x14:formula1>
            <xm:f>項目!C17:$QAI$720897</xm:f>
          </x14:formula1>
          <xm:sqref>QAQ720903:QAQ720926</xm:sqref>
        </x14:dataValidation>
        <x14:dataValidation type="list" allowBlank="1" showInputMessage="1" showErrorMessage="1" xr:uid="{FDC968C7-7DC8-4A62-AB0E-7B67F85842EA}">
          <x14:formula1>
            <xm:f>項目!C17:$QKE$720897</xm:f>
          </x14:formula1>
          <xm:sqref>QKM720903:QKM720926</xm:sqref>
        </x14:dataValidation>
        <x14:dataValidation type="list" allowBlank="1" showInputMessage="1" showErrorMessage="1" xr:uid="{F60FE5DD-A295-4062-B8B5-39EB6FF4F084}">
          <x14:formula1>
            <xm:f>項目!C17:$QUA$720897</xm:f>
          </x14:formula1>
          <xm:sqref>QUI720903:QUI720926</xm:sqref>
        </x14:dataValidation>
        <x14:dataValidation type="list" allowBlank="1" showInputMessage="1" showErrorMessage="1" xr:uid="{9E0AE4E1-AC79-4744-81A3-5EA2D35F5388}">
          <x14:formula1>
            <xm:f>項目!C17:$RDW$720897</xm:f>
          </x14:formula1>
          <xm:sqref>REE720903:REE720926</xm:sqref>
        </x14:dataValidation>
        <x14:dataValidation type="list" allowBlank="1" showInputMessage="1" showErrorMessage="1" xr:uid="{F1A78025-FC7E-4DB7-8120-CFA8EA70A35A}">
          <x14:formula1>
            <xm:f>項目!C17:$RNS$720897</xm:f>
          </x14:formula1>
          <xm:sqref>ROA720903:ROA720926</xm:sqref>
        </x14:dataValidation>
        <x14:dataValidation type="list" allowBlank="1" showInputMessage="1" showErrorMessage="1" xr:uid="{E9923E22-87C4-4994-814E-2294DB929644}">
          <x14:formula1>
            <xm:f>項目!C17:$RXO$720897</xm:f>
          </x14:formula1>
          <xm:sqref>RXW720903:RXW720926</xm:sqref>
        </x14:dataValidation>
        <x14:dataValidation type="list" allowBlank="1" showInputMessage="1" showErrorMessage="1" xr:uid="{5777112E-7CE4-4609-8765-3F1F37BE9A38}">
          <x14:formula1>
            <xm:f>項目!C17:$SHK$720897</xm:f>
          </x14:formula1>
          <xm:sqref>SHS720903:SHS720926</xm:sqref>
        </x14:dataValidation>
        <x14:dataValidation type="list" allowBlank="1" showInputMessage="1" showErrorMessage="1" xr:uid="{CBC17C17-90AE-42E3-B83E-EC7A82C48FA2}">
          <x14:formula1>
            <xm:f>項目!C17:$SRG$720897</xm:f>
          </x14:formula1>
          <xm:sqref>SRO720903:SRO720926</xm:sqref>
        </x14:dataValidation>
        <x14:dataValidation type="list" allowBlank="1" showInputMessage="1" showErrorMessage="1" xr:uid="{4437048D-F963-49E3-B30D-4692FB035554}">
          <x14:formula1>
            <xm:f>項目!C17:$TBC$720897</xm:f>
          </x14:formula1>
          <xm:sqref>TBK720903:TBK720926</xm:sqref>
        </x14:dataValidation>
        <x14:dataValidation type="list" allowBlank="1" showInputMessage="1" showErrorMessage="1" xr:uid="{7C70569A-7639-47D2-831B-F5A6C4C7DD72}">
          <x14:formula1>
            <xm:f>項目!C17:$TKY$720897</xm:f>
          </x14:formula1>
          <xm:sqref>TLG720903:TLG720926</xm:sqref>
        </x14:dataValidation>
        <x14:dataValidation type="list" allowBlank="1" showInputMessage="1" showErrorMessage="1" xr:uid="{D3DF800E-B60B-4245-8463-2965B7B79073}">
          <x14:formula1>
            <xm:f>項目!C17:$TUU$720897</xm:f>
          </x14:formula1>
          <xm:sqref>TVC720903:TVC720926</xm:sqref>
        </x14:dataValidation>
        <x14:dataValidation type="list" allowBlank="1" showInputMessage="1" showErrorMessage="1" xr:uid="{F45406EE-A4E7-42AD-B2C3-B3F4FFD59B64}">
          <x14:formula1>
            <xm:f>項目!C17:$UEQ$720897</xm:f>
          </x14:formula1>
          <xm:sqref>UEY720903:UEY720926</xm:sqref>
        </x14:dataValidation>
        <x14:dataValidation type="list" allowBlank="1" showInputMessage="1" showErrorMessage="1" xr:uid="{0EDEC6AD-F643-43CD-95BE-D49B5490AFF1}">
          <x14:formula1>
            <xm:f>項目!C17:$UOM$720897</xm:f>
          </x14:formula1>
          <xm:sqref>UOU720903:UOU720926</xm:sqref>
        </x14:dataValidation>
        <x14:dataValidation type="list" allowBlank="1" showInputMessage="1" showErrorMessage="1" xr:uid="{6BCA30F0-9407-4F73-A6A2-EF403231A29D}">
          <x14:formula1>
            <xm:f>項目!C17:$UYI$720897</xm:f>
          </x14:formula1>
          <xm:sqref>UYQ720903:UYQ720926</xm:sqref>
        </x14:dataValidation>
        <x14:dataValidation type="list" allowBlank="1" showInputMessage="1" showErrorMessage="1" xr:uid="{A619FD07-4141-4746-A202-4250075CD4F9}">
          <x14:formula1>
            <xm:f>項目!C17:$VIE$720897</xm:f>
          </x14:formula1>
          <xm:sqref>VIM720903:VIM720926</xm:sqref>
        </x14:dataValidation>
        <x14:dataValidation type="list" allowBlank="1" showInputMessage="1" showErrorMessage="1" xr:uid="{AA430AA6-A9C0-4A17-9F39-F8F25590CBFD}">
          <x14:formula1>
            <xm:f>項目!C17:$VSA$720897</xm:f>
          </x14:formula1>
          <xm:sqref>VSI720903:VSI720926</xm:sqref>
        </x14:dataValidation>
        <x14:dataValidation type="list" allowBlank="1" showInputMessage="1" showErrorMessage="1" xr:uid="{95B395D4-68E1-48A0-AE1D-A514D624F617}">
          <x14:formula1>
            <xm:f>項目!C17:$WBW$720897</xm:f>
          </x14:formula1>
          <xm:sqref>WCE720903:WCE720926</xm:sqref>
        </x14:dataValidation>
        <x14:dataValidation type="list" allowBlank="1" showInputMessage="1" showErrorMessage="1" xr:uid="{8B2A2124-E6B3-4F92-84B6-BB9882DAFAEE}">
          <x14:formula1>
            <xm:f>項目!C17:$WLS$720897</xm:f>
          </x14:formula1>
          <xm:sqref>WMA720903:WMA720926</xm:sqref>
        </x14:dataValidation>
        <x14:dataValidation type="list" allowBlank="1" showInputMessage="1" showErrorMessage="1" xr:uid="{E2BE2AC8-2F09-4614-8DFD-99A5AE8E5148}">
          <x14:formula1>
            <xm:f>項目!C17:$WVO$720897</xm:f>
          </x14:formula1>
          <xm:sqref>WVW720903:WVW720926</xm:sqref>
        </x14:dataValidation>
        <x14:dataValidation type="list" allowBlank="1" showInputMessage="1" showErrorMessage="1" xr:uid="{8FF4BAFA-8C81-4A1D-866E-90FB3D50D70F}">
          <x14:formula1>
            <xm:f>項目!C17:$J$786433</xm:f>
          </x14:formula1>
          <xm:sqref>O786439:O786462</xm:sqref>
        </x14:dataValidation>
        <x14:dataValidation type="list" allowBlank="1" showInputMessage="1" showErrorMessage="1" xr:uid="{8EBED2B4-47C4-4E84-98A4-6E9F026FBE57}">
          <x14:formula1>
            <xm:f>項目!C17:$JC$786433</xm:f>
          </x14:formula1>
          <xm:sqref>JK786439:JK786462</xm:sqref>
        </x14:dataValidation>
        <x14:dataValidation type="list" allowBlank="1" showInputMessage="1" showErrorMessage="1" xr:uid="{FBC26D1F-DDFF-4260-81E2-09845CC14A7A}">
          <x14:formula1>
            <xm:f>項目!C17:$SY$786433</xm:f>
          </x14:formula1>
          <xm:sqref>TG786439:TG786462</xm:sqref>
        </x14:dataValidation>
        <x14:dataValidation type="list" allowBlank="1" showInputMessage="1" showErrorMessage="1" xr:uid="{593315F1-5C1D-4B78-9837-C4C88E63E444}">
          <x14:formula1>
            <xm:f>項目!C17:$ACU$786433</xm:f>
          </x14:formula1>
          <xm:sqref>ADC786439:ADC786462</xm:sqref>
        </x14:dataValidation>
        <x14:dataValidation type="list" allowBlank="1" showInputMessage="1" showErrorMessage="1" xr:uid="{5977B457-0FB6-47BE-B6B3-B2E0A475C741}">
          <x14:formula1>
            <xm:f>項目!C17:$AMQ$786433</xm:f>
          </x14:formula1>
          <xm:sqref>AMY786439:AMY786462</xm:sqref>
        </x14:dataValidation>
        <x14:dataValidation type="list" allowBlank="1" showInputMessage="1" showErrorMessage="1" xr:uid="{6665CD0C-D3A1-4DBE-860C-74DD36AC95C9}">
          <x14:formula1>
            <xm:f>項目!C17:$AWM$786433</xm:f>
          </x14:formula1>
          <xm:sqref>AWU786439:AWU786462</xm:sqref>
        </x14:dataValidation>
        <x14:dataValidation type="list" allowBlank="1" showInputMessage="1" showErrorMessage="1" xr:uid="{54AABFDA-081D-4AD5-81AC-50EB7B2F26E8}">
          <x14:formula1>
            <xm:f>項目!C17:$BGI$786433</xm:f>
          </x14:formula1>
          <xm:sqref>BGQ786439:BGQ786462</xm:sqref>
        </x14:dataValidation>
        <x14:dataValidation type="list" allowBlank="1" showInputMessage="1" showErrorMessage="1" xr:uid="{7C87D6D5-769B-451C-9B69-9EB33E54FDB3}">
          <x14:formula1>
            <xm:f>項目!C17:$BQE$786433</xm:f>
          </x14:formula1>
          <xm:sqref>BQM786439:BQM786462</xm:sqref>
        </x14:dataValidation>
        <x14:dataValidation type="list" allowBlank="1" showInputMessage="1" showErrorMessage="1" xr:uid="{C8038447-3E7C-4FBD-9573-69FF75841822}">
          <x14:formula1>
            <xm:f>項目!C17:$CAA$786433</xm:f>
          </x14:formula1>
          <xm:sqref>CAI786439:CAI786462</xm:sqref>
        </x14:dataValidation>
        <x14:dataValidation type="list" allowBlank="1" showInputMessage="1" showErrorMessage="1" xr:uid="{D33E1AD4-1790-49B6-8A04-5C7F613BAAA4}">
          <x14:formula1>
            <xm:f>項目!C17:$CJW$786433</xm:f>
          </x14:formula1>
          <xm:sqref>CKE786439:CKE786462</xm:sqref>
        </x14:dataValidation>
        <x14:dataValidation type="list" allowBlank="1" showInputMessage="1" showErrorMessage="1" xr:uid="{15A6E131-7F36-4E9F-BCF5-4E108FEBA751}">
          <x14:formula1>
            <xm:f>項目!C17:$CTS$786433</xm:f>
          </x14:formula1>
          <xm:sqref>CUA786439:CUA786462</xm:sqref>
        </x14:dataValidation>
        <x14:dataValidation type="list" allowBlank="1" showInputMessage="1" showErrorMessage="1" xr:uid="{902D7BD0-986C-4B34-83B8-CEE18673D44B}">
          <x14:formula1>
            <xm:f>項目!C17:$DDO$786433</xm:f>
          </x14:formula1>
          <xm:sqref>DDW786439:DDW786462</xm:sqref>
        </x14:dataValidation>
        <x14:dataValidation type="list" allowBlank="1" showInputMessage="1" showErrorMessage="1" xr:uid="{E0B2E654-2A74-49C0-83D9-1ADC762409F4}">
          <x14:formula1>
            <xm:f>項目!C17:$DNK$786433</xm:f>
          </x14:formula1>
          <xm:sqref>DNS786439:DNS786462</xm:sqref>
        </x14:dataValidation>
        <x14:dataValidation type="list" allowBlank="1" showInputMessage="1" showErrorMessage="1" xr:uid="{6F58E83E-4F79-4F81-BEE8-890B6A3333E1}">
          <x14:formula1>
            <xm:f>項目!C17:$DXG$786433</xm:f>
          </x14:formula1>
          <xm:sqref>DXO786439:DXO786462</xm:sqref>
        </x14:dataValidation>
        <x14:dataValidation type="list" allowBlank="1" showInputMessage="1" showErrorMessage="1" xr:uid="{89DDA54E-DFFA-4E03-93A6-2E7B67BCBBAC}">
          <x14:formula1>
            <xm:f>項目!C17:$EHC$786433</xm:f>
          </x14:formula1>
          <xm:sqref>EHK786439:EHK786462</xm:sqref>
        </x14:dataValidation>
        <x14:dataValidation type="list" allowBlank="1" showInputMessage="1" showErrorMessage="1" xr:uid="{CA58AD1E-5CFE-496F-AB4C-FE015CDA4C6B}">
          <x14:formula1>
            <xm:f>項目!C17:$EQY$786433</xm:f>
          </x14:formula1>
          <xm:sqref>ERG786439:ERG786462</xm:sqref>
        </x14:dataValidation>
        <x14:dataValidation type="list" allowBlank="1" showInputMessage="1" showErrorMessage="1" xr:uid="{0F02390B-1EA7-4290-9FB5-6C64BEB0BDE2}">
          <x14:formula1>
            <xm:f>項目!C17:$FAU$786433</xm:f>
          </x14:formula1>
          <xm:sqref>FBC786439:FBC786462</xm:sqref>
        </x14:dataValidation>
        <x14:dataValidation type="list" allowBlank="1" showInputMessage="1" showErrorMessage="1" xr:uid="{BD6AE4CC-14DB-44ED-8917-AE729A04E3EA}">
          <x14:formula1>
            <xm:f>項目!C17:$FKQ$786433</xm:f>
          </x14:formula1>
          <xm:sqref>FKY786439:FKY786462</xm:sqref>
        </x14:dataValidation>
        <x14:dataValidation type="list" allowBlank="1" showInputMessage="1" showErrorMessage="1" xr:uid="{9364B764-FCD0-436E-BE15-048988817FE0}">
          <x14:formula1>
            <xm:f>項目!C17:$FUM$786433</xm:f>
          </x14:formula1>
          <xm:sqref>FUU786439:FUU786462</xm:sqref>
        </x14:dataValidation>
        <x14:dataValidation type="list" allowBlank="1" showInputMessage="1" showErrorMessage="1" xr:uid="{C8F8A85A-585A-4E92-AD76-634CB6D4D458}">
          <x14:formula1>
            <xm:f>項目!C17:$GEI$786433</xm:f>
          </x14:formula1>
          <xm:sqref>GEQ786439:GEQ786462</xm:sqref>
        </x14:dataValidation>
        <x14:dataValidation type="list" allowBlank="1" showInputMessage="1" showErrorMessage="1" xr:uid="{D3A8DFF8-FE8C-4324-A19C-7602EBDD0AEA}">
          <x14:formula1>
            <xm:f>項目!C17:$GOE$786433</xm:f>
          </x14:formula1>
          <xm:sqref>GOM786439:GOM786462</xm:sqref>
        </x14:dataValidation>
        <x14:dataValidation type="list" allowBlank="1" showInputMessage="1" showErrorMessage="1" xr:uid="{091BB114-1955-4F68-ADF3-A91373324588}">
          <x14:formula1>
            <xm:f>項目!C17:$GYA$786433</xm:f>
          </x14:formula1>
          <xm:sqref>GYI786439:GYI786462</xm:sqref>
        </x14:dataValidation>
        <x14:dataValidation type="list" allowBlank="1" showInputMessage="1" showErrorMessage="1" xr:uid="{FCDA71F0-12A2-4C94-9C6D-DAA3634A8EC9}">
          <x14:formula1>
            <xm:f>項目!C17:$HHW$786433</xm:f>
          </x14:formula1>
          <xm:sqref>HIE786439:HIE786462</xm:sqref>
        </x14:dataValidation>
        <x14:dataValidation type="list" allowBlank="1" showInputMessage="1" showErrorMessage="1" xr:uid="{C867E4A3-F216-4BF0-8823-C650E8743F2C}">
          <x14:formula1>
            <xm:f>項目!C17:$HRS$786433</xm:f>
          </x14:formula1>
          <xm:sqref>HSA786439:HSA786462</xm:sqref>
        </x14:dataValidation>
        <x14:dataValidation type="list" allowBlank="1" showInputMessage="1" showErrorMessage="1" xr:uid="{B9B1BCDA-F9D9-470C-BCB7-E9B8DEBFA084}">
          <x14:formula1>
            <xm:f>項目!C17:$IBO$786433</xm:f>
          </x14:formula1>
          <xm:sqref>IBW786439:IBW786462</xm:sqref>
        </x14:dataValidation>
        <x14:dataValidation type="list" allowBlank="1" showInputMessage="1" showErrorMessage="1" xr:uid="{41F4C033-89AC-4300-93A8-748CD3172444}">
          <x14:formula1>
            <xm:f>項目!C17:$ILK$786433</xm:f>
          </x14:formula1>
          <xm:sqref>ILS786439:ILS786462</xm:sqref>
        </x14:dataValidation>
        <x14:dataValidation type="list" allowBlank="1" showInputMessage="1" showErrorMessage="1" xr:uid="{F3EDBFE7-BD28-42B8-9FBA-4530496824E1}">
          <x14:formula1>
            <xm:f>項目!C17:$IVG$786433</xm:f>
          </x14:formula1>
          <xm:sqref>IVO786439:IVO786462</xm:sqref>
        </x14:dataValidation>
        <x14:dataValidation type="list" allowBlank="1" showInputMessage="1" showErrorMessage="1" xr:uid="{493C6D51-A18A-4695-A224-792C5D15BEF4}">
          <x14:formula1>
            <xm:f>項目!C17:$JFC$786433</xm:f>
          </x14:formula1>
          <xm:sqref>JFK786439:JFK786462</xm:sqref>
        </x14:dataValidation>
        <x14:dataValidation type="list" allowBlank="1" showInputMessage="1" showErrorMessage="1" xr:uid="{ED5C9F2B-F613-4B96-A0A5-B7FD50431AAD}">
          <x14:formula1>
            <xm:f>項目!C17:$JOY$786433</xm:f>
          </x14:formula1>
          <xm:sqref>JPG786439:JPG786462</xm:sqref>
        </x14:dataValidation>
        <x14:dataValidation type="list" allowBlank="1" showInputMessage="1" showErrorMessage="1" xr:uid="{AB204406-CF94-4116-988B-1F7B6B5D38AC}">
          <x14:formula1>
            <xm:f>項目!C17:$JYU$786433</xm:f>
          </x14:formula1>
          <xm:sqref>JZC786439:JZC786462</xm:sqref>
        </x14:dataValidation>
        <x14:dataValidation type="list" allowBlank="1" showInputMessage="1" showErrorMessage="1" xr:uid="{82C45405-7E03-4FF2-92D8-E383419B698F}">
          <x14:formula1>
            <xm:f>項目!C17:$KIQ$786433</xm:f>
          </x14:formula1>
          <xm:sqref>KIY786439:KIY786462</xm:sqref>
        </x14:dataValidation>
        <x14:dataValidation type="list" allowBlank="1" showInputMessage="1" showErrorMessage="1" xr:uid="{AC4585AD-2C05-4959-93FE-B13D6CC1434F}">
          <x14:formula1>
            <xm:f>項目!C17:$KSM$786433</xm:f>
          </x14:formula1>
          <xm:sqref>KSU786439:KSU786462</xm:sqref>
        </x14:dataValidation>
        <x14:dataValidation type="list" allowBlank="1" showInputMessage="1" showErrorMessage="1" xr:uid="{A7EE2763-5AE9-48E9-A541-E1E1180674E8}">
          <x14:formula1>
            <xm:f>項目!C17:$LCI$786433</xm:f>
          </x14:formula1>
          <xm:sqref>LCQ786439:LCQ786462</xm:sqref>
        </x14:dataValidation>
        <x14:dataValidation type="list" allowBlank="1" showInputMessage="1" showErrorMessage="1" xr:uid="{9E8B8DC2-3553-4294-BDF9-E6A40182AAA8}">
          <x14:formula1>
            <xm:f>項目!C17:$LME$786433</xm:f>
          </x14:formula1>
          <xm:sqref>LMM786439:LMM786462</xm:sqref>
        </x14:dataValidation>
        <x14:dataValidation type="list" allowBlank="1" showInputMessage="1" showErrorMessage="1" xr:uid="{D78329DF-AD04-416F-A659-E01BCB4F2737}">
          <x14:formula1>
            <xm:f>項目!C17:$LWA$786433</xm:f>
          </x14:formula1>
          <xm:sqref>LWI786439:LWI786462</xm:sqref>
        </x14:dataValidation>
        <x14:dataValidation type="list" allowBlank="1" showInputMessage="1" showErrorMessage="1" xr:uid="{46226E5A-4B7F-457A-BB82-E0EF7DE67389}">
          <x14:formula1>
            <xm:f>項目!C17:$MFW$786433</xm:f>
          </x14:formula1>
          <xm:sqref>MGE786439:MGE786462</xm:sqref>
        </x14:dataValidation>
        <x14:dataValidation type="list" allowBlank="1" showInputMessage="1" showErrorMessage="1" xr:uid="{09D50DC0-A7B1-4094-BA51-BDD072EF665D}">
          <x14:formula1>
            <xm:f>項目!C17:$MPS$786433</xm:f>
          </x14:formula1>
          <xm:sqref>MQA786439:MQA786462</xm:sqref>
        </x14:dataValidation>
        <x14:dataValidation type="list" allowBlank="1" showInputMessage="1" showErrorMessage="1" xr:uid="{F37CC835-5EA4-4F2A-ACCF-B905667E6867}">
          <x14:formula1>
            <xm:f>項目!C17:$MZO$786433</xm:f>
          </x14:formula1>
          <xm:sqref>MZW786439:MZW786462</xm:sqref>
        </x14:dataValidation>
        <x14:dataValidation type="list" allowBlank="1" showInputMessage="1" showErrorMessage="1" xr:uid="{A427DC7E-62C3-41D7-9F3D-340BA45048D2}">
          <x14:formula1>
            <xm:f>項目!C17:$NJK$786433</xm:f>
          </x14:formula1>
          <xm:sqref>NJS786439:NJS786462</xm:sqref>
        </x14:dataValidation>
        <x14:dataValidation type="list" allowBlank="1" showInputMessage="1" showErrorMessage="1" xr:uid="{CAD49B7C-3940-4B46-9FEF-BD593DAA324A}">
          <x14:formula1>
            <xm:f>項目!C17:$NTG$786433</xm:f>
          </x14:formula1>
          <xm:sqref>NTO786439:NTO786462</xm:sqref>
        </x14:dataValidation>
        <x14:dataValidation type="list" allowBlank="1" showInputMessage="1" showErrorMessage="1" xr:uid="{9C5A095C-95B5-421C-8E15-624252486507}">
          <x14:formula1>
            <xm:f>項目!C17:$ODC$786433</xm:f>
          </x14:formula1>
          <xm:sqref>ODK786439:ODK786462</xm:sqref>
        </x14:dataValidation>
        <x14:dataValidation type="list" allowBlank="1" showInputMessage="1" showErrorMessage="1" xr:uid="{06581547-B629-4423-8FC8-017C6EADE64D}">
          <x14:formula1>
            <xm:f>項目!C17:$OMY$786433</xm:f>
          </x14:formula1>
          <xm:sqref>ONG786439:ONG786462</xm:sqref>
        </x14:dataValidation>
        <x14:dataValidation type="list" allowBlank="1" showInputMessage="1" showErrorMessage="1" xr:uid="{7AA51D1D-59AE-4284-959E-4D8E15B30B9C}">
          <x14:formula1>
            <xm:f>項目!C17:$OWU$786433</xm:f>
          </x14:formula1>
          <xm:sqref>OXC786439:OXC786462</xm:sqref>
        </x14:dataValidation>
        <x14:dataValidation type="list" allowBlank="1" showInputMessage="1" showErrorMessage="1" xr:uid="{B5C4242F-8840-4DAD-8F0E-5FF6F6A3C975}">
          <x14:formula1>
            <xm:f>項目!C17:$PGQ$786433</xm:f>
          </x14:formula1>
          <xm:sqref>PGY786439:PGY786462</xm:sqref>
        </x14:dataValidation>
        <x14:dataValidation type="list" allowBlank="1" showInputMessage="1" showErrorMessage="1" xr:uid="{83DE724F-C512-40AF-82A1-7FC0E042FA51}">
          <x14:formula1>
            <xm:f>項目!C17:$PQM$786433</xm:f>
          </x14:formula1>
          <xm:sqref>PQU786439:PQU786462</xm:sqref>
        </x14:dataValidation>
        <x14:dataValidation type="list" allowBlank="1" showInputMessage="1" showErrorMessage="1" xr:uid="{2AD1BCD6-B54E-44F4-992D-90882D2425A2}">
          <x14:formula1>
            <xm:f>項目!C17:$QAI$786433</xm:f>
          </x14:formula1>
          <xm:sqref>QAQ786439:QAQ786462</xm:sqref>
        </x14:dataValidation>
        <x14:dataValidation type="list" allowBlank="1" showInputMessage="1" showErrorMessage="1" xr:uid="{2652000F-D736-463D-8742-AB707BC4F66C}">
          <x14:formula1>
            <xm:f>項目!C17:$QKE$786433</xm:f>
          </x14:formula1>
          <xm:sqref>QKM786439:QKM786462</xm:sqref>
        </x14:dataValidation>
        <x14:dataValidation type="list" allowBlank="1" showInputMessage="1" showErrorMessage="1" xr:uid="{4EEA9DD4-7517-4F17-AC6B-B70325C7FD0F}">
          <x14:formula1>
            <xm:f>項目!C17:$QUA$786433</xm:f>
          </x14:formula1>
          <xm:sqref>QUI786439:QUI786462</xm:sqref>
        </x14:dataValidation>
        <x14:dataValidation type="list" allowBlank="1" showInputMessage="1" showErrorMessage="1" xr:uid="{931A526F-2A4E-4917-A10F-E631678EAA9A}">
          <x14:formula1>
            <xm:f>項目!C17:$RDW$786433</xm:f>
          </x14:formula1>
          <xm:sqref>REE786439:REE786462</xm:sqref>
        </x14:dataValidation>
        <x14:dataValidation type="list" allowBlank="1" showInputMessage="1" showErrorMessage="1" xr:uid="{446AC7E4-5EE4-4B5A-8DA9-EBFBD10C5FCD}">
          <x14:formula1>
            <xm:f>項目!C17:$RNS$786433</xm:f>
          </x14:formula1>
          <xm:sqref>ROA786439:ROA786462</xm:sqref>
        </x14:dataValidation>
        <x14:dataValidation type="list" allowBlank="1" showInputMessage="1" showErrorMessage="1" xr:uid="{2C27D992-2B5A-4376-AE32-387D2109E96B}">
          <x14:formula1>
            <xm:f>項目!C17:$RXO$786433</xm:f>
          </x14:formula1>
          <xm:sqref>RXW786439:RXW786462</xm:sqref>
        </x14:dataValidation>
        <x14:dataValidation type="list" allowBlank="1" showInputMessage="1" showErrorMessage="1" xr:uid="{C050FB7C-C575-4D91-9E2B-20B3BE013509}">
          <x14:formula1>
            <xm:f>項目!C17:$SHK$786433</xm:f>
          </x14:formula1>
          <xm:sqref>SHS786439:SHS786462</xm:sqref>
        </x14:dataValidation>
        <x14:dataValidation type="list" allowBlank="1" showInputMessage="1" showErrorMessage="1" xr:uid="{79849420-DAE9-45A3-8197-31CD8446A41D}">
          <x14:formula1>
            <xm:f>項目!C17:$SRG$786433</xm:f>
          </x14:formula1>
          <xm:sqref>SRO786439:SRO786462</xm:sqref>
        </x14:dataValidation>
        <x14:dataValidation type="list" allowBlank="1" showInputMessage="1" showErrorMessage="1" xr:uid="{02B8375A-FF47-4123-8F09-5E6B54658463}">
          <x14:formula1>
            <xm:f>項目!C17:$TBC$786433</xm:f>
          </x14:formula1>
          <xm:sqref>TBK786439:TBK786462</xm:sqref>
        </x14:dataValidation>
        <x14:dataValidation type="list" allowBlank="1" showInputMessage="1" showErrorMessage="1" xr:uid="{A770C09E-8F96-425B-8BE9-003B8929561D}">
          <x14:formula1>
            <xm:f>項目!C17:$TKY$786433</xm:f>
          </x14:formula1>
          <xm:sqref>TLG786439:TLG786462</xm:sqref>
        </x14:dataValidation>
        <x14:dataValidation type="list" allowBlank="1" showInputMessage="1" showErrorMessage="1" xr:uid="{23D1F3CE-FECA-4DFA-9E50-A502EBE136B3}">
          <x14:formula1>
            <xm:f>項目!C17:$TUU$786433</xm:f>
          </x14:formula1>
          <xm:sqref>TVC786439:TVC786462</xm:sqref>
        </x14:dataValidation>
        <x14:dataValidation type="list" allowBlank="1" showInputMessage="1" showErrorMessage="1" xr:uid="{922BB9D7-AAC5-4347-9405-A7BD20026789}">
          <x14:formula1>
            <xm:f>項目!C17:$UEQ$786433</xm:f>
          </x14:formula1>
          <xm:sqref>UEY786439:UEY786462</xm:sqref>
        </x14:dataValidation>
        <x14:dataValidation type="list" allowBlank="1" showInputMessage="1" showErrorMessage="1" xr:uid="{8A77BAB7-9EEC-40F1-A2C5-919164EC4095}">
          <x14:formula1>
            <xm:f>項目!C17:$UOM$786433</xm:f>
          </x14:formula1>
          <xm:sqref>UOU786439:UOU786462</xm:sqref>
        </x14:dataValidation>
        <x14:dataValidation type="list" allowBlank="1" showInputMessage="1" showErrorMessage="1" xr:uid="{C611709D-59A6-4D8D-9D50-DA44B8A7D341}">
          <x14:formula1>
            <xm:f>項目!C17:$UYI$786433</xm:f>
          </x14:formula1>
          <xm:sqref>UYQ786439:UYQ786462</xm:sqref>
        </x14:dataValidation>
        <x14:dataValidation type="list" allowBlank="1" showInputMessage="1" showErrorMessage="1" xr:uid="{0EA44F09-F062-4B48-A1F1-731E8187DFDE}">
          <x14:formula1>
            <xm:f>項目!C17:$VIE$786433</xm:f>
          </x14:formula1>
          <xm:sqref>VIM786439:VIM786462</xm:sqref>
        </x14:dataValidation>
        <x14:dataValidation type="list" allowBlank="1" showInputMessage="1" showErrorMessage="1" xr:uid="{3FA25821-D93B-457E-878C-5922CA456A38}">
          <x14:formula1>
            <xm:f>項目!C17:$VSA$786433</xm:f>
          </x14:formula1>
          <xm:sqref>VSI786439:VSI786462</xm:sqref>
        </x14:dataValidation>
        <x14:dataValidation type="list" allowBlank="1" showInputMessage="1" showErrorMessage="1" xr:uid="{42C1706C-C3C9-428B-97D4-608A1A9AE69B}">
          <x14:formula1>
            <xm:f>項目!C17:$WBW$786433</xm:f>
          </x14:formula1>
          <xm:sqref>WCE786439:WCE786462</xm:sqref>
        </x14:dataValidation>
        <x14:dataValidation type="list" allowBlank="1" showInputMessage="1" showErrorMessage="1" xr:uid="{AA267E38-4605-49E2-966C-77412128AA83}">
          <x14:formula1>
            <xm:f>項目!C17:$WLS$786433</xm:f>
          </x14:formula1>
          <xm:sqref>WMA786439:WMA786462</xm:sqref>
        </x14:dataValidation>
        <x14:dataValidation type="list" allowBlank="1" showInputMessage="1" showErrorMessage="1" xr:uid="{280979B3-20AD-426A-A28F-36898194DF0C}">
          <x14:formula1>
            <xm:f>項目!C17:$WVO$786433</xm:f>
          </x14:formula1>
          <xm:sqref>WVW786439:WVW786462</xm:sqref>
        </x14:dataValidation>
        <x14:dataValidation type="list" allowBlank="1" showInputMessage="1" showErrorMessage="1" xr:uid="{D10355BF-3903-46CB-BAC8-3DC52DCC69E1}">
          <x14:formula1>
            <xm:f>項目!C17:$J$851969</xm:f>
          </x14:formula1>
          <xm:sqref>O851975:O851998</xm:sqref>
        </x14:dataValidation>
        <x14:dataValidation type="list" allowBlank="1" showInputMessage="1" showErrorMessage="1" xr:uid="{7B88FEF0-B5D1-4CF7-9CBC-B6C9087925A7}">
          <x14:formula1>
            <xm:f>項目!C17:$JC$851969</xm:f>
          </x14:formula1>
          <xm:sqref>JK851975:JK851998</xm:sqref>
        </x14:dataValidation>
        <x14:dataValidation type="list" allowBlank="1" showInputMessage="1" showErrorMessage="1" xr:uid="{3786096F-4259-4583-8394-B4CCC8405CA2}">
          <x14:formula1>
            <xm:f>項目!C17:$SY$851969</xm:f>
          </x14:formula1>
          <xm:sqref>TG851975:TG851998</xm:sqref>
        </x14:dataValidation>
        <x14:dataValidation type="list" allowBlank="1" showInputMessage="1" showErrorMessage="1" xr:uid="{CD505C7F-394B-4CA6-8394-0609907B4453}">
          <x14:formula1>
            <xm:f>項目!C17:$ACU$851969</xm:f>
          </x14:formula1>
          <xm:sqref>ADC851975:ADC851998</xm:sqref>
        </x14:dataValidation>
        <x14:dataValidation type="list" allowBlank="1" showInputMessage="1" showErrorMessage="1" xr:uid="{15611A3A-0C80-4AF7-8A5A-02ABB9C72701}">
          <x14:formula1>
            <xm:f>項目!C17:$AMQ$851969</xm:f>
          </x14:formula1>
          <xm:sqref>AMY851975:AMY851998</xm:sqref>
        </x14:dataValidation>
        <x14:dataValidation type="list" allowBlank="1" showInputMessage="1" showErrorMessage="1" xr:uid="{9766BF45-4C6A-4451-9C94-2EAE749A80DB}">
          <x14:formula1>
            <xm:f>項目!C17:$AWM$851969</xm:f>
          </x14:formula1>
          <xm:sqref>AWU851975:AWU851998</xm:sqref>
        </x14:dataValidation>
        <x14:dataValidation type="list" allowBlank="1" showInputMessage="1" showErrorMessage="1" xr:uid="{94297EFC-0E24-4244-9356-012E9F39A486}">
          <x14:formula1>
            <xm:f>項目!C17:$BGI$851969</xm:f>
          </x14:formula1>
          <xm:sqref>BGQ851975:BGQ851998</xm:sqref>
        </x14:dataValidation>
        <x14:dataValidation type="list" allowBlank="1" showInputMessage="1" showErrorMessage="1" xr:uid="{EB761652-AB9E-4009-9630-27123637F284}">
          <x14:formula1>
            <xm:f>項目!C17:$BQE$851969</xm:f>
          </x14:formula1>
          <xm:sqref>BQM851975:BQM851998</xm:sqref>
        </x14:dataValidation>
        <x14:dataValidation type="list" allowBlank="1" showInputMessage="1" showErrorMessage="1" xr:uid="{ECDB4B8B-C78E-427B-A43E-285CE2E34036}">
          <x14:formula1>
            <xm:f>項目!C17:$CAA$851969</xm:f>
          </x14:formula1>
          <xm:sqref>CAI851975:CAI851998</xm:sqref>
        </x14:dataValidation>
        <x14:dataValidation type="list" allowBlank="1" showInputMessage="1" showErrorMessage="1" xr:uid="{853A1B30-7ED3-4C51-B75B-2F13A09AE8B8}">
          <x14:formula1>
            <xm:f>項目!C17:$CJW$851969</xm:f>
          </x14:formula1>
          <xm:sqref>CKE851975:CKE851998</xm:sqref>
        </x14:dataValidation>
        <x14:dataValidation type="list" allowBlank="1" showInputMessage="1" showErrorMessage="1" xr:uid="{89C0537F-6B23-442C-AAA4-1647068B5069}">
          <x14:formula1>
            <xm:f>項目!C17:$CTS$851969</xm:f>
          </x14:formula1>
          <xm:sqref>CUA851975:CUA851998</xm:sqref>
        </x14:dataValidation>
        <x14:dataValidation type="list" allowBlank="1" showInputMessage="1" showErrorMessage="1" xr:uid="{AE7FB5A6-F9D9-4D29-8C73-638AF31ECB24}">
          <x14:formula1>
            <xm:f>項目!C17:$DDO$851969</xm:f>
          </x14:formula1>
          <xm:sqref>DDW851975:DDW851998</xm:sqref>
        </x14:dataValidation>
        <x14:dataValidation type="list" allowBlank="1" showInputMessage="1" showErrorMessage="1" xr:uid="{C3C564F9-CFC6-4DA5-891F-9B584FB7AC3F}">
          <x14:formula1>
            <xm:f>項目!C17:$DNK$851969</xm:f>
          </x14:formula1>
          <xm:sqref>DNS851975:DNS851998</xm:sqref>
        </x14:dataValidation>
        <x14:dataValidation type="list" allowBlank="1" showInputMessage="1" showErrorMessage="1" xr:uid="{862F9124-577D-4E81-B98A-2DC6DCE08B03}">
          <x14:formula1>
            <xm:f>項目!C17:$DXG$851969</xm:f>
          </x14:formula1>
          <xm:sqref>DXO851975:DXO851998</xm:sqref>
        </x14:dataValidation>
        <x14:dataValidation type="list" allowBlank="1" showInputMessage="1" showErrorMessage="1" xr:uid="{A812A583-602B-4519-8498-C52267872936}">
          <x14:formula1>
            <xm:f>項目!C17:$EHC$851969</xm:f>
          </x14:formula1>
          <xm:sqref>EHK851975:EHK851998</xm:sqref>
        </x14:dataValidation>
        <x14:dataValidation type="list" allowBlank="1" showInputMessage="1" showErrorMessage="1" xr:uid="{CE45CFD0-F49A-4ABB-9ED7-ADA06ABC15AD}">
          <x14:formula1>
            <xm:f>項目!C17:$EQY$851969</xm:f>
          </x14:formula1>
          <xm:sqref>ERG851975:ERG851998</xm:sqref>
        </x14:dataValidation>
        <x14:dataValidation type="list" allowBlank="1" showInputMessage="1" showErrorMessage="1" xr:uid="{EF3D6C11-AC45-4164-8B41-3060825B9A5F}">
          <x14:formula1>
            <xm:f>項目!C17:$FAU$851969</xm:f>
          </x14:formula1>
          <xm:sqref>FBC851975:FBC851998</xm:sqref>
        </x14:dataValidation>
        <x14:dataValidation type="list" allowBlank="1" showInputMessage="1" showErrorMessage="1" xr:uid="{D4F11F09-EA5F-49F4-98F8-994A7EF2D849}">
          <x14:formula1>
            <xm:f>項目!C17:$FKQ$851969</xm:f>
          </x14:formula1>
          <xm:sqref>FKY851975:FKY851998</xm:sqref>
        </x14:dataValidation>
        <x14:dataValidation type="list" allowBlank="1" showInputMessage="1" showErrorMessage="1" xr:uid="{17DCCA80-44E0-43CA-8F52-C139EFCFDDFB}">
          <x14:formula1>
            <xm:f>項目!C17:$FUM$851969</xm:f>
          </x14:formula1>
          <xm:sqref>FUU851975:FUU851998</xm:sqref>
        </x14:dataValidation>
        <x14:dataValidation type="list" allowBlank="1" showInputMessage="1" showErrorMessage="1" xr:uid="{8FAD9701-4F96-4DC7-8893-9B2B58B4396C}">
          <x14:formula1>
            <xm:f>項目!C17:$GEI$851969</xm:f>
          </x14:formula1>
          <xm:sqref>GEQ851975:GEQ851998</xm:sqref>
        </x14:dataValidation>
        <x14:dataValidation type="list" allowBlank="1" showInputMessage="1" showErrorMessage="1" xr:uid="{3B838363-3F6D-4E06-9FA2-F558386CD015}">
          <x14:formula1>
            <xm:f>項目!C17:$GOE$851969</xm:f>
          </x14:formula1>
          <xm:sqref>GOM851975:GOM851998</xm:sqref>
        </x14:dataValidation>
        <x14:dataValidation type="list" allowBlank="1" showInputMessage="1" showErrorMessage="1" xr:uid="{782EF8B4-D2E9-4176-B24F-B2931E161FE7}">
          <x14:formula1>
            <xm:f>項目!C17:$GYA$851969</xm:f>
          </x14:formula1>
          <xm:sqref>GYI851975:GYI851998</xm:sqref>
        </x14:dataValidation>
        <x14:dataValidation type="list" allowBlank="1" showInputMessage="1" showErrorMessage="1" xr:uid="{E018D5A9-FB57-45C0-863D-5404C7638324}">
          <x14:formula1>
            <xm:f>項目!C17:$HHW$851969</xm:f>
          </x14:formula1>
          <xm:sqref>HIE851975:HIE851998</xm:sqref>
        </x14:dataValidation>
        <x14:dataValidation type="list" allowBlank="1" showInputMessage="1" showErrorMessage="1" xr:uid="{5D4F2755-58D5-4EA5-9498-F698E6713D5D}">
          <x14:formula1>
            <xm:f>項目!C17:$HRS$851969</xm:f>
          </x14:formula1>
          <xm:sqref>HSA851975:HSA851998</xm:sqref>
        </x14:dataValidation>
        <x14:dataValidation type="list" allowBlank="1" showInputMessage="1" showErrorMessage="1" xr:uid="{24BE274D-7BE6-4533-B81D-ED70888405D4}">
          <x14:formula1>
            <xm:f>項目!C17:$IBO$851969</xm:f>
          </x14:formula1>
          <xm:sqref>IBW851975:IBW851998</xm:sqref>
        </x14:dataValidation>
        <x14:dataValidation type="list" allowBlank="1" showInputMessage="1" showErrorMessage="1" xr:uid="{488ADB19-4317-4B9A-8BD9-67BC0AE1E692}">
          <x14:formula1>
            <xm:f>項目!C17:$ILK$851969</xm:f>
          </x14:formula1>
          <xm:sqref>ILS851975:ILS851998</xm:sqref>
        </x14:dataValidation>
        <x14:dataValidation type="list" allowBlank="1" showInputMessage="1" showErrorMessage="1" xr:uid="{E41FCEE0-D122-46D0-9D85-C054F062BEF2}">
          <x14:formula1>
            <xm:f>項目!C17:$IVG$851969</xm:f>
          </x14:formula1>
          <xm:sqref>IVO851975:IVO851998</xm:sqref>
        </x14:dataValidation>
        <x14:dataValidation type="list" allowBlank="1" showInputMessage="1" showErrorMessage="1" xr:uid="{555DC1CE-B354-4B63-8BA1-E6B45F1E7E11}">
          <x14:formula1>
            <xm:f>項目!C17:$JFC$851969</xm:f>
          </x14:formula1>
          <xm:sqref>JFK851975:JFK851998</xm:sqref>
        </x14:dataValidation>
        <x14:dataValidation type="list" allowBlank="1" showInputMessage="1" showErrorMessage="1" xr:uid="{694BEDD3-EF79-4848-8684-F0704CA86EA3}">
          <x14:formula1>
            <xm:f>項目!C17:$JOY$851969</xm:f>
          </x14:formula1>
          <xm:sqref>JPG851975:JPG851998</xm:sqref>
        </x14:dataValidation>
        <x14:dataValidation type="list" allowBlank="1" showInputMessage="1" showErrorMessage="1" xr:uid="{8F9C23FC-511E-4EE3-94DE-891BFFEACEB3}">
          <x14:formula1>
            <xm:f>項目!C17:$JYU$851969</xm:f>
          </x14:formula1>
          <xm:sqref>JZC851975:JZC851998</xm:sqref>
        </x14:dataValidation>
        <x14:dataValidation type="list" allowBlank="1" showInputMessage="1" showErrorMessage="1" xr:uid="{2A7B569F-5F1E-4A9F-A5B3-0CB1EF72EA25}">
          <x14:formula1>
            <xm:f>項目!C17:$KIQ$851969</xm:f>
          </x14:formula1>
          <xm:sqref>KIY851975:KIY851998</xm:sqref>
        </x14:dataValidation>
        <x14:dataValidation type="list" allowBlank="1" showInputMessage="1" showErrorMessage="1" xr:uid="{3B7A0D94-7667-4575-A746-9D8A04FDDB9E}">
          <x14:formula1>
            <xm:f>項目!C17:$KSM$851969</xm:f>
          </x14:formula1>
          <xm:sqref>KSU851975:KSU851998</xm:sqref>
        </x14:dataValidation>
        <x14:dataValidation type="list" allowBlank="1" showInputMessage="1" showErrorMessage="1" xr:uid="{58C055E8-4B83-451B-8ED7-48239DE36E7A}">
          <x14:formula1>
            <xm:f>項目!C17:$LCI$851969</xm:f>
          </x14:formula1>
          <xm:sqref>LCQ851975:LCQ851998</xm:sqref>
        </x14:dataValidation>
        <x14:dataValidation type="list" allowBlank="1" showInputMessage="1" showErrorMessage="1" xr:uid="{64F7D965-AA5A-4D84-AB44-4D721B6848FC}">
          <x14:formula1>
            <xm:f>項目!C17:$LME$851969</xm:f>
          </x14:formula1>
          <xm:sqref>LMM851975:LMM851998</xm:sqref>
        </x14:dataValidation>
        <x14:dataValidation type="list" allowBlank="1" showInputMessage="1" showErrorMessage="1" xr:uid="{F4885D57-DDF3-4900-AE9B-281BD38753AD}">
          <x14:formula1>
            <xm:f>項目!C17:$LWA$851969</xm:f>
          </x14:formula1>
          <xm:sqref>LWI851975:LWI851998</xm:sqref>
        </x14:dataValidation>
        <x14:dataValidation type="list" allowBlank="1" showInputMessage="1" showErrorMessage="1" xr:uid="{71A90A78-3731-4AEA-9ED9-1AFBCA95AF26}">
          <x14:formula1>
            <xm:f>項目!C17:$MFW$851969</xm:f>
          </x14:formula1>
          <xm:sqref>MGE851975:MGE851998</xm:sqref>
        </x14:dataValidation>
        <x14:dataValidation type="list" allowBlank="1" showInputMessage="1" showErrorMessage="1" xr:uid="{7A618753-82A0-4BCF-8AAA-5748ADDD52BB}">
          <x14:formula1>
            <xm:f>項目!C17:$MPS$851969</xm:f>
          </x14:formula1>
          <xm:sqref>MQA851975:MQA851998</xm:sqref>
        </x14:dataValidation>
        <x14:dataValidation type="list" allowBlank="1" showInputMessage="1" showErrorMessage="1" xr:uid="{9BDC8DA9-969B-47DA-BF1F-3755FDC9BE76}">
          <x14:formula1>
            <xm:f>項目!C17:$MZO$851969</xm:f>
          </x14:formula1>
          <xm:sqref>MZW851975:MZW851998</xm:sqref>
        </x14:dataValidation>
        <x14:dataValidation type="list" allowBlank="1" showInputMessage="1" showErrorMessage="1" xr:uid="{EA997A59-F7DF-4B10-9CE7-4FA61249A718}">
          <x14:formula1>
            <xm:f>項目!C17:$NJK$851969</xm:f>
          </x14:formula1>
          <xm:sqref>NJS851975:NJS851998</xm:sqref>
        </x14:dataValidation>
        <x14:dataValidation type="list" allowBlank="1" showInputMessage="1" showErrorMessage="1" xr:uid="{358A3F9E-5B6C-4EEF-A877-A4F80C53F6C0}">
          <x14:formula1>
            <xm:f>項目!C17:$NTG$851969</xm:f>
          </x14:formula1>
          <xm:sqref>NTO851975:NTO851998</xm:sqref>
        </x14:dataValidation>
        <x14:dataValidation type="list" allowBlank="1" showInputMessage="1" showErrorMessage="1" xr:uid="{E23BE8E0-3971-44E1-9667-638DDC474143}">
          <x14:formula1>
            <xm:f>項目!C17:$ODC$851969</xm:f>
          </x14:formula1>
          <xm:sqref>ODK851975:ODK851998</xm:sqref>
        </x14:dataValidation>
        <x14:dataValidation type="list" allowBlank="1" showInputMessage="1" showErrorMessage="1" xr:uid="{1AA7F774-5703-4989-9E93-62FBC7B12086}">
          <x14:formula1>
            <xm:f>項目!C17:$OMY$851969</xm:f>
          </x14:formula1>
          <xm:sqref>ONG851975:ONG851998</xm:sqref>
        </x14:dataValidation>
        <x14:dataValidation type="list" allowBlank="1" showInputMessage="1" showErrorMessage="1" xr:uid="{FFF8EA47-E3C9-4C5F-80A8-4B022CF9664F}">
          <x14:formula1>
            <xm:f>項目!C17:$OWU$851969</xm:f>
          </x14:formula1>
          <xm:sqref>OXC851975:OXC851998</xm:sqref>
        </x14:dataValidation>
        <x14:dataValidation type="list" allowBlank="1" showInputMessage="1" showErrorMessage="1" xr:uid="{54216BDE-DBAB-4667-999B-CDDCED373FD8}">
          <x14:formula1>
            <xm:f>項目!C17:$PGQ$851969</xm:f>
          </x14:formula1>
          <xm:sqref>PGY851975:PGY851998</xm:sqref>
        </x14:dataValidation>
        <x14:dataValidation type="list" allowBlank="1" showInputMessage="1" showErrorMessage="1" xr:uid="{14D74469-0BFD-4223-93A0-324AD8CDB294}">
          <x14:formula1>
            <xm:f>項目!C17:$PQM$851969</xm:f>
          </x14:formula1>
          <xm:sqref>PQU851975:PQU851998</xm:sqref>
        </x14:dataValidation>
        <x14:dataValidation type="list" allowBlank="1" showInputMessage="1" showErrorMessage="1" xr:uid="{0B6CE7FF-7488-40BA-8694-4FDD2CC919FF}">
          <x14:formula1>
            <xm:f>項目!C17:$QAI$851969</xm:f>
          </x14:formula1>
          <xm:sqref>QAQ851975:QAQ851998</xm:sqref>
        </x14:dataValidation>
        <x14:dataValidation type="list" allowBlank="1" showInputMessage="1" showErrorMessage="1" xr:uid="{B9F5CC4F-B668-4305-AE38-A7709BA8CC9D}">
          <x14:formula1>
            <xm:f>項目!C17:$QKE$851969</xm:f>
          </x14:formula1>
          <xm:sqref>QKM851975:QKM851998</xm:sqref>
        </x14:dataValidation>
        <x14:dataValidation type="list" allowBlank="1" showInputMessage="1" showErrorMessage="1" xr:uid="{7A81F84D-DA77-4E8D-BEE3-471C8B0A3221}">
          <x14:formula1>
            <xm:f>項目!C17:$QUA$851969</xm:f>
          </x14:formula1>
          <xm:sqref>QUI851975:QUI851998</xm:sqref>
        </x14:dataValidation>
        <x14:dataValidation type="list" allowBlank="1" showInputMessage="1" showErrorMessage="1" xr:uid="{7F069F40-B3B5-4088-9718-8E85DCF594F8}">
          <x14:formula1>
            <xm:f>項目!C17:$RDW$851969</xm:f>
          </x14:formula1>
          <xm:sqref>REE851975:REE851998</xm:sqref>
        </x14:dataValidation>
        <x14:dataValidation type="list" allowBlank="1" showInputMessage="1" showErrorMessage="1" xr:uid="{CA059952-5550-42A8-994B-09E6E0014ED9}">
          <x14:formula1>
            <xm:f>項目!C17:$RNS$851969</xm:f>
          </x14:formula1>
          <xm:sqref>ROA851975:ROA851998</xm:sqref>
        </x14:dataValidation>
        <x14:dataValidation type="list" allowBlank="1" showInputMessage="1" showErrorMessage="1" xr:uid="{C96AA477-A7B2-4338-A30F-B36CC9C4D7F1}">
          <x14:formula1>
            <xm:f>項目!C17:$RXO$851969</xm:f>
          </x14:formula1>
          <xm:sqref>RXW851975:RXW851998</xm:sqref>
        </x14:dataValidation>
        <x14:dataValidation type="list" allowBlank="1" showInputMessage="1" showErrorMessage="1" xr:uid="{33073821-E109-4782-95C7-A7CBAA3DF7DF}">
          <x14:formula1>
            <xm:f>項目!C17:$SHK$851969</xm:f>
          </x14:formula1>
          <xm:sqref>SHS851975:SHS851998</xm:sqref>
        </x14:dataValidation>
        <x14:dataValidation type="list" allowBlank="1" showInputMessage="1" showErrorMessage="1" xr:uid="{6807F6D2-BAA0-4958-8F1B-F52BA9ED7CE5}">
          <x14:formula1>
            <xm:f>項目!C17:$SRG$851969</xm:f>
          </x14:formula1>
          <xm:sqref>SRO851975:SRO851998</xm:sqref>
        </x14:dataValidation>
        <x14:dataValidation type="list" allowBlank="1" showInputMessage="1" showErrorMessage="1" xr:uid="{37FC6DF6-A682-40EC-AADB-F11A74BC973F}">
          <x14:formula1>
            <xm:f>項目!C17:$TBC$851969</xm:f>
          </x14:formula1>
          <xm:sqref>TBK851975:TBK851998</xm:sqref>
        </x14:dataValidation>
        <x14:dataValidation type="list" allowBlank="1" showInputMessage="1" showErrorMessage="1" xr:uid="{967BBD77-E960-409C-8317-097E21E8A818}">
          <x14:formula1>
            <xm:f>項目!C17:$TKY$851969</xm:f>
          </x14:formula1>
          <xm:sqref>TLG851975:TLG851998</xm:sqref>
        </x14:dataValidation>
        <x14:dataValidation type="list" allowBlank="1" showInputMessage="1" showErrorMessage="1" xr:uid="{ECAF9612-59B3-445E-9E2D-5841942C3A46}">
          <x14:formula1>
            <xm:f>項目!C17:$TUU$851969</xm:f>
          </x14:formula1>
          <xm:sqref>TVC851975:TVC851998</xm:sqref>
        </x14:dataValidation>
        <x14:dataValidation type="list" allowBlank="1" showInputMessage="1" showErrorMessage="1" xr:uid="{E37C8A7A-D48A-4EB8-AF70-86C005444514}">
          <x14:formula1>
            <xm:f>項目!C17:$UEQ$851969</xm:f>
          </x14:formula1>
          <xm:sqref>UEY851975:UEY851998</xm:sqref>
        </x14:dataValidation>
        <x14:dataValidation type="list" allowBlank="1" showInputMessage="1" showErrorMessage="1" xr:uid="{B6BD24C2-216E-4747-80AC-1A735BE1380A}">
          <x14:formula1>
            <xm:f>項目!C17:$UOM$851969</xm:f>
          </x14:formula1>
          <xm:sqref>UOU851975:UOU851998</xm:sqref>
        </x14:dataValidation>
        <x14:dataValidation type="list" allowBlank="1" showInputMessage="1" showErrorMessage="1" xr:uid="{F6FEE112-0710-4920-9F18-01304774C8F3}">
          <x14:formula1>
            <xm:f>項目!C17:$UYI$851969</xm:f>
          </x14:formula1>
          <xm:sqref>UYQ851975:UYQ851998</xm:sqref>
        </x14:dataValidation>
        <x14:dataValidation type="list" allowBlank="1" showInputMessage="1" showErrorMessage="1" xr:uid="{5BED5790-9518-4193-82BC-E5A5DFB0A2BB}">
          <x14:formula1>
            <xm:f>項目!C17:$VIE$851969</xm:f>
          </x14:formula1>
          <xm:sqref>VIM851975:VIM851998</xm:sqref>
        </x14:dataValidation>
        <x14:dataValidation type="list" allowBlank="1" showInputMessage="1" showErrorMessage="1" xr:uid="{0DD084B9-2EF7-42C0-A44B-8BC560820367}">
          <x14:formula1>
            <xm:f>項目!C17:$VSA$851969</xm:f>
          </x14:formula1>
          <xm:sqref>VSI851975:VSI851998</xm:sqref>
        </x14:dataValidation>
        <x14:dataValidation type="list" allowBlank="1" showInputMessage="1" showErrorMessage="1" xr:uid="{578ACBF2-D925-48B3-AA91-442F2D935F58}">
          <x14:formula1>
            <xm:f>項目!C17:$WBW$851969</xm:f>
          </x14:formula1>
          <xm:sqref>WCE851975:WCE851998</xm:sqref>
        </x14:dataValidation>
        <x14:dataValidation type="list" allowBlank="1" showInputMessage="1" showErrorMessage="1" xr:uid="{BFB284C3-13D0-40C4-B8EF-D15619DEE912}">
          <x14:formula1>
            <xm:f>項目!C17:$WLS$851969</xm:f>
          </x14:formula1>
          <xm:sqref>WMA851975:WMA851998</xm:sqref>
        </x14:dataValidation>
        <x14:dataValidation type="list" allowBlank="1" showInputMessage="1" showErrorMessage="1" xr:uid="{D9465B48-F7DB-43AB-AB28-19D06A901EA2}">
          <x14:formula1>
            <xm:f>項目!C17:$WVO$851969</xm:f>
          </x14:formula1>
          <xm:sqref>WVW851975:WVW851998</xm:sqref>
        </x14:dataValidation>
        <x14:dataValidation type="list" allowBlank="1" showInputMessage="1" showErrorMessage="1" xr:uid="{5738EA60-9046-4701-AAD8-97CFE71460B7}">
          <x14:formula1>
            <xm:f>項目!C17:$J$917505</xm:f>
          </x14:formula1>
          <xm:sqref>O917511:O917534</xm:sqref>
        </x14:dataValidation>
        <x14:dataValidation type="list" allowBlank="1" showInputMessage="1" showErrorMessage="1" xr:uid="{CAE04950-FDC9-43AF-8C28-177E3B8B20C6}">
          <x14:formula1>
            <xm:f>項目!C17:$JC$917505</xm:f>
          </x14:formula1>
          <xm:sqref>JK917511:JK917534</xm:sqref>
        </x14:dataValidation>
        <x14:dataValidation type="list" allowBlank="1" showInputMessage="1" showErrorMessage="1" xr:uid="{1C1E5611-C7D8-4554-8D0B-28E3A3BD3CD0}">
          <x14:formula1>
            <xm:f>項目!C17:$SY$917505</xm:f>
          </x14:formula1>
          <xm:sqref>TG917511:TG917534</xm:sqref>
        </x14:dataValidation>
        <x14:dataValidation type="list" allowBlank="1" showInputMessage="1" showErrorMessage="1" xr:uid="{85986441-753E-4A5A-AC61-570FD8F087E0}">
          <x14:formula1>
            <xm:f>項目!C17:$ACU$917505</xm:f>
          </x14:formula1>
          <xm:sqref>ADC917511:ADC917534</xm:sqref>
        </x14:dataValidation>
        <x14:dataValidation type="list" allowBlank="1" showInputMessage="1" showErrorMessage="1" xr:uid="{5864DFDB-DABE-4263-BE8B-6C86DB0C3A66}">
          <x14:formula1>
            <xm:f>項目!C17:$AMQ$917505</xm:f>
          </x14:formula1>
          <xm:sqref>AMY917511:AMY917534</xm:sqref>
        </x14:dataValidation>
        <x14:dataValidation type="list" allowBlank="1" showInputMessage="1" showErrorMessage="1" xr:uid="{EE895871-7E8F-4656-86F9-E357CB537326}">
          <x14:formula1>
            <xm:f>項目!C17:$AWM$917505</xm:f>
          </x14:formula1>
          <xm:sqref>AWU917511:AWU917534</xm:sqref>
        </x14:dataValidation>
        <x14:dataValidation type="list" allowBlank="1" showInputMessage="1" showErrorMessage="1" xr:uid="{A0271D19-0AF8-4D05-BD79-54BAC8DEB097}">
          <x14:formula1>
            <xm:f>項目!C17:$BGI$917505</xm:f>
          </x14:formula1>
          <xm:sqref>BGQ917511:BGQ917534</xm:sqref>
        </x14:dataValidation>
        <x14:dataValidation type="list" allowBlank="1" showInputMessage="1" showErrorMessage="1" xr:uid="{D10FD338-A386-45CC-8388-CD7869836E12}">
          <x14:formula1>
            <xm:f>項目!C17:$BQE$917505</xm:f>
          </x14:formula1>
          <xm:sqref>BQM917511:BQM917534</xm:sqref>
        </x14:dataValidation>
        <x14:dataValidation type="list" allowBlank="1" showInputMessage="1" showErrorMessage="1" xr:uid="{62372CA0-0690-4290-A880-DF394052B4FB}">
          <x14:formula1>
            <xm:f>項目!C17:$CAA$917505</xm:f>
          </x14:formula1>
          <xm:sqref>CAI917511:CAI917534</xm:sqref>
        </x14:dataValidation>
        <x14:dataValidation type="list" allowBlank="1" showInputMessage="1" showErrorMessage="1" xr:uid="{EA2DA3B4-60B1-473A-AE5B-65C8C245A82D}">
          <x14:formula1>
            <xm:f>項目!C17:$CJW$917505</xm:f>
          </x14:formula1>
          <xm:sqref>CKE917511:CKE917534</xm:sqref>
        </x14:dataValidation>
        <x14:dataValidation type="list" allowBlank="1" showInputMessage="1" showErrorMessage="1" xr:uid="{3B284E7A-BB6C-4E63-8B6C-3A2ED5B03351}">
          <x14:formula1>
            <xm:f>項目!C17:$CTS$917505</xm:f>
          </x14:formula1>
          <xm:sqref>CUA917511:CUA917534</xm:sqref>
        </x14:dataValidation>
        <x14:dataValidation type="list" allowBlank="1" showInputMessage="1" showErrorMessage="1" xr:uid="{356C955D-403D-442F-8ADE-30740DBE96B9}">
          <x14:formula1>
            <xm:f>項目!C17:$DDO$917505</xm:f>
          </x14:formula1>
          <xm:sqref>DDW917511:DDW917534</xm:sqref>
        </x14:dataValidation>
        <x14:dataValidation type="list" allowBlank="1" showInputMessage="1" showErrorMessage="1" xr:uid="{1FFDF803-21E6-4770-B311-DA8816C35F54}">
          <x14:formula1>
            <xm:f>項目!C17:$DNK$917505</xm:f>
          </x14:formula1>
          <xm:sqref>DNS917511:DNS917534</xm:sqref>
        </x14:dataValidation>
        <x14:dataValidation type="list" allowBlank="1" showInputMessage="1" showErrorMessage="1" xr:uid="{3ACEC211-FFCE-4FD3-9469-71EC09A2EDB1}">
          <x14:formula1>
            <xm:f>項目!C17:$DXG$917505</xm:f>
          </x14:formula1>
          <xm:sqref>DXO917511:DXO917534</xm:sqref>
        </x14:dataValidation>
        <x14:dataValidation type="list" allowBlank="1" showInputMessage="1" showErrorMessage="1" xr:uid="{9C49D755-4150-4864-8ECD-2EFE9515B024}">
          <x14:formula1>
            <xm:f>項目!C17:$EHC$917505</xm:f>
          </x14:formula1>
          <xm:sqref>EHK917511:EHK917534</xm:sqref>
        </x14:dataValidation>
        <x14:dataValidation type="list" allowBlank="1" showInputMessage="1" showErrorMessage="1" xr:uid="{35BBB326-A480-4F9D-A88F-4AC4E6551FC4}">
          <x14:formula1>
            <xm:f>項目!C17:$EQY$917505</xm:f>
          </x14:formula1>
          <xm:sqref>ERG917511:ERG917534</xm:sqref>
        </x14:dataValidation>
        <x14:dataValidation type="list" allowBlank="1" showInputMessage="1" showErrorMessage="1" xr:uid="{467D2D8B-6182-4ED6-A07B-B1BB1BD52C43}">
          <x14:formula1>
            <xm:f>項目!C17:$FAU$917505</xm:f>
          </x14:formula1>
          <xm:sqref>FBC917511:FBC917534</xm:sqref>
        </x14:dataValidation>
        <x14:dataValidation type="list" allowBlank="1" showInputMessage="1" showErrorMessage="1" xr:uid="{60B2954D-6E3C-4BE6-9E2D-70DF0FCF0E8A}">
          <x14:formula1>
            <xm:f>項目!C17:$FKQ$917505</xm:f>
          </x14:formula1>
          <xm:sqref>FKY917511:FKY917534</xm:sqref>
        </x14:dataValidation>
        <x14:dataValidation type="list" allowBlank="1" showInputMessage="1" showErrorMessage="1" xr:uid="{0055161A-39AC-4B67-84F9-CD9BCEB0CE14}">
          <x14:formula1>
            <xm:f>項目!C17:$FUM$917505</xm:f>
          </x14:formula1>
          <xm:sqref>FUU917511:FUU917534</xm:sqref>
        </x14:dataValidation>
        <x14:dataValidation type="list" allowBlank="1" showInputMessage="1" showErrorMessage="1" xr:uid="{9D6A9A06-5495-4155-85D5-186F4F12A74C}">
          <x14:formula1>
            <xm:f>項目!C17:$GEI$917505</xm:f>
          </x14:formula1>
          <xm:sqref>GEQ917511:GEQ917534</xm:sqref>
        </x14:dataValidation>
        <x14:dataValidation type="list" allowBlank="1" showInputMessage="1" showErrorMessage="1" xr:uid="{A4CC2C85-063D-41F1-8647-4A580DBD6076}">
          <x14:formula1>
            <xm:f>項目!C17:$GOE$917505</xm:f>
          </x14:formula1>
          <xm:sqref>GOM917511:GOM917534</xm:sqref>
        </x14:dataValidation>
        <x14:dataValidation type="list" allowBlank="1" showInputMessage="1" showErrorMessage="1" xr:uid="{A9302C81-9883-44B0-B121-8E9A87C9FF2F}">
          <x14:formula1>
            <xm:f>項目!C17:$GYA$917505</xm:f>
          </x14:formula1>
          <xm:sqref>GYI917511:GYI917534</xm:sqref>
        </x14:dataValidation>
        <x14:dataValidation type="list" allowBlank="1" showInputMessage="1" showErrorMessage="1" xr:uid="{D2DA28BC-0F72-442C-BEF7-1E98CD28395C}">
          <x14:formula1>
            <xm:f>項目!C17:$HHW$917505</xm:f>
          </x14:formula1>
          <xm:sqref>HIE917511:HIE917534</xm:sqref>
        </x14:dataValidation>
        <x14:dataValidation type="list" allowBlank="1" showInputMessage="1" showErrorMessage="1" xr:uid="{F0C4993C-1697-4B28-AC53-FEB30E6946FA}">
          <x14:formula1>
            <xm:f>項目!C17:$HRS$917505</xm:f>
          </x14:formula1>
          <xm:sqref>HSA917511:HSA917534</xm:sqref>
        </x14:dataValidation>
        <x14:dataValidation type="list" allowBlank="1" showInputMessage="1" showErrorMessage="1" xr:uid="{D2A76401-E38F-46CA-8738-6E94FE13313F}">
          <x14:formula1>
            <xm:f>項目!C17:$IBO$917505</xm:f>
          </x14:formula1>
          <xm:sqref>IBW917511:IBW917534</xm:sqref>
        </x14:dataValidation>
        <x14:dataValidation type="list" allowBlank="1" showInputMessage="1" showErrorMessage="1" xr:uid="{8040D960-AAF8-4084-8CF3-D391763D935D}">
          <x14:formula1>
            <xm:f>項目!C17:$ILK$917505</xm:f>
          </x14:formula1>
          <xm:sqref>ILS917511:ILS917534</xm:sqref>
        </x14:dataValidation>
        <x14:dataValidation type="list" allowBlank="1" showInputMessage="1" showErrorMessage="1" xr:uid="{3CA49748-8AA2-4401-8FE4-0785363C9F8D}">
          <x14:formula1>
            <xm:f>項目!C17:$IVG$917505</xm:f>
          </x14:formula1>
          <xm:sqref>IVO917511:IVO917534</xm:sqref>
        </x14:dataValidation>
        <x14:dataValidation type="list" allowBlank="1" showInputMessage="1" showErrorMessage="1" xr:uid="{0066017B-F967-4B94-A21F-51BE7BAD749C}">
          <x14:formula1>
            <xm:f>項目!C17:$JFC$917505</xm:f>
          </x14:formula1>
          <xm:sqref>JFK917511:JFK917534</xm:sqref>
        </x14:dataValidation>
        <x14:dataValidation type="list" allowBlank="1" showInputMessage="1" showErrorMessage="1" xr:uid="{1367CD83-C61F-4D2E-991C-75A90BBE16BA}">
          <x14:formula1>
            <xm:f>項目!C17:$JOY$917505</xm:f>
          </x14:formula1>
          <xm:sqref>JPG917511:JPG917534</xm:sqref>
        </x14:dataValidation>
        <x14:dataValidation type="list" allowBlank="1" showInputMessage="1" showErrorMessage="1" xr:uid="{C9AB0EED-BA8C-4FEA-914B-173D002B366C}">
          <x14:formula1>
            <xm:f>項目!C17:$JYU$917505</xm:f>
          </x14:formula1>
          <xm:sqref>JZC917511:JZC917534</xm:sqref>
        </x14:dataValidation>
        <x14:dataValidation type="list" allowBlank="1" showInputMessage="1" showErrorMessage="1" xr:uid="{C1E03735-3DF6-4B16-86CA-D2BB00423ED0}">
          <x14:formula1>
            <xm:f>項目!C17:$KIQ$917505</xm:f>
          </x14:formula1>
          <xm:sqref>KIY917511:KIY917534</xm:sqref>
        </x14:dataValidation>
        <x14:dataValidation type="list" allowBlank="1" showInputMessage="1" showErrorMessage="1" xr:uid="{97A53332-C2CE-4DB2-8B9B-DF9EFC420360}">
          <x14:formula1>
            <xm:f>項目!C17:$KSM$917505</xm:f>
          </x14:formula1>
          <xm:sqref>KSU917511:KSU917534</xm:sqref>
        </x14:dataValidation>
        <x14:dataValidation type="list" allowBlank="1" showInputMessage="1" showErrorMessage="1" xr:uid="{7781243B-0035-414E-83DC-D095AD97A5B1}">
          <x14:formula1>
            <xm:f>項目!C17:$LCI$917505</xm:f>
          </x14:formula1>
          <xm:sqref>LCQ917511:LCQ917534</xm:sqref>
        </x14:dataValidation>
        <x14:dataValidation type="list" allowBlank="1" showInputMessage="1" showErrorMessage="1" xr:uid="{EB70B866-C144-4FD0-BAC2-21B3943C7CFE}">
          <x14:formula1>
            <xm:f>項目!C17:$LME$917505</xm:f>
          </x14:formula1>
          <xm:sqref>LMM917511:LMM917534</xm:sqref>
        </x14:dataValidation>
        <x14:dataValidation type="list" allowBlank="1" showInputMessage="1" showErrorMessage="1" xr:uid="{E84B490D-B5D0-4086-99F3-C28FCEBF0791}">
          <x14:formula1>
            <xm:f>項目!C17:$LWA$917505</xm:f>
          </x14:formula1>
          <xm:sqref>LWI917511:LWI917534</xm:sqref>
        </x14:dataValidation>
        <x14:dataValidation type="list" allowBlank="1" showInputMessage="1" showErrorMessage="1" xr:uid="{10517969-37D3-442C-8BFB-26F6E7B672BB}">
          <x14:formula1>
            <xm:f>項目!C17:$MFW$917505</xm:f>
          </x14:formula1>
          <xm:sqref>MGE917511:MGE917534</xm:sqref>
        </x14:dataValidation>
        <x14:dataValidation type="list" allowBlank="1" showInputMessage="1" showErrorMessage="1" xr:uid="{E41118D4-5239-4C4E-9265-609B66D78FA7}">
          <x14:formula1>
            <xm:f>項目!C17:$MPS$917505</xm:f>
          </x14:formula1>
          <xm:sqref>MQA917511:MQA917534</xm:sqref>
        </x14:dataValidation>
        <x14:dataValidation type="list" allowBlank="1" showInputMessage="1" showErrorMessage="1" xr:uid="{753B9A90-38B0-4981-900E-85C7AE732D37}">
          <x14:formula1>
            <xm:f>項目!C17:$MZO$917505</xm:f>
          </x14:formula1>
          <xm:sqref>MZW917511:MZW917534</xm:sqref>
        </x14:dataValidation>
        <x14:dataValidation type="list" allowBlank="1" showInputMessage="1" showErrorMessage="1" xr:uid="{4A297992-7ACA-4A85-9694-AA63E89AE025}">
          <x14:formula1>
            <xm:f>項目!C17:$NJK$917505</xm:f>
          </x14:formula1>
          <xm:sqref>NJS917511:NJS917534</xm:sqref>
        </x14:dataValidation>
        <x14:dataValidation type="list" allowBlank="1" showInputMessage="1" showErrorMessage="1" xr:uid="{2E21DDD7-16E8-41A7-9D7F-FE2ACDF2FD98}">
          <x14:formula1>
            <xm:f>項目!C17:$NTG$917505</xm:f>
          </x14:formula1>
          <xm:sqref>NTO917511:NTO917534</xm:sqref>
        </x14:dataValidation>
        <x14:dataValidation type="list" allowBlank="1" showInputMessage="1" showErrorMessage="1" xr:uid="{EBE948E4-DCA1-465D-8230-2A15A42E4C3B}">
          <x14:formula1>
            <xm:f>項目!C17:$ODC$917505</xm:f>
          </x14:formula1>
          <xm:sqref>ODK917511:ODK917534</xm:sqref>
        </x14:dataValidation>
        <x14:dataValidation type="list" allowBlank="1" showInputMessage="1" showErrorMessage="1" xr:uid="{86830EFD-43C4-42CC-A364-AE1FB7F7F938}">
          <x14:formula1>
            <xm:f>項目!C17:$OMY$917505</xm:f>
          </x14:formula1>
          <xm:sqref>ONG917511:ONG917534</xm:sqref>
        </x14:dataValidation>
        <x14:dataValidation type="list" allowBlank="1" showInputMessage="1" showErrorMessage="1" xr:uid="{2D7AFBF1-F968-4FF6-A451-550091350181}">
          <x14:formula1>
            <xm:f>項目!C17:$OWU$917505</xm:f>
          </x14:formula1>
          <xm:sqref>OXC917511:OXC917534</xm:sqref>
        </x14:dataValidation>
        <x14:dataValidation type="list" allowBlank="1" showInputMessage="1" showErrorMessage="1" xr:uid="{54FB2CD5-E471-4BD3-9BA7-6D49A88DAAB3}">
          <x14:formula1>
            <xm:f>項目!C17:$PGQ$917505</xm:f>
          </x14:formula1>
          <xm:sqref>PGY917511:PGY917534</xm:sqref>
        </x14:dataValidation>
        <x14:dataValidation type="list" allowBlank="1" showInputMessage="1" showErrorMessage="1" xr:uid="{805F5D37-C3DD-49D4-928C-E9F8FB7DC91A}">
          <x14:formula1>
            <xm:f>項目!C17:$PQM$917505</xm:f>
          </x14:formula1>
          <xm:sqref>PQU917511:PQU917534</xm:sqref>
        </x14:dataValidation>
        <x14:dataValidation type="list" allowBlank="1" showInputMessage="1" showErrorMessage="1" xr:uid="{B50051D2-8407-48AE-870D-3FF0834B0535}">
          <x14:formula1>
            <xm:f>項目!C17:$QAI$917505</xm:f>
          </x14:formula1>
          <xm:sqref>QAQ917511:QAQ917534</xm:sqref>
        </x14:dataValidation>
        <x14:dataValidation type="list" allowBlank="1" showInputMessage="1" showErrorMessage="1" xr:uid="{589BA582-AF0C-4BE9-B4F1-1ADBC85C2D05}">
          <x14:formula1>
            <xm:f>項目!C17:$QKE$917505</xm:f>
          </x14:formula1>
          <xm:sqref>QKM917511:QKM917534</xm:sqref>
        </x14:dataValidation>
        <x14:dataValidation type="list" allowBlank="1" showInputMessage="1" showErrorMessage="1" xr:uid="{525D878B-4CAF-43DE-B427-A958EC4CC9FB}">
          <x14:formula1>
            <xm:f>項目!C17:$QUA$917505</xm:f>
          </x14:formula1>
          <xm:sqref>QUI917511:QUI917534</xm:sqref>
        </x14:dataValidation>
        <x14:dataValidation type="list" allowBlank="1" showInputMessage="1" showErrorMessage="1" xr:uid="{852E6997-0F23-48A3-B8FA-90BE4089572A}">
          <x14:formula1>
            <xm:f>項目!C17:$RDW$917505</xm:f>
          </x14:formula1>
          <xm:sqref>REE917511:REE917534</xm:sqref>
        </x14:dataValidation>
        <x14:dataValidation type="list" allowBlank="1" showInputMessage="1" showErrorMessage="1" xr:uid="{80E43E1C-7AEF-4A4E-9303-AE003AB52C16}">
          <x14:formula1>
            <xm:f>項目!C17:$RNS$917505</xm:f>
          </x14:formula1>
          <xm:sqref>ROA917511:ROA917534</xm:sqref>
        </x14:dataValidation>
        <x14:dataValidation type="list" allowBlank="1" showInputMessage="1" showErrorMessage="1" xr:uid="{17BD7DC6-EE78-4F94-AEC7-2ED6478D4B68}">
          <x14:formula1>
            <xm:f>項目!C17:$RXO$917505</xm:f>
          </x14:formula1>
          <xm:sqref>RXW917511:RXW917534</xm:sqref>
        </x14:dataValidation>
        <x14:dataValidation type="list" allowBlank="1" showInputMessage="1" showErrorMessage="1" xr:uid="{3EED172E-43AB-48CE-A011-926F48863449}">
          <x14:formula1>
            <xm:f>項目!C17:$SHK$917505</xm:f>
          </x14:formula1>
          <xm:sqref>SHS917511:SHS917534</xm:sqref>
        </x14:dataValidation>
        <x14:dataValidation type="list" allowBlank="1" showInputMessage="1" showErrorMessage="1" xr:uid="{5EC0D084-9835-4DC3-A2D0-46658FAB0CAF}">
          <x14:formula1>
            <xm:f>項目!C17:$SRG$917505</xm:f>
          </x14:formula1>
          <xm:sqref>SRO917511:SRO917534</xm:sqref>
        </x14:dataValidation>
        <x14:dataValidation type="list" allowBlank="1" showInputMessage="1" showErrorMessage="1" xr:uid="{8472F2E4-B629-469B-A962-EE0054B3D3E0}">
          <x14:formula1>
            <xm:f>項目!C17:$TBC$917505</xm:f>
          </x14:formula1>
          <xm:sqref>TBK917511:TBK917534</xm:sqref>
        </x14:dataValidation>
        <x14:dataValidation type="list" allowBlank="1" showInputMessage="1" showErrorMessage="1" xr:uid="{A71292EA-B014-46CC-925B-43ED7FB8836E}">
          <x14:formula1>
            <xm:f>項目!C17:$TKY$917505</xm:f>
          </x14:formula1>
          <xm:sqref>TLG917511:TLG917534</xm:sqref>
        </x14:dataValidation>
        <x14:dataValidation type="list" allowBlank="1" showInputMessage="1" showErrorMessage="1" xr:uid="{C0924D1D-4E73-46B3-A4A4-F04BC2AE4071}">
          <x14:formula1>
            <xm:f>項目!C17:$TUU$917505</xm:f>
          </x14:formula1>
          <xm:sqref>TVC917511:TVC917534</xm:sqref>
        </x14:dataValidation>
        <x14:dataValidation type="list" allowBlank="1" showInputMessage="1" showErrorMessage="1" xr:uid="{65EC6EC1-8BE0-4633-A597-370BD9199334}">
          <x14:formula1>
            <xm:f>項目!C17:$UEQ$917505</xm:f>
          </x14:formula1>
          <xm:sqref>UEY917511:UEY917534</xm:sqref>
        </x14:dataValidation>
        <x14:dataValidation type="list" allowBlank="1" showInputMessage="1" showErrorMessage="1" xr:uid="{66B8F4D8-DCF2-47F6-8871-76B158320411}">
          <x14:formula1>
            <xm:f>項目!C17:$UOM$917505</xm:f>
          </x14:formula1>
          <xm:sqref>UOU917511:UOU917534</xm:sqref>
        </x14:dataValidation>
        <x14:dataValidation type="list" allowBlank="1" showInputMessage="1" showErrorMessage="1" xr:uid="{E932708A-AE68-471C-A7CC-2A904BCBF321}">
          <x14:formula1>
            <xm:f>項目!C17:$UYI$917505</xm:f>
          </x14:formula1>
          <xm:sqref>UYQ917511:UYQ917534</xm:sqref>
        </x14:dataValidation>
        <x14:dataValidation type="list" allowBlank="1" showInputMessage="1" showErrorMessage="1" xr:uid="{E89EBE2F-03F4-4637-A53A-E53B944162A2}">
          <x14:formula1>
            <xm:f>項目!C17:$VIE$917505</xm:f>
          </x14:formula1>
          <xm:sqref>VIM917511:VIM917534</xm:sqref>
        </x14:dataValidation>
        <x14:dataValidation type="list" allowBlank="1" showInputMessage="1" showErrorMessage="1" xr:uid="{76EEDBCE-8A60-462E-9A0C-198554A6B158}">
          <x14:formula1>
            <xm:f>項目!C17:$VSA$917505</xm:f>
          </x14:formula1>
          <xm:sqref>VSI917511:VSI917534</xm:sqref>
        </x14:dataValidation>
        <x14:dataValidation type="list" allowBlank="1" showInputMessage="1" showErrorMessage="1" xr:uid="{589B12D4-1AE8-40C6-A1C8-93E66DB8A09F}">
          <x14:formula1>
            <xm:f>項目!C17:$WBW$917505</xm:f>
          </x14:formula1>
          <xm:sqref>WCE917511:WCE917534</xm:sqref>
        </x14:dataValidation>
        <x14:dataValidation type="list" allowBlank="1" showInputMessage="1" showErrorMessage="1" xr:uid="{B83583EE-F6BA-4087-ADE4-81566F9376E3}">
          <x14:formula1>
            <xm:f>項目!C17:$WLS$917505</xm:f>
          </x14:formula1>
          <xm:sqref>WMA917511:WMA917534</xm:sqref>
        </x14:dataValidation>
        <x14:dataValidation type="list" allowBlank="1" showInputMessage="1" showErrorMessage="1" xr:uid="{3B903E13-A557-42AA-8605-89AB4F84ED6F}">
          <x14:formula1>
            <xm:f>項目!C17:$WVO$917505</xm:f>
          </x14:formula1>
          <xm:sqref>WVW917511:WVW917534</xm:sqref>
        </x14:dataValidation>
        <x14:dataValidation type="list" allowBlank="1" showInputMessage="1" showErrorMessage="1" xr:uid="{FD7FD9C9-30D6-4F0D-810D-C017DA645A2E}">
          <x14:formula1>
            <xm:f>項目!C17:$J$983041</xm:f>
          </x14:formula1>
          <xm:sqref>O983047:O983070</xm:sqref>
        </x14:dataValidation>
        <x14:dataValidation type="list" allowBlank="1" showInputMessage="1" showErrorMessage="1" xr:uid="{441BD054-203A-4DC5-9514-A369B25E78AD}">
          <x14:formula1>
            <xm:f>項目!C17:$JC$983041</xm:f>
          </x14:formula1>
          <xm:sqref>JK983047:JK983070</xm:sqref>
        </x14:dataValidation>
        <x14:dataValidation type="list" allowBlank="1" showInputMessage="1" showErrorMessage="1" xr:uid="{4D750050-9AD9-4BD2-A4E6-1E7A317C3ED6}">
          <x14:formula1>
            <xm:f>項目!C17:$SY$983041</xm:f>
          </x14:formula1>
          <xm:sqref>TG983047:TG983070</xm:sqref>
        </x14:dataValidation>
        <x14:dataValidation type="list" allowBlank="1" showInputMessage="1" showErrorMessage="1" xr:uid="{B39EFE29-B9F8-498C-AF15-7437A9265182}">
          <x14:formula1>
            <xm:f>項目!C17:$ACU$983041</xm:f>
          </x14:formula1>
          <xm:sqref>ADC983047:ADC983070</xm:sqref>
        </x14:dataValidation>
        <x14:dataValidation type="list" allowBlank="1" showInputMessage="1" showErrorMessage="1" xr:uid="{6DC73FEA-0317-463E-A5C7-CBBDB965D6ED}">
          <x14:formula1>
            <xm:f>項目!C17:$AMQ$983041</xm:f>
          </x14:formula1>
          <xm:sqref>AMY983047:AMY983070</xm:sqref>
        </x14:dataValidation>
        <x14:dataValidation type="list" allowBlank="1" showInputMessage="1" showErrorMessage="1" xr:uid="{F1574231-6148-43B3-B2C9-1BF676499364}">
          <x14:formula1>
            <xm:f>項目!C17:$AWM$983041</xm:f>
          </x14:formula1>
          <xm:sqref>AWU983047:AWU983070</xm:sqref>
        </x14:dataValidation>
        <x14:dataValidation type="list" allowBlank="1" showInputMessage="1" showErrorMessage="1" xr:uid="{3E44B6BE-F9FA-492E-B397-6C8ADD5BF631}">
          <x14:formula1>
            <xm:f>項目!C17:$BGI$983041</xm:f>
          </x14:formula1>
          <xm:sqref>BGQ983047:BGQ983070</xm:sqref>
        </x14:dataValidation>
        <x14:dataValidation type="list" allowBlank="1" showInputMessage="1" showErrorMessage="1" xr:uid="{D783DD55-AB44-4F32-AC1C-E752941B149A}">
          <x14:formula1>
            <xm:f>項目!C17:$BQE$983041</xm:f>
          </x14:formula1>
          <xm:sqref>BQM983047:BQM983070</xm:sqref>
        </x14:dataValidation>
        <x14:dataValidation type="list" allowBlank="1" showInputMessage="1" showErrorMessage="1" xr:uid="{EC5F7A52-AFFC-48AC-B614-89557DDB8D3E}">
          <x14:formula1>
            <xm:f>項目!C17:$CAA$983041</xm:f>
          </x14:formula1>
          <xm:sqref>CAI983047:CAI983070</xm:sqref>
        </x14:dataValidation>
        <x14:dataValidation type="list" allowBlank="1" showInputMessage="1" showErrorMessage="1" xr:uid="{F258623A-1604-4C96-BCF9-4227B0145395}">
          <x14:formula1>
            <xm:f>項目!C17:$CJW$983041</xm:f>
          </x14:formula1>
          <xm:sqref>CKE983047:CKE983070</xm:sqref>
        </x14:dataValidation>
        <x14:dataValidation type="list" allowBlank="1" showInputMessage="1" showErrorMessage="1" xr:uid="{9B7C416E-3750-424A-8397-0CC59E58E7A8}">
          <x14:formula1>
            <xm:f>項目!C17:$CTS$983041</xm:f>
          </x14:formula1>
          <xm:sqref>CUA983047:CUA983070</xm:sqref>
        </x14:dataValidation>
        <x14:dataValidation type="list" allowBlank="1" showInputMessage="1" showErrorMessage="1" xr:uid="{FD6F3DC8-34C1-4C93-8F5F-8C6205195D1C}">
          <x14:formula1>
            <xm:f>項目!C17:$DDO$983041</xm:f>
          </x14:formula1>
          <xm:sqref>DDW983047:DDW983070</xm:sqref>
        </x14:dataValidation>
        <x14:dataValidation type="list" allowBlank="1" showInputMessage="1" showErrorMessage="1" xr:uid="{2A662BBD-A141-4494-B6B6-FA2B4AD7CE73}">
          <x14:formula1>
            <xm:f>項目!C17:$DNK$983041</xm:f>
          </x14:formula1>
          <xm:sqref>DNS983047:DNS983070</xm:sqref>
        </x14:dataValidation>
        <x14:dataValidation type="list" allowBlank="1" showInputMessage="1" showErrorMessage="1" xr:uid="{0BE5DE02-6B87-4160-8143-1476A7B9269F}">
          <x14:formula1>
            <xm:f>項目!C17:$DXG$983041</xm:f>
          </x14:formula1>
          <xm:sqref>DXO983047:DXO983070</xm:sqref>
        </x14:dataValidation>
        <x14:dataValidation type="list" allowBlank="1" showInputMessage="1" showErrorMessage="1" xr:uid="{8DEF131E-4220-494B-8ED2-733F46A42A11}">
          <x14:formula1>
            <xm:f>項目!C17:$EHC$983041</xm:f>
          </x14:formula1>
          <xm:sqref>EHK983047:EHK983070</xm:sqref>
        </x14:dataValidation>
        <x14:dataValidation type="list" allowBlank="1" showInputMessage="1" showErrorMessage="1" xr:uid="{7FBEBE82-EAA8-4AF7-B88E-AC56BF37B3B8}">
          <x14:formula1>
            <xm:f>項目!C17:$EQY$983041</xm:f>
          </x14:formula1>
          <xm:sqref>ERG983047:ERG983070</xm:sqref>
        </x14:dataValidation>
        <x14:dataValidation type="list" allowBlank="1" showInputMessage="1" showErrorMessage="1" xr:uid="{174ABC57-EF93-4A76-AAFC-BC4338232611}">
          <x14:formula1>
            <xm:f>項目!C17:$FAU$983041</xm:f>
          </x14:formula1>
          <xm:sqref>FBC983047:FBC983070</xm:sqref>
        </x14:dataValidation>
        <x14:dataValidation type="list" allowBlank="1" showInputMessage="1" showErrorMessage="1" xr:uid="{E593BB9B-80E0-4D3D-8B3D-1D35C43D7B39}">
          <x14:formula1>
            <xm:f>項目!C17:$FKQ$983041</xm:f>
          </x14:formula1>
          <xm:sqref>FKY983047:FKY983070</xm:sqref>
        </x14:dataValidation>
        <x14:dataValidation type="list" allowBlank="1" showInputMessage="1" showErrorMessage="1" xr:uid="{2E1A0ABE-1A62-46F7-A079-EACB221AD4FC}">
          <x14:formula1>
            <xm:f>項目!C17:$FUM$983041</xm:f>
          </x14:formula1>
          <xm:sqref>FUU983047:FUU983070</xm:sqref>
        </x14:dataValidation>
        <x14:dataValidation type="list" allowBlank="1" showInputMessage="1" showErrorMessage="1" xr:uid="{16F74B49-38D4-430A-B737-37ABC302D9C6}">
          <x14:formula1>
            <xm:f>項目!C17:$GEI$983041</xm:f>
          </x14:formula1>
          <xm:sqref>GEQ983047:GEQ983070</xm:sqref>
        </x14:dataValidation>
        <x14:dataValidation type="list" allowBlank="1" showInputMessage="1" showErrorMessage="1" xr:uid="{9BF426EE-73B0-4FC3-B419-30E0967A6FA0}">
          <x14:formula1>
            <xm:f>項目!C17:$GOE$983041</xm:f>
          </x14:formula1>
          <xm:sqref>GOM983047:GOM983070</xm:sqref>
        </x14:dataValidation>
        <x14:dataValidation type="list" allowBlank="1" showInputMessage="1" showErrorMessage="1" xr:uid="{2487F199-57D4-41A2-8FF1-024D9E02BCB1}">
          <x14:formula1>
            <xm:f>項目!C17:$GYA$983041</xm:f>
          </x14:formula1>
          <xm:sqref>GYI983047:GYI983070</xm:sqref>
        </x14:dataValidation>
        <x14:dataValidation type="list" allowBlank="1" showInputMessage="1" showErrorMessage="1" xr:uid="{CF6AB18D-761F-4D7E-A624-C972F6476A61}">
          <x14:formula1>
            <xm:f>項目!C17:$HHW$983041</xm:f>
          </x14:formula1>
          <xm:sqref>HIE983047:HIE983070</xm:sqref>
        </x14:dataValidation>
        <x14:dataValidation type="list" allowBlank="1" showInputMessage="1" showErrorMessage="1" xr:uid="{6A80CFA1-7EB0-4D1B-B3C4-2751C5964625}">
          <x14:formula1>
            <xm:f>項目!C17:$HRS$983041</xm:f>
          </x14:formula1>
          <xm:sqref>HSA983047:HSA983070</xm:sqref>
        </x14:dataValidation>
        <x14:dataValidation type="list" allowBlank="1" showInputMessage="1" showErrorMessage="1" xr:uid="{17F90872-C0E8-48BF-9886-0C4E9AB663EB}">
          <x14:formula1>
            <xm:f>項目!C17:$IBO$983041</xm:f>
          </x14:formula1>
          <xm:sqref>IBW983047:IBW983070</xm:sqref>
        </x14:dataValidation>
        <x14:dataValidation type="list" allowBlank="1" showInputMessage="1" showErrorMessage="1" xr:uid="{FAB9FA4B-54B0-46FD-A84F-61FEE50000C8}">
          <x14:formula1>
            <xm:f>項目!C17:$ILK$983041</xm:f>
          </x14:formula1>
          <xm:sqref>ILS983047:ILS983070</xm:sqref>
        </x14:dataValidation>
        <x14:dataValidation type="list" allowBlank="1" showInputMessage="1" showErrorMessage="1" xr:uid="{A52149E1-3983-41F8-93F6-7F463521BFD0}">
          <x14:formula1>
            <xm:f>項目!C17:$IVG$983041</xm:f>
          </x14:formula1>
          <xm:sqref>IVO983047:IVO983070</xm:sqref>
        </x14:dataValidation>
        <x14:dataValidation type="list" allowBlank="1" showInputMessage="1" showErrorMessage="1" xr:uid="{8C49A661-F9C7-4A4B-A0F0-92CA02026D56}">
          <x14:formula1>
            <xm:f>項目!C17:$JFC$983041</xm:f>
          </x14:formula1>
          <xm:sqref>JFK983047:JFK983070</xm:sqref>
        </x14:dataValidation>
        <x14:dataValidation type="list" allowBlank="1" showInputMessage="1" showErrorMessage="1" xr:uid="{355900D5-6B3E-4EA1-A034-17F596DA19F5}">
          <x14:formula1>
            <xm:f>項目!C17:$JOY$983041</xm:f>
          </x14:formula1>
          <xm:sqref>JPG983047:JPG983070</xm:sqref>
        </x14:dataValidation>
        <x14:dataValidation type="list" allowBlank="1" showInputMessage="1" showErrorMessage="1" xr:uid="{73F139BA-615C-4FB8-A533-2E4CE01D7FD2}">
          <x14:formula1>
            <xm:f>項目!C17:$JYU$983041</xm:f>
          </x14:formula1>
          <xm:sqref>JZC983047:JZC983070</xm:sqref>
        </x14:dataValidation>
        <x14:dataValidation type="list" allowBlank="1" showInputMessage="1" showErrorMessage="1" xr:uid="{9ED90E62-1605-4B7B-A8C3-1FB6DEAC50B9}">
          <x14:formula1>
            <xm:f>項目!C17:$KIQ$983041</xm:f>
          </x14:formula1>
          <xm:sqref>KIY983047:KIY983070</xm:sqref>
        </x14:dataValidation>
        <x14:dataValidation type="list" allowBlank="1" showInputMessage="1" showErrorMessage="1" xr:uid="{23670E61-499B-462E-AB08-5F30B1DF14D8}">
          <x14:formula1>
            <xm:f>項目!C17:$KSM$983041</xm:f>
          </x14:formula1>
          <xm:sqref>KSU983047:KSU983070</xm:sqref>
        </x14:dataValidation>
        <x14:dataValidation type="list" allowBlank="1" showInputMessage="1" showErrorMessage="1" xr:uid="{47A4EDE0-B5C0-4EBE-8590-BBDBBA49796E}">
          <x14:formula1>
            <xm:f>項目!C17:$LCI$983041</xm:f>
          </x14:formula1>
          <xm:sqref>LCQ983047:LCQ983070</xm:sqref>
        </x14:dataValidation>
        <x14:dataValidation type="list" allowBlank="1" showInputMessage="1" showErrorMessage="1" xr:uid="{5E0DBE1A-B498-4413-82CF-0BCAA0827DB9}">
          <x14:formula1>
            <xm:f>項目!C17:$LME$983041</xm:f>
          </x14:formula1>
          <xm:sqref>LMM983047:LMM983070</xm:sqref>
        </x14:dataValidation>
        <x14:dataValidation type="list" allowBlank="1" showInputMessage="1" showErrorMessage="1" xr:uid="{2390A1F9-AD03-4AFA-824B-592F8E772D1C}">
          <x14:formula1>
            <xm:f>項目!C17:$LWA$983041</xm:f>
          </x14:formula1>
          <xm:sqref>LWI983047:LWI983070</xm:sqref>
        </x14:dataValidation>
        <x14:dataValidation type="list" allowBlank="1" showInputMessage="1" showErrorMessage="1" xr:uid="{B87F384E-F9A3-4D90-A00F-ADD2D89F2322}">
          <x14:formula1>
            <xm:f>項目!C17:$MFW$983041</xm:f>
          </x14:formula1>
          <xm:sqref>MGE983047:MGE983070</xm:sqref>
        </x14:dataValidation>
        <x14:dataValidation type="list" allowBlank="1" showInputMessage="1" showErrorMessage="1" xr:uid="{23E2A148-3007-47AA-A761-5D5C6B1D6BD0}">
          <x14:formula1>
            <xm:f>項目!C17:$MPS$983041</xm:f>
          </x14:formula1>
          <xm:sqref>MQA983047:MQA983070</xm:sqref>
        </x14:dataValidation>
        <x14:dataValidation type="list" allowBlank="1" showInputMessage="1" showErrorMessage="1" xr:uid="{6346E3F0-2771-4C12-95B0-9234476D5DD1}">
          <x14:formula1>
            <xm:f>項目!C17:$MZO$983041</xm:f>
          </x14:formula1>
          <xm:sqref>MZW983047:MZW983070</xm:sqref>
        </x14:dataValidation>
        <x14:dataValidation type="list" allowBlank="1" showInputMessage="1" showErrorMessage="1" xr:uid="{27AFC8EC-E515-42C9-B454-367CF9A2FDE8}">
          <x14:formula1>
            <xm:f>項目!C17:$NJK$983041</xm:f>
          </x14:formula1>
          <xm:sqref>NJS983047:NJS983070</xm:sqref>
        </x14:dataValidation>
        <x14:dataValidation type="list" allowBlank="1" showInputMessage="1" showErrorMessage="1" xr:uid="{18A730F6-EFF0-442D-865B-14596CE17BCC}">
          <x14:formula1>
            <xm:f>項目!C17:$NTG$983041</xm:f>
          </x14:formula1>
          <xm:sqref>NTO983047:NTO983070</xm:sqref>
        </x14:dataValidation>
        <x14:dataValidation type="list" allowBlank="1" showInputMessage="1" showErrorMessage="1" xr:uid="{D441ADDC-4D2A-4A49-AD73-0CE8431DD6C8}">
          <x14:formula1>
            <xm:f>項目!C17:$ODC$983041</xm:f>
          </x14:formula1>
          <xm:sqref>ODK983047:ODK983070</xm:sqref>
        </x14:dataValidation>
        <x14:dataValidation type="list" allowBlank="1" showInputMessage="1" showErrorMessage="1" xr:uid="{B7728857-5DB6-4551-92A8-70E6E695A9EC}">
          <x14:formula1>
            <xm:f>項目!C17:$OMY$983041</xm:f>
          </x14:formula1>
          <xm:sqref>ONG983047:ONG983070</xm:sqref>
        </x14:dataValidation>
        <x14:dataValidation type="list" allowBlank="1" showInputMessage="1" showErrorMessage="1" xr:uid="{84C70036-22A3-400A-8C7B-6ABF4B35E59F}">
          <x14:formula1>
            <xm:f>項目!C17:$OWU$983041</xm:f>
          </x14:formula1>
          <xm:sqref>OXC983047:OXC983070</xm:sqref>
        </x14:dataValidation>
        <x14:dataValidation type="list" allowBlank="1" showInputMessage="1" showErrorMessage="1" xr:uid="{F814D5BF-325F-4CB3-9267-82077762BBB6}">
          <x14:formula1>
            <xm:f>項目!C17:$PGQ$983041</xm:f>
          </x14:formula1>
          <xm:sqref>PGY983047:PGY983070</xm:sqref>
        </x14:dataValidation>
        <x14:dataValidation type="list" allowBlank="1" showInputMessage="1" showErrorMessage="1" xr:uid="{8BAE4DFE-9315-420A-8E98-F97371053DFA}">
          <x14:formula1>
            <xm:f>項目!C17:$PQM$983041</xm:f>
          </x14:formula1>
          <xm:sqref>PQU983047:PQU983070</xm:sqref>
        </x14:dataValidation>
        <x14:dataValidation type="list" allowBlank="1" showInputMessage="1" showErrorMessage="1" xr:uid="{613803D0-8810-458F-A62D-F9DD065A5DCE}">
          <x14:formula1>
            <xm:f>項目!C17:$QAI$983041</xm:f>
          </x14:formula1>
          <xm:sqref>QAQ983047:QAQ983070</xm:sqref>
        </x14:dataValidation>
        <x14:dataValidation type="list" allowBlank="1" showInputMessage="1" showErrorMessage="1" xr:uid="{8F34BE4D-E30A-4A71-ADBD-FD606E837389}">
          <x14:formula1>
            <xm:f>項目!C17:$QKE$983041</xm:f>
          </x14:formula1>
          <xm:sqref>QKM983047:QKM983070</xm:sqref>
        </x14:dataValidation>
        <x14:dataValidation type="list" allowBlank="1" showInputMessage="1" showErrorMessage="1" xr:uid="{EBCE8231-115B-4C5F-B2A9-55AD2968D99A}">
          <x14:formula1>
            <xm:f>項目!C17:$QUA$983041</xm:f>
          </x14:formula1>
          <xm:sqref>QUI983047:QUI983070</xm:sqref>
        </x14:dataValidation>
        <x14:dataValidation type="list" allowBlank="1" showInputMessage="1" showErrorMessage="1" xr:uid="{14F3BD61-CBD4-445E-9376-53C5FAB474D7}">
          <x14:formula1>
            <xm:f>項目!C17:$RDW$983041</xm:f>
          </x14:formula1>
          <xm:sqref>REE983047:REE983070</xm:sqref>
        </x14:dataValidation>
        <x14:dataValidation type="list" allowBlank="1" showInputMessage="1" showErrorMessage="1" xr:uid="{89ECE04E-9D65-478A-9A07-621E3FA3FB2C}">
          <x14:formula1>
            <xm:f>項目!C17:$RNS$983041</xm:f>
          </x14:formula1>
          <xm:sqref>ROA983047:ROA983070</xm:sqref>
        </x14:dataValidation>
        <x14:dataValidation type="list" allowBlank="1" showInputMessage="1" showErrorMessage="1" xr:uid="{D9FFB42A-1752-404F-A4AA-2654108546CC}">
          <x14:formula1>
            <xm:f>項目!C17:$RXO$983041</xm:f>
          </x14:formula1>
          <xm:sqref>RXW983047:RXW983070</xm:sqref>
        </x14:dataValidation>
        <x14:dataValidation type="list" allowBlank="1" showInputMessage="1" showErrorMessage="1" xr:uid="{6694EF7D-9226-4052-AC6D-42B2FF82E952}">
          <x14:formula1>
            <xm:f>項目!C17:$SHK$983041</xm:f>
          </x14:formula1>
          <xm:sqref>SHS983047:SHS983070</xm:sqref>
        </x14:dataValidation>
        <x14:dataValidation type="list" allowBlank="1" showInputMessage="1" showErrorMessage="1" xr:uid="{D41238E8-3355-4C54-B82C-4AAF5B066122}">
          <x14:formula1>
            <xm:f>項目!C17:$SRG$983041</xm:f>
          </x14:formula1>
          <xm:sqref>SRO983047:SRO983070</xm:sqref>
        </x14:dataValidation>
        <x14:dataValidation type="list" allowBlank="1" showInputMessage="1" showErrorMessage="1" xr:uid="{A02EEF56-6281-4BDE-9B44-387547CE3F63}">
          <x14:formula1>
            <xm:f>項目!C17:$TBC$983041</xm:f>
          </x14:formula1>
          <xm:sqref>TBK983047:TBK983070</xm:sqref>
        </x14:dataValidation>
        <x14:dataValidation type="list" allowBlank="1" showInputMessage="1" showErrorMessage="1" xr:uid="{D6CB888A-302F-411E-9A65-76FA5B7F111E}">
          <x14:formula1>
            <xm:f>項目!C17:$TKY$983041</xm:f>
          </x14:formula1>
          <xm:sqref>TLG983047:TLG983070</xm:sqref>
        </x14:dataValidation>
        <x14:dataValidation type="list" allowBlank="1" showInputMessage="1" showErrorMessage="1" xr:uid="{DFAA0DAE-C7E4-451D-B48F-8DC8D8D8049E}">
          <x14:formula1>
            <xm:f>項目!C17:$TUU$983041</xm:f>
          </x14:formula1>
          <xm:sqref>TVC983047:TVC983070</xm:sqref>
        </x14:dataValidation>
        <x14:dataValidation type="list" allowBlank="1" showInputMessage="1" showErrorMessage="1" xr:uid="{BAF6CF4D-7A57-4155-ACD4-0AAD34234076}">
          <x14:formula1>
            <xm:f>項目!C17:$UEQ$983041</xm:f>
          </x14:formula1>
          <xm:sqref>UEY983047:UEY983070</xm:sqref>
        </x14:dataValidation>
        <x14:dataValidation type="list" allowBlank="1" showInputMessage="1" showErrorMessage="1" xr:uid="{DA04E02E-3ABB-4926-8C68-878EB6204E2A}">
          <x14:formula1>
            <xm:f>項目!C17:$UOM$983041</xm:f>
          </x14:formula1>
          <xm:sqref>UOU983047:UOU983070</xm:sqref>
        </x14:dataValidation>
        <x14:dataValidation type="list" allowBlank="1" showInputMessage="1" showErrorMessage="1" xr:uid="{9F87A1F6-6008-494F-9130-DBFDA83ABA2F}">
          <x14:formula1>
            <xm:f>項目!C17:$UYI$983041</xm:f>
          </x14:formula1>
          <xm:sqref>UYQ983047:UYQ983070</xm:sqref>
        </x14:dataValidation>
        <x14:dataValidation type="list" allowBlank="1" showInputMessage="1" showErrorMessage="1" xr:uid="{D5271BE4-A737-41E1-A58E-9D49AFF646ED}">
          <x14:formula1>
            <xm:f>項目!C17:$VIE$983041</xm:f>
          </x14:formula1>
          <xm:sqref>VIM983047:VIM983070</xm:sqref>
        </x14:dataValidation>
        <x14:dataValidation type="list" allowBlank="1" showInputMessage="1" showErrorMessage="1" xr:uid="{49C11B19-49E4-4292-81EF-726A99AE9A15}">
          <x14:formula1>
            <xm:f>項目!C17:$VSA$983041</xm:f>
          </x14:formula1>
          <xm:sqref>VSI983047:VSI983070</xm:sqref>
        </x14:dataValidation>
        <x14:dataValidation type="list" allowBlank="1" showInputMessage="1" showErrorMessage="1" xr:uid="{3BB5BCA9-39E9-4350-B431-23D4B9176002}">
          <x14:formula1>
            <xm:f>項目!C17:$WBW$983041</xm:f>
          </x14:formula1>
          <xm:sqref>WCE983047:WCE983070</xm:sqref>
        </x14:dataValidation>
        <x14:dataValidation type="list" allowBlank="1" showInputMessage="1" showErrorMessage="1" xr:uid="{E1056892-9768-46E4-8B8B-A17E557E0C73}">
          <x14:formula1>
            <xm:f>項目!C17:$WLS$983041</xm:f>
          </x14:formula1>
          <xm:sqref>WMA983047:WMA983070</xm:sqref>
        </x14:dataValidation>
        <x14:dataValidation type="list" allowBlank="1" showInputMessage="1" showErrorMessage="1" xr:uid="{09298F56-ADBA-4C24-8D01-D6A01B861576}">
          <x14:formula1>
            <xm:f>項目!C17:$WVO$983041</xm:f>
          </x14:formula1>
          <xm:sqref>WVW983047:WVW983070</xm:sqref>
        </x14:dataValidation>
        <x14:dataValidation type="list" allowBlank="1" showInputMessage="1" showErrorMessage="1" xr:uid="{7B941020-201A-4E4C-9CF5-0C9F2C8B108C}">
          <x14:formula1>
            <xm:f>項目!C17:$M$65537</xm:f>
          </x14:formula1>
          <xm:sqref>S65543:S65566</xm:sqref>
        </x14:dataValidation>
        <x14:dataValidation type="list" allowBlank="1" showInputMessage="1" showErrorMessage="1" xr:uid="{12501A3B-6786-4B13-AA00-9F19D7563296}">
          <x14:formula1>
            <xm:f>項目!C17:$JG$65537</xm:f>
          </x14:formula1>
          <xm:sqref>JO65543:JO65566</xm:sqref>
        </x14:dataValidation>
        <x14:dataValidation type="list" allowBlank="1" showInputMessage="1" showErrorMessage="1" xr:uid="{70A2CB3D-C55C-4F52-8730-0C918E090CDA}">
          <x14:formula1>
            <xm:f>項目!C17:$TC$65537</xm:f>
          </x14:formula1>
          <xm:sqref>TK65543:TK65566</xm:sqref>
        </x14:dataValidation>
        <x14:dataValidation type="list" allowBlank="1" showInputMessage="1" showErrorMessage="1" xr:uid="{A67A0125-652A-4BCF-86AA-548FDE31A8EB}">
          <x14:formula1>
            <xm:f>項目!C17:$ACY$65537</xm:f>
          </x14:formula1>
          <xm:sqref>ADG65543:ADG65566</xm:sqref>
        </x14:dataValidation>
        <x14:dataValidation type="list" allowBlank="1" showInputMessage="1" showErrorMessage="1" xr:uid="{D9A634AA-49CE-4C89-968A-79C197BF603E}">
          <x14:formula1>
            <xm:f>項目!C17:$AMU$65537</xm:f>
          </x14:formula1>
          <xm:sqref>ANC65543:ANC65566</xm:sqref>
        </x14:dataValidation>
        <x14:dataValidation type="list" allowBlank="1" showInputMessage="1" showErrorMessage="1" xr:uid="{AAFFB329-0905-417C-A418-6B662ABFA3B4}">
          <x14:formula1>
            <xm:f>項目!C17:$AWQ$65537</xm:f>
          </x14:formula1>
          <xm:sqref>AWY65543:AWY65566</xm:sqref>
        </x14:dataValidation>
        <x14:dataValidation type="list" allowBlank="1" showInputMessage="1" showErrorMessage="1" xr:uid="{7758FB63-C7D4-4427-9F61-8E86583E761F}">
          <x14:formula1>
            <xm:f>項目!C17:$BGM$65537</xm:f>
          </x14:formula1>
          <xm:sqref>BGU65543:BGU65566</xm:sqref>
        </x14:dataValidation>
        <x14:dataValidation type="list" allowBlank="1" showInputMessage="1" showErrorMessage="1" xr:uid="{698B4A86-568B-412F-9069-733C7CD03E4A}">
          <x14:formula1>
            <xm:f>項目!C17:$BQI$65537</xm:f>
          </x14:formula1>
          <xm:sqref>BQQ65543:BQQ65566</xm:sqref>
        </x14:dataValidation>
        <x14:dataValidation type="list" allowBlank="1" showInputMessage="1" showErrorMessage="1" xr:uid="{0A99D101-14A8-4DB3-9B41-52AA16E1B870}">
          <x14:formula1>
            <xm:f>項目!C17:$CAE$65537</xm:f>
          </x14:formula1>
          <xm:sqref>CAM65543:CAM65566</xm:sqref>
        </x14:dataValidation>
        <x14:dataValidation type="list" allowBlank="1" showInputMessage="1" showErrorMessage="1" xr:uid="{2CC8A817-8079-460B-BB78-B88E090F6B18}">
          <x14:formula1>
            <xm:f>項目!C17:$CKA$65537</xm:f>
          </x14:formula1>
          <xm:sqref>CKI65543:CKI65566</xm:sqref>
        </x14:dataValidation>
        <x14:dataValidation type="list" allowBlank="1" showInputMessage="1" showErrorMessage="1" xr:uid="{3465800C-B49B-4286-A0D2-A8E401FC70D2}">
          <x14:formula1>
            <xm:f>項目!C17:$CTW$65537</xm:f>
          </x14:formula1>
          <xm:sqref>CUE65543:CUE65566</xm:sqref>
        </x14:dataValidation>
        <x14:dataValidation type="list" allowBlank="1" showInputMessage="1" showErrorMessage="1" xr:uid="{C753E9F2-5FB9-411F-95EF-F11A5B2D6320}">
          <x14:formula1>
            <xm:f>項目!C17:$DDS$65537</xm:f>
          </x14:formula1>
          <xm:sqref>DEA65543:DEA65566</xm:sqref>
        </x14:dataValidation>
        <x14:dataValidation type="list" allowBlank="1" showInputMessage="1" showErrorMessage="1" xr:uid="{4D9026EB-16BF-49D5-8D50-06C02D6DEE4C}">
          <x14:formula1>
            <xm:f>項目!C17:$DNO$65537</xm:f>
          </x14:formula1>
          <xm:sqref>DNW65543:DNW65566</xm:sqref>
        </x14:dataValidation>
        <x14:dataValidation type="list" allowBlank="1" showInputMessage="1" showErrorMessage="1" xr:uid="{C80F2A75-B9FD-45DB-9206-7210831BEEF1}">
          <x14:formula1>
            <xm:f>項目!C17:$DXK$65537</xm:f>
          </x14:formula1>
          <xm:sqref>DXS65543:DXS65566</xm:sqref>
        </x14:dataValidation>
        <x14:dataValidation type="list" allowBlank="1" showInputMessage="1" showErrorMessage="1" xr:uid="{6B78DFD3-32D2-4126-86F9-84E9F6EECE0C}">
          <x14:formula1>
            <xm:f>項目!C17:$EHG$65537</xm:f>
          </x14:formula1>
          <xm:sqref>EHO65543:EHO65566</xm:sqref>
        </x14:dataValidation>
        <x14:dataValidation type="list" allowBlank="1" showInputMessage="1" showErrorMessage="1" xr:uid="{27E4CE95-87B3-4CA0-8C31-28DA47D7D06D}">
          <x14:formula1>
            <xm:f>項目!C17:$ERC$65537</xm:f>
          </x14:formula1>
          <xm:sqref>ERK65543:ERK65566</xm:sqref>
        </x14:dataValidation>
        <x14:dataValidation type="list" allowBlank="1" showInputMessage="1" showErrorMessage="1" xr:uid="{8763C0AA-E4E6-49D4-9565-C0EE001CF923}">
          <x14:formula1>
            <xm:f>項目!C17:$FAY$65537</xm:f>
          </x14:formula1>
          <xm:sqref>FBG65543:FBG65566</xm:sqref>
        </x14:dataValidation>
        <x14:dataValidation type="list" allowBlank="1" showInputMessage="1" showErrorMessage="1" xr:uid="{CC073034-2892-4F95-BBA2-EB959E354FCB}">
          <x14:formula1>
            <xm:f>項目!C17:$FKU$65537</xm:f>
          </x14:formula1>
          <xm:sqref>FLC65543:FLC65566</xm:sqref>
        </x14:dataValidation>
        <x14:dataValidation type="list" allowBlank="1" showInputMessage="1" showErrorMessage="1" xr:uid="{A64A29EA-6AB6-4C32-8B26-D73576BFC9A0}">
          <x14:formula1>
            <xm:f>項目!C17:$FUQ$65537</xm:f>
          </x14:formula1>
          <xm:sqref>FUY65543:FUY65566</xm:sqref>
        </x14:dataValidation>
        <x14:dataValidation type="list" allowBlank="1" showInputMessage="1" showErrorMessage="1" xr:uid="{E2956E26-A1AA-4174-803D-306627602F47}">
          <x14:formula1>
            <xm:f>項目!C17:$GEM$65537</xm:f>
          </x14:formula1>
          <xm:sqref>GEU65543:GEU65566</xm:sqref>
        </x14:dataValidation>
        <x14:dataValidation type="list" allowBlank="1" showInputMessage="1" showErrorMessage="1" xr:uid="{7FDAF752-51D9-4899-A179-C9B503315167}">
          <x14:formula1>
            <xm:f>項目!C17:$GOI$65537</xm:f>
          </x14:formula1>
          <xm:sqref>GOQ65543:GOQ65566</xm:sqref>
        </x14:dataValidation>
        <x14:dataValidation type="list" allowBlank="1" showInputMessage="1" showErrorMessage="1" xr:uid="{84230359-3F88-43CA-A0CB-2AACD13A674E}">
          <x14:formula1>
            <xm:f>項目!C17:$GYE$65537</xm:f>
          </x14:formula1>
          <xm:sqref>GYM65543:GYM65566</xm:sqref>
        </x14:dataValidation>
        <x14:dataValidation type="list" allowBlank="1" showInputMessage="1" showErrorMessage="1" xr:uid="{6FCE400A-B8A7-4C04-A6B8-3C2AA632786C}">
          <x14:formula1>
            <xm:f>項目!C17:$HIA$65537</xm:f>
          </x14:formula1>
          <xm:sqref>HII65543:HII65566</xm:sqref>
        </x14:dataValidation>
        <x14:dataValidation type="list" allowBlank="1" showInputMessage="1" showErrorMessage="1" xr:uid="{5A76F962-9B59-46C8-8D8E-91D5968B39D7}">
          <x14:formula1>
            <xm:f>項目!C17:$HRW$65537</xm:f>
          </x14:formula1>
          <xm:sqref>HSE65543:HSE65566</xm:sqref>
        </x14:dataValidation>
        <x14:dataValidation type="list" allowBlank="1" showInputMessage="1" showErrorMessage="1" xr:uid="{803DA7D8-F664-4895-98AC-BA2866ECC70D}">
          <x14:formula1>
            <xm:f>項目!C17:$IBS$65537</xm:f>
          </x14:formula1>
          <xm:sqref>ICA65543:ICA65566</xm:sqref>
        </x14:dataValidation>
        <x14:dataValidation type="list" allowBlank="1" showInputMessage="1" showErrorMessage="1" xr:uid="{CFCE2CC0-211C-421E-B13D-E392F481F61A}">
          <x14:formula1>
            <xm:f>項目!C17:$ILO$65537</xm:f>
          </x14:formula1>
          <xm:sqref>ILW65543:ILW65566</xm:sqref>
        </x14:dataValidation>
        <x14:dataValidation type="list" allowBlank="1" showInputMessage="1" showErrorMessage="1" xr:uid="{D8D6A0C1-9673-41F2-AC3E-BB67E54479B5}">
          <x14:formula1>
            <xm:f>項目!C17:$IVK$65537</xm:f>
          </x14:formula1>
          <xm:sqref>IVS65543:IVS65566</xm:sqref>
        </x14:dataValidation>
        <x14:dataValidation type="list" allowBlank="1" showInputMessage="1" showErrorMessage="1" xr:uid="{1AC2A795-BF7F-46F9-84F3-1151086A00E8}">
          <x14:formula1>
            <xm:f>項目!C17:$JFG$65537</xm:f>
          </x14:formula1>
          <xm:sqref>JFO65543:JFO65566</xm:sqref>
        </x14:dataValidation>
        <x14:dataValidation type="list" allowBlank="1" showInputMessage="1" showErrorMessage="1" xr:uid="{BC42AC8F-0D87-458A-A66E-D257859DD443}">
          <x14:formula1>
            <xm:f>項目!C17:$JPC$65537</xm:f>
          </x14:formula1>
          <xm:sqref>JPK65543:JPK65566</xm:sqref>
        </x14:dataValidation>
        <x14:dataValidation type="list" allowBlank="1" showInputMessage="1" showErrorMessage="1" xr:uid="{490F5839-3087-4F5A-9C8F-89C0BFAEDF75}">
          <x14:formula1>
            <xm:f>項目!C17:$JYY$65537</xm:f>
          </x14:formula1>
          <xm:sqref>JZG65543:JZG65566</xm:sqref>
        </x14:dataValidation>
        <x14:dataValidation type="list" allowBlank="1" showInputMessage="1" showErrorMessage="1" xr:uid="{EC032E10-6BE9-409D-926A-F48B31C602CA}">
          <x14:formula1>
            <xm:f>項目!C17:$KIU$65537</xm:f>
          </x14:formula1>
          <xm:sqref>KJC65543:KJC65566</xm:sqref>
        </x14:dataValidation>
        <x14:dataValidation type="list" allowBlank="1" showInputMessage="1" showErrorMessage="1" xr:uid="{BFA581D9-133E-45CE-85CE-C3A6AAE2D712}">
          <x14:formula1>
            <xm:f>項目!C17:$KSQ$65537</xm:f>
          </x14:formula1>
          <xm:sqref>KSY65543:KSY65566</xm:sqref>
        </x14:dataValidation>
        <x14:dataValidation type="list" allowBlank="1" showInputMessage="1" showErrorMessage="1" xr:uid="{A094132A-0F3C-4305-BF1D-18E0F6345BCB}">
          <x14:formula1>
            <xm:f>項目!C17:$LCM$65537</xm:f>
          </x14:formula1>
          <xm:sqref>LCU65543:LCU65566</xm:sqref>
        </x14:dataValidation>
        <x14:dataValidation type="list" allowBlank="1" showInputMessage="1" showErrorMessage="1" xr:uid="{4CA4FD89-0073-479C-90E5-90EF9ABCC5D2}">
          <x14:formula1>
            <xm:f>項目!C17:$LMI$65537</xm:f>
          </x14:formula1>
          <xm:sqref>LMQ65543:LMQ65566</xm:sqref>
        </x14:dataValidation>
        <x14:dataValidation type="list" allowBlank="1" showInputMessage="1" showErrorMessage="1" xr:uid="{C2B75714-F57A-485E-850D-749522670F56}">
          <x14:formula1>
            <xm:f>項目!C17:$LWE$65537</xm:f>
          </x14:formula1>
          <xm:sqref>LWM65543:LWM65566</xm:sqref>
        </x14:dataValidation>
        <x14:dataValidation type="list" allowBlank="1" showInputMessage="1" showErrorMessage="1" xr:uid="{3687FDB2-EC66-4986-AAA9-FD026AB08A35}">
          <x14:formula1>
            <xm:f>項目!C17:$MGA$65537</xm:f>
          </x14:formula1>
          <xm:sqref>MGI65543:MGI65566</xm:sqref>
        </x14:dataValidation>
        <x14:dataValidation type="list" allowBlank="1" showInputMessage="1" showErrorMessage="1" xr:uid="{2B97065B-6D5F-460B-B7DC-7128EEFF7C00}">
          <x14:formula1>
            <xm:f>項目!C17:$MPW$65537</xm:f>
          </x14:formula1>
          <xm:sqref>MQE65543:MQE65566</xm:sqref>
        </x14:dataValidation>
        <x14:dataValidation type="list" allowBlank="1" showInputMessage="1" showErrorMessage="1" xr:uid="{B0CDB5AB-702D-4357-BB41-85E28ECE3D95}">
          <x14:formula1>
            <xm:f>項目!C17:$MZS$65537</xm:f>
          </x14:formula1>
          <xm:sqref>NAA65543:NAA65566</xm:sqref>
        </x14:dataValidation>
        <x14:dataValidation type="list" allowBlank="1" showInputMessage="1" showErrorMessage="1" xr:uid="{0698F550-291D-4A0F-8879-CD71081431BF}">
          <x14:formula1>
            <xm:f>項目!C17:$NJO$65537</xm:f>
          </x14:formula1>
          <xm:sqref>NJW65543:NJW65566</xm:sqref>
        </x14:dataValidation>
        <x14:dataValidation type="list" allowBlank="1" showInputMessage="1" showErrorMessage="1" xr:uid="{13BA7533-6088-4AE0-959A-1029464544A1}">
          <x14:formula1>
            <xm:f>項目!C17:$NTK$65537</xm:f>
          </x14:formula1>
          <xm:sqref>NTS65543:NTS65566</xm:sqref>
        </x14:dataValidation>
        <x14:dataValidation type="list" allowBlank="1" showInputMessage="1" showErrorMessage="1" xr:uid="{9E1C580A-BE37-4D41-A795-C90E86BC1752}">
          <x14:formula1>
            <xm:f>項目!C17:$ODG$65537</xm:f>
          </x14:formula1>
          <xm:sqref>ODO65543:ODO65566</xm:sqref>
        </x14:dataValidation>
        <x14:dataValidation type="list" allowBlank="1" showInputMessage="1" showErrorMessage="1" xr:uid="{D16CDFC1-F6A6-4629-9197-1F10F7B149A0}">
          <x14:formula1>
            <xm:f>項目!C17:$ONC$65537</xm:f>
          </x14:formula1>
          <xm:sqref>ONK65543:ONK65566</xm:sqref>
        </x14:dataValidation>
        <x14:dataValidation type="list" allowBlank="1" showInputMessage="1" showErrorMessage="1" xr:uid="{33EC8A3E-6A44-4391-91BA-3296EECBC4AF}">
          <x14:formula1>
            <xm:f>項目!C17:$OWY$65537</xm:f>
          </x14:formula1>
          <xm:sqref>OXG65543:OXG65566</xm:sqref>
        </x14:dataValidation>
        <x14:dataValidation type="list" allowBlank="1" showInputMessage="1" showErrorMessage="1" xr:uid="{3F7EE410-BCD5-44EB-B615-689B58297CB4}">
          <x14:formula1>
            <xm:f>項目!C17:$PGU$65537</xm:f>
          </x14:formula1>
          <xm:sqref>PHC65543:PHC65566</xm:sqref>
        </x14:dataValidation>
        <x14:dataValidation type="list" allowBlank="1" showInputMessage="1" showErrorMessage="1" xr:uid="{2BD6F605-21E7-47B0-8BCD-3E100030C103}">
          <x14:formula1>
            <xm:f>項目!C17:$PQQ$65537</xm:f>
          </x14:formula1>
          <xm:sqref>PQY65543:PQY65566</xm:sqref>
        </x14:dataValidation>
        <x14:dataValidation type="list" allowBlank="1" showInputMessage="1" showErrorMessage="1" xr:uid="{755A6EF0-24D1-46A2-B5C4-57E93E3A45F1}">
          <x14:formula1>
            <xm:f>項目!C17:$QAM$65537</xm:f>
          </x14:formula1>
          <xm:sqref>QAU65543:QAU65566</xm:sqref>
        </x14:dataValidation>
        <x14:dataValidation type="list" allowBlank="1" showInputMessage="1" showErrorMessage="1" xr:uid="{53F7C953-82E7-4D9B-85EA-AFC09059E9DD}">
          <x14:formula1>
            <xm:f>項目!C17:$QKI$65537</xm:f>
          </x14:formula1>
          <xm:sqref>QKQ65543:QKQ65566</xm:sqref>
        </x14:dataValidation>
        <x14:dataValidation type="list" allowBlank="1" showInputMessage="1" showErrorMessage="1" xr:uid="{DA980740-A480-4338-B781-8147D74E6B57}">
          <x14:formula1>
            <xm:f>項目!C17:$QUE$65537</xm:f>
          </x14:formula1>
          <xm:sqref>QUM65543:QUM65566</xm:sqref>
        </x14:dataValidation>
        <x14:dataValidation type="list" allowBlank="1" showInputMessage="1" showErrorMessage="1" xr:uid="{1D4F9AFD-22D0-411F-BE5D-731F0AB03801}">
          <x14:formula1>
            <xm:f>項目!C17:$REA$65537</xm:f>
          </x14:formula1>
          <xm:sqref>REI65543:REI65566</xm:sqref>
        </x14:dataValidation>
        <x14:dataValidation type="list" allowBlank="1" showInputMessage="1" showErrorMessage="1" xr:uid="{1447276B-C1DF-4EFE-9CAC-7C0DBCAC7F43}">
          <x14:formula1>
            <xm:f>項目!C17:$RNW$65537</xm:f>
          </x14:formula1>
          <xm:sqref>ROE65543:ROE65566</xm:sqref>
        </x14:dataValidation>
        <x14:dataValidation type="list" allowBlank="1" showInputMessage="1" showErrorMessage="1" xr:uid="{325BB77D-20F0-4F7B-BC43-B8C5004B9131}">
          <x14:formula1>
            <xm:f>項目!C17:$RXS$65537</xm:f>
          </x14:formula1>
          <xm:sqref>RYA65543:RYA65566</xm:sqref>
        </x14:dataValidation>
        <x14:dataValidation type="list" allowBlank="1" showInputMessage="1" showErrorMessage="1" xr:uid="{B43D269B-525A-4BAC-ADB9-908E415FE95B}">
          <x14:formula1>
            <xm:f>項目!C17:$SHO$65537</xm:f>
          </x14:formula1>
          <xm:sqref>SHW65543:SHW65566</xm:sqref>
        </x14:dataValidation>
        <x14:dataValidation type="list" allowBlank="1" showInputMessage="1" showErrorMessage="1" xr:uid="{FD46E050-88CC-4277-92D5-42F9EF933157}">
          <x14:formula1>
            <xm:f>項目!C17:$SRK$65537</xm:f>
          </x14:formula1>
          <xm:sqref>SRS65543:SRS65566</xm:sqref>
        </x14:dataValidation>
        <x14:dataValidation type="list" allowBlank="1" showInputMessage="1" showErrorMessage="1" xr:uid="{02A40331-F8B6-466B-822B-D6507CEB7E48}">
          <x14:formula1>
            <xm:f>項目!C17:$TBG$65537</xm:f>
          </x14:formula1>
          <xm:sqref>TBO65543:TBO65566</xm:sqref>
        </x14:dataValidation>
        <x14:dataValidation type="list" allowBlank="1" showInputMessage="1" showErrorMessage="1" xr:uid="{1A898EF0-EE6E-424D-A96F-FE1F009CC865}">
          <x14:formula1>
            <xm:f>項目!C17:$TLC$65537</xm:f>
          </x14:formula1>
          <xm:sqref>TLK65543:TLK65566</xm:sqref>
        </x14:dataValidation>
        <x14:dataValidation type="list" allowBlank="1" showInputMessage="1" showErrorMessage="1" xr:uid="{E90C92FE-62CF-4210-B348-C8354A51D0F1}">
          <x14:formula1>
            <xm:f>項目!C17:$TUY$65537</xm:f>
          </x14:formula1>
          <xm:sqref>TVG65543:TVG65566</xm:sqref>
        </x14:dataValidation>
        <x14:dataValidation type="list" allowBlank="1" showInputMessage="1" showErrorMessage="1" xr:uid="{DAFDF7D9-BEA8-4930-83D8-512483E8C61D}">
          <x14:formula1>
            <xm:f>項目!C17:$UEU$65537</xm:f>
          </x14:formula1>
          <xm:sqref>UFC65543:UFC65566</xm:sqref>
        </x14:dataValidation>
        <x14:dataValidation type="list" allowBlank="1" showInputMessage="1" showErrorMessage="1" xr:uid="{114C5C80-975D-4DB1-BB0A-2AD307B8F85B}">
          <x14:formula1>
            <xm:f>項目!C17:$UOQ$65537</xm:f>
          </x14:formula1>
          <xm:sqref>UOY65543:UOY65566</xm:sqref>
        </x14:dataValidation>
        <x14:dataValidation type="list" allowBlank="1" showInputMessage="1" showErrorMessage="1" xr:uid="{9ECFE0A7-41DF-4B2B-857E-499F569B9047}">
          <x14:formula1>
            <xm:f>項目!C17:$UYM$65537</xm:f>
          </x14:formula1>
          <xm:sqref>UYU65543:UYU65566</xm:sqref>
        </x14:dataValidation>
        <x14:dataValidation type="list" allowBlank="1" showInputMessage="1" showErrorMessage="1" xr:uid="{ADAE5D7D-E926-404E-9ED5-83EA0F3FA743}">
          <x14:formula1>
            <xm:f>項目!C17:$VII$65537</xm:f>
          </x14:formula1>
          <xm:sqref>VIQ65543:VIQ65566</xm:sqref>
        </x14:dataValidation>
        <x14:dataValidation type="list" allowBlank="1" showInputMessage="1" showErrorMessage="1" xr:uid="{4E19FDDE-12C9-4C50-8AF0-4098ADFEDD05}">
          <x14:formula1>
            <xm:f>項目!C17:$VSE$65537</xm:f>
          </x14:formula1>
          <xm:sqref>VSM65543:VSM65566</xm:sqref>
        </x14:dataValidation>
        <x14:dataValidation type="list" allowBlank="1" showInputMessage="1" showErrorMessage="1" xr:uid="{AAF6CA58-8764-4E42-B686-1199B5C94350}">
          <x14:formula1>
            <xm:f>項目!C17:$WCA$65537</xm:f>
          </x14:formula1>
          <xm:sqref>WCI65543:WCI65566</xm:sqref>
        </x14:dataValidation>
        <x14:dataValidation type="list" allowBlank="1" showInputMessage="1" showErrorMessage="1" xr:uid="{A88A6714-DDB7-489F-A677-6EB5E134B6C3}">
          <x14:formula1>
            <xm:f>項目!C17:$WLW$65537</xm:f>
          </x14:formula1>
          <xm:sqref>WME65543:WME65566</xm:sqref>
        </x14:dataValidation>
        <x14:dataValidation type="list" allowBlank="1" showInputMessage="1" showErrorMessage="1" xr:uid="{93165EB9-D955-4BE7-9BCB-4B663BED1B58}">
          <x14:formula1>
            <xm:f>項目!C17:$WVS$65537</xm:f>
          </x14:formula1>
          <xm:sqref>WWA65543:WWA65566</xm:sqref>
        </x14:dataValidation>
        <x14:dataValidation type="list" allowBlank="1" showInputMessage="1" showErrorMessage="1" xr:uid="{3D565550-F36B-46BC-B748-8C438335B9B4}">
          <x14:formula1>
            <xm:f>項目!C17:$M$131073</xm:f>
          </x14:formula1>
          <xm:sqref>S131079:S131102</xm:sqref>
        </x14:dataValidation>
        <x14:dataValidation type="list" allowBlank="1" showInputMessage="1" showErrorMessage="1" xr:uid="{BE773CF2-188F-44DF-BC5C-0A2CD7DE2979}">
          <x14:formula1>
            <xm:f>項目!C17:$JG$131073</xm:f>
          </x14:formula1>
          <xm:sqref>JO131079:JO131102</xm:sqref>
        </x14:dataValidation>
        <x14:dataValidation type="list" allowBlank="1" showInputMessage="1" showErrorMessage="1" xr:uid="{8C8F2712-38F8-47D0-BD63-F6359A73A455}">
          <x14:formula1>
            <xm:f>項目!C17:$TC$131073</xm:f>
          </x14:formula1>
          <xm:sqref>TK131079:TK131102</xm:sqref>
        </x14:dataValidation>
        <x14:dataValidation type="list" allowBlank="1" showInputMessage="1" showErrorMessage="1" xr:uid="{585673DC-BF7C-4018-872B-95FBD3B6C800}">
          <x14:formula1>
            <xm:f>項目!C17:$ACY$131073</xm:f>
          </x14:formula1>
          <xm:sqref>ADG131079:ADG131102</xm:sqref>
        </x14:dataValidation>
        <x14:dataValidation type="list" allowBlank="1" showInputMessage="1" showErrorMessage="1" xr:uid="{EAE9BB24-DAAC-44F7-B9B3-C2D8C0E2D093}">
          <x14:formula1>
            <xm:f>項目!C17:$AMU$131073</xm:f>
          </x14:formula1>
          <xm:sqref>ANC131079:ANC131102</xm:sqref>
        </x14:dataValidation>
        <x14:dataValidation type="list" allowBlank="1" showInputMessage="1" showErrorMessage="1" xr:uid="{2B6F451B-D5A8-42E8-9711-12CEA6107FA3}">
          <x14:formula1>
            <xm:f>項目!C17:$AWQ$131073</xm:f>
          </x14:formula1>
          <xm:sqref>AWY131079:AWY131102</xm:sqref>
        </x14:dataValidation>
        <x14:dataValidation type="list" allowBlank="1" showInputMessage="1" showErrorMessage="1" xr:uid="{8871DE19-CF14-47CB-8ECA-1628C0626CAD}">
          <x14:formula1>
            <xm:f>項目!C17:$BGM$131073</xm:f>
          </x14:formula1>
          <xm:sqref>BGU131079:BGU131102</xm:sqref>
        </x14:dataValidation>
        <x14:dataValidation type="list" allowBlank="1" showInputMessage="1" showErrorMessage="1" xr:uid="{5D91CD64-9D4B-49BB-859F-491E3716E913}">
          <x14:formula1>
            <xm:f>項目!C17:$BQI$131073</xm:f>
          </x14:formula1>
          <xm:sqref>BQQ131079:BQQ131102</xm:sqref>
        </x14:dataValidation>
        <x14:dataValidation type="list" allowBlank="1" showInputMessage="1" showErrorMessage="1" xr:uid="{A3C95250-ABF4-436E-BECC-1BE0A3D8ABF5}">
          <x14:formula1>
            <xm:f>項目!C17:$CAE$131073</xm:f>
          </x14:formula1>
          <xm:sqref>CAM131079:CAM131102</xm:sqref>
        </x14:dataValidation>
        <x14:dataValidation type="list" allowBlank="1" showInputMessage="1" showErrorMessage="1" xr:uid="{CA3A094F-9929-4CED-A53F-D6FC59BC117E}">
          <x14:formula1>
            <xm:f>項目!C17:$CKA$131073</xm:f>
          </x14:formula1>
          <xm:sqref>CKI131079:CKI131102</xm:sqref>
        </x14:dataValidation>
        <x14:dataValidation type="list" allowBlank="1" showInputMessage="1" showErrorMessage="1" xr:uid="{CD577617-DCAB-4216-A569-2C31A3403960}">
          <x14:formula1>
            <xm:f>項目!C17:$CTW$131073</xm:f>
          </x14:formula1>
          <xm:sqref>CUE131079:CUE131102</xm:sqref>
        </x14:dataValidation>
        <x14:dataValidation type="list" allowBlank="1" showInputMessage="1" showErrorMessage="1" xr:uid="{3C828E9D-E409-43C5-AD5E-E8E7443B82B8}">
          <x14:formula1>
            <xm:f>項目!C17:$DDS$131073</xm:f>
          </x14:formula1>
          <xm:sqref>DEA131079:DEA131102</xm:sqref>
        </x14:dataValidation>
        <x14:dataValidation type="list" allowBlank="1" showInputMessage="1" showErrorMessage="1" xr:uid="{4BAE1143-4ABC-47C6-AA3A-D53435FA4F72}">
          <x14:formula1>
            <xm:f>項目!C17:$DNO$131073</xm:f>
          </x14:formula1>
          <xm:sqref>DNW131079:DNW131102</xm:sqref>
        </x14:dataValidation>
        <x14:dataValidation type="list" allowBlank="1" showInputMessage="1" showErrorMessage="1" xr:uid="{FB450AFD-2B4C-4B1F-8098-6213AEF805F6}">
          <x14:formula1>
            <xm:f>項目!C17:$DXK$131073</xm:f>
          </x14:formula1>
          <xm:sqref>DXS131079:DXS131102</xm:sqref>
        </x14:dataValidation>
        <x14:dataValidation type="list" allowBlank="1" showInputMessage="1" showErrorMessage="1" xr:uid="{1C709568-1539-4C13-BE93-FA245A63AFA7}">
          <x14:formula1>
            <xm:f>項目!C17:$EHG$131073</xm:f>
          </x14:formula1>
          <xm:sqref>EHO131079:EHO131102</xm:sqref>
        </x14:dataValidation>
        <x14:dataValidation type="list" allowBlank="1" showInputMessage="1" showErrorMessage="1" xr:uid="{BA5A3315-C444-4C22-BBC2-6387CC1835B0}">
          <x14:formula1>
            <xm:f>項目!C17:$ERC$131073</xm:f>
          </x14:formula1>
          <xm:sqref>ERK131079:ERK131102</xm:sqref>
        </x14:dataValidation>
        <x14:dataValidation type="list" allowBlank="1" showInputMessage="1" showErrorMessage="1" xr:uid="{3F1C021C-31C4-418E-B999-C0A6921820A7}">
          <x14:formula1>
            <xm:f>項目!C17:$FAY$131073</xm:f>
          </x14:formula1>
          <xm:sqref>FBG131079:FBG131102</xm:sqref>
        </x14:dataValidation>
        <x14:dataValidation type="list" allowBlank="1" showInputMessage="1" showErrorMessage="1" xr:uid="{7E9713FA-D0CA-4E25-A00F-C0EF35F8C401}">
          <x14:formula1>
            <xm:f>項目!C17:$FKU$131073</xm:f>
          </x14:formula1>
          <xm:sqref>FLC131079:FLC131102</xm:sqref>
        </x14:dataValidation>
        <x14:dataValidation type="list" allowBlank="1" showInputMessage="1" showErrorMessage="1" xr:uid="{A1AE7875-0E9C-4220-826B-DC9CADB10D78}">
          <x14:formula1>
            <xm:f>項目!C17:$FUQ$131073</xm:f>
          </x14:formula1>
          <xm:sqref>FUY131079:FUY131102</xm:sqref>
        </x14:dataValidation>
        <x14:dataValidation type="list" allowBlank="1" showInputMessage="1" showErrorMessage="1" xr:uid="{4900B489-02C3-4A08-9B53-DAC9F0593B5E}">
          <x14:formula1>
            <xm:f>項目!C17:$GEM$131073</xm:f>
          </x14:formula1>
          <xm:sqref>GEU131079:GEU131102</xm:sqref>
        </x14:dataValidation>
        <x14:dataValidation type="list" allowBlank="1" showInputMessage="1" showErrorMessage="1" xr:uid="{E41E0583-9E55-4C3F-BD1E-94A347C31158}">
          <x14:formula1>
            <xm:f>項目!C17:$GOI$131073</xm:f>
          </x14:formula1>
          <xm:sqref>GOQ131079:GOQ131102</xm:sqref>
        </x14:dataValidation>
        <x14:dataValidation type="list" allowBlank="1" showInputMessage="1" showErrorMessage="1" xr:uid="{DCE28D94-9BF6-4A0C-B7A9-262D1212647E}">
          <x14:formula1>
            <xm:f>項目!C17:$GYE$131073</xm:f>
          </x14:formula1>
          <xm:sqref>GYM131079:GYM131102</xm:sqref>
        </x14:dataValidation>
        <x14:dataValidation type="list" allowBlank="1" showInputMessage="1" showErrorMessage="1" xr:uid="{5FE65BE2-5352-4FB7-A924-813056A37D46}">
          <x14:formula1>
            <xm:f>項目!C17:$HIA$131073</xm:f>
          </x14:formula1>
          <xm:sqref>HII131079:HII131102</xm:sqref>
        </x14:dataValidation>
        <x14:dataValidation type="list" allowBlank="1" showInputMessage="1" showErrorMessage="1" xr:uid="{ED6132D3-33FD-4D34-9FFE-275C823D7CDE}">
          <x14:formula1>
            <xm:f>項目!C17:$HRW$131073</xm:f>
          </x14:formula1>
          <xm:sqref>HSE131079:HSE131102</xm:sqref>
        </x14:dataValidation>
        <x14:dataValidation type="list" allowBlank="1" showInputMessage="1" showErrorMessage="1" xr:uid="{59B47C37-6243-42BF-B93C-42D8E8E016F8}">
          <x14:formula1>
            <xm:f>項目!C17:$IBS$131073</xm:f>
          </x14:formula1>
          <xm:sqref>ICA131079:ICA131102</xm:sqref>
        </x14:dataValidation>
        <x14:dataValidation type="list" allowBlank="1" showInputMessage="1" showErrorMessage="1" xr:uid="{38A1148B-D07B-4431-825B-9A492869DDCB}">
          <x14:formula1>
            <xm:f>項目!C17:$ILO$131073</xm:f>
          </x14:formula1>
          <xm:sqref>ILW131079:ILW131102</xm:sqref>
        </x14:dataValidation>
        <x14:dataValidation type="list" allowBlank="1" showInputMessage="1" showErrorMessage="1" xr:uid="{A78B0A85-646E-46D4-860E-3D21DCF4C20F}">
          <x14:formula1>
            <xm:f>項目!C17:$IVK$131073</xm:f>
          </x14:formula1>
          <xm:sqref>IVS131079:IVS131102</xm:sqref>
        </x14:dataValidation>
        <x14:dataValidation type="list" allowBlank="1" showInputMessage="1" showErrorMessage="1" xr:uid="{35AB5ACB-133E-476E-8DD3-F0A0CC1B428F}">
          <x14:formula1>
            <xm:f>項目!C17:$JFG$131073</xm:f>
          </x14:formula1>
          <xm:sqref>JFO131079:JFO131102</xm:sqref>
        </x14:dataValidation>
        <x14:dataValidation type="list" allowBlank="1" showInputMessage="1" showErrorMessage="1" xr:uid="{5F4232D2-0CE9-4FA0-A88F-0B65A812CFE8}">
          <x14:formula1>
            <xm:f>項目!C17:$JPC$131073</xm:f>
          </x14:formula1>
          <xm:sqref>JPK131079:JPK131102</xm:sqref>
        </x14:dataValidation>
        <x14:dataValidation type="list" allowBlank="1" showInputMessage="1" showErrorMessage="1" xr:uid="{4923CB11-D104-4D1C-B8B0-9DFF6DD726CF}">
          <x14:formula1>
            <xm:f>項目!C17:$JYY$131073</xm:f>
          </x14:formula1>
          <xm:sqref>JZG131079:JZG131102</xm:sqref>
        </x14:dataValidation>
        <x14:dataValidation type="list" allowBlank="1" showInputMessage="1" showErrorMessage="1" xr:uid="{24F51682-C591-4FC6-A915-B0280CEB96D1}">
          <x14:formula1>
            <xm:f>項目!C17:$KIU$131073</xm:f>
          </x14:formula1>
          <xm:sqref>KJC131079:KJC131102</xm:sqref>
        </x14:dataValidation>
        <x14:dataValidation type="list" allowBlank="1" showInputMessage="1" showErrorMessage="1" xr:uid="{47C05279-44CB-4686-9C28-B4461BF2F590}">
          <x14:formula1>
            <xm:f>項目!C17:$KSQ$131073</xm:f>
          </x14:formula1>
          <xm:sqref>KSY131079:KSY131102</xm:sqref>
        </x14:dataValidation>
        <x14:dataValidation type="list" allowBlank="1" showInputMessage="1" showErrorMessage="1" xr:uid="{9546966E-0739-415A-AD5E-E82FB85F8859}">
          <x14:formula1>
            <xm:f>項目!C17:$LCM$131073</xm:f>
          </x14:formula1>
          <xm:sqref>LCU131079:LCU131102</xm:sqref>
        </x14:dataValidation>
        <x14:dataValidation type="list" allowBlank="1" showInputMessage="1" showErrorMessage="1" xr:uid="{34EAE401-207A-48A6-B929-9C2C0452094C}">
          <x14:formula1>
            <xm:f>項目!C17:$LMI$131073</xm:f>
          </x14:formula1>
          <xm:sqref>LMQ131079:LMQ131102</xm:sqref>
        </x14:dataValidation>
        <x14:dataValidation type="list" allowBlank="1" showInputMessage="1" showErrorMessage="1" xr:uid="{52FE98F3-E19E-4147-9847-EB83CA77C765}">
          <x14:formula1>
            <xm:f>項目!C17:$LWE$131073</xm:f>
          </x14:formula1>
          <xm:sqref>LWM131079:LWM131102</xm:sqref>
        </x14:dataValidation>
        <x14:dataValidation type="list" allowBlank="1" showInputMessage="1" showErrorMessage="1" xr:uid="{74EB4FE0-ABD5-4527-BCE1-157D700A7785}">
          <x14:formula1>
            <xm:f>項目!C17:$MGA$131073</xm:f>
          </x14:formula1>
          <xm:sqref>MGI131079:MGI131102</xm:sqref>
        </x14:dataValidation>
        <x14:dataValidation type="list" allowBlank="1" showInputMessage="1" showErrorMessage="1" xr:uid="{EA5AC0FE-58AB-434F-B168-105BAF55B20E}">
          <x14:formula1>
            <xm:f>項目!C17:$MPW$131073</xm:f>
          </x14:formula1>
          <xm:sqref>MQE131079:MQE131102</xm:sqref>
        </x14:dataValidation>
        <x14:dataValidation type="list" allowBlank="1" showInputMessage="1" showErrorMessage="1" xr:uid="{A61908A4-9E91-4D6F-9B17-B389BA9C63BC}">
          <x14:formula1>
            <xm:f>項目!C17:$MZS$131073</xm:f>
          </x14:formula1>
          <xm:sqref>NAA131079:NAA131102</xm:sqref>
        </x14:dataValidation>
        <x14:dataValidation type="list" allowBlank="1" showInputMessage="1" showErrorMessage="1" xr:uid="{1679A2FF-3904-4F56-AFE8-CBCC8E9F5415}">
          <x14:formula1>
            <xm:f>項目!C17:$NJO$131073</xm:f>
          </x14:formula1>
          <xm:sqref>NJW131079:NJW131102</xm:sqref>
        </x14:dataValidation>
        <x14:dataValidation type="list" allowBlank="1" showInputMessage="1" showErrorMessage="1" xr:uid="{485A598C-D5B2-4599-AD37-95C66E4CBC13}">
          <x14:formula1>
            <xm:f>項目!C17:$NTK$131073</xm:f>
          </x14:formula1>
          <xm:sqref>NTS131079:NTS131102</xm:sqref>
        </x14:dataValidation>
        <x14:dataValidation type="list" allowBlank="1" showInputMessage="1" showErrorMessage="1" xr:uid="{0799A39E-4901-426C-BB8D-80E440C92CD8}">
          <x14:formula1>
            <xm:f>項目!C17:$ODG$131073</xm:f>
          </x14:formula1>
          <xm:sqref>ODO131079:ODO131102</xm:sqref>
        </x14:dataValidation>
        <x14:dataValidation type="list" allowBlank="1" showInputMessage="1" showErrorMessage="1" xr:uid="{4E1B5E58-317B-4BCB-ADA7-937F83C4E33E}">
          <x14:formula1>
            <xm:f>項目!C17:$ONC$131073</xm:f>
          </x14:formula1>
          <xm:sqref>ONK131079:ONK131102</xm:sqref>
        </x14:dataValidation>
        <x14:dataValidation type="list" allowBlank="1" showInputMessage="1" showErrorMessage="1" xr:uid="{147B7331-4797-4EF1-8896-F43579A077A9}">
          <x14:formula1>
            <xm:f>項目!C17:$OWY$131073</xm:f>
          </x14:formula1>
          <xm:sqref>OXG131079:OXG131102</xm:sqref>
        </x14:dataValidation>
        <x14:dataValidation type="list" allowBlank="1" showInputMessage="1" showErrorMessage="1" xr:uid="{9AA5048E-125A-4A24-A9C1-543A9217C75F}">
          <x14:formula1>
            <xm:f>項目!C17:$PGU$131073</xm:f>
          </x14:formula1>
          <xm:sqref>PHC131079:PHC131102</xm:sqref>
        </x14:dataValidation>
        <x14:dataValidation type="list" allowBlank="1" showInputMessage="1" showErrorMessage="1" xr:uid="{A12B7B29-923E-4520-8195-4AF25546C426}">
          <x14:formula1>
            <xm:f>項目!C17:$PQQ$131073</xm:f>
          </x14:formula1>
          <xm:sqref>PQY131079:PQY131102</xm:sqref>
        </x14:dataValidation>
        <x14:dataValidation type="list" allowBlank="1" showInputMessage="1" showErrorMessage="1" xr:uid="{EDEEC6E3-CAB5-4666-8517-EF527DE694ED}">
          <x14:formula1>
            <xm:f>項目!C17:$QAM$131073</xm:f>
          </x14:formula1>
          <xm:sqref>QAU131079:QAU131102</xm:sqref>
        </x14:dataValidation>
        <x14:dataValidation type="list" allowBlank="1" showInputMessage="1" showErrorMessage="1" xr:uid="{9933B98E-A6C0-4195-A53D-206D3B03FB87}">
          <x14:formula1>
            <xm:f>項目!C17:$QKI$131073</xm:f>
          </x14:formula1>
          <xm:sqref>QKQ131079:QKQ131102</xm:sqref>
        </x14:dataValidation>
        <x14:dataValidation type="list" allowBlank="1" showInputMessage="1" showErrorMessage="1" xr:uid="{73A358D5-7F24-4507-8B91-72D3A6AA0BD8}">
          <x14:formula1>
            <xm:f>項目!C17:$QUE$131073</xm:f>
          </x14:formula1>
          <xm:sqref>QUM131079:QUM131102</xm:sqref>
        </x14:dataValidation>
        <x14:dataValidation type="list" allowBlank="1" showInputMessage="1" showErrorMessage="1" xr:uid="{75A512FA-B68E-4F95-B268-D1DF5FEBF8B7}">
          <x14:formula1>
            <xm:f>項目!C17:$REA$131073</xm:f>
          </x14:formula1>
          <xm:sqref>REI131079:REI131102</xm:sqref>
        </x14:dataValidation>
        <x14:dataValidation type="list" allowBlank="1" showInputMessage="1" showErrorMessage="1" xr:uid="{135B5F68-03F5-4816-B339-B227726D1D30}">
          <x14:formula1>
            <xm:f>項目!C17:$RNW$131073</xm:f>
          </x14:formula1>
          <xm:sqref>ROE131079:ROE131102</xm:sqref>
        </x14:dataValidation>
        <x14:dataValidation type="list" allowBlank="1" showInputMessage="1" showErrorMessage="1" xr:uid="{786EEEF6-CA7B-49B9-BF35-7ECA4B625158}">
          <x14:formula1>
            <xm:f>項目!C17:$RXS$131073</xm:f>
          </x14:formula1>
          <xm:sqref>RYA131079:RYA131102</xm:sqref>
        </x14:dataValidation>
        <x14:dataValidation type="list" allowBlank="1" showInputMessage="1" showErrorMessage="1" xr:uid="{6BC96DC6-1E30-4B41-A6A6-A3D434743628}">
          <x14:formula1>
            <xm:f>項目!C17:$SHO$131073</xm:f>
          </x14:formula1>
          <xm:sqref>SHW131079:SHW131102</xm:sqref>
        </x14:dataValidation>
        <x14:dataValidation type="list" allowBlank="1" showInputMessage="1" showErrorMessage="1" xr:uid="{C33C67D1-A22D-4F5C-B769-11EB3D9FBFCF}">
          <x14:formula1>
            <xm:f>項目!C17:$SRK$131073</xm:f>
          </x14:formula1>
          <xm:sqref>SRS131079:SRS131102</xm:sqref>
        </x14:dataValidation>
        <x14:dataValidation type="list" allowBlank="1" showInputMessage="1" showErrorMessage="1" xr:uid="{3151AC4A-4DE4-4857-B610-9CBFF9E82B74}">
          <x14:formula1>
            <xm:f>項目!C17:$TBG$131073</xm:f>
          </x14:formula1>
          <xm:sqref>TBO131079:TBO131102</xm:sqref>
        </x14:dataValidation>
        <x14:dataValidation type="list" allowBlank="1" showInputMessage="1" showErrorMessage="1" xr:uid="{56DCC90D-89C7-4981-8441-9171C75F03A3}">
          <x14:formula1>
            <xm:f>項目!C17:$TLC$131073</xm:f>
          </x14:formula1>
          <xm:sqref>TLK131079:TLK131102</xm:sqref>
        </x14:dataValidation>
        <x14:dataValidation type="list" allowBlank="1" showInputMessage="1" showErrorMessage="1" xr:uid="{F22D6AA7-966E-4A3E-B429-EDB74DE9E6AC}">
          <x14:formula1>
            <xm:f>項目!C17:$TUY$131073</xm:f>
          </x14:formula1>
          <xm:sqref>TVG131079:TVG131102</xm:sqref>
        </x14:dataValidation>
        <x14:dataValidation type="list" allowBlank="1" showInputMessage="1" showErrorMessage="1" xr:uid="{FC2128B2-349D-4092-9AA3-50760E0FA30B}">
          <x14:formula1>
            <xm:f>項目!C17:$UEU$131073</xm:f>
          </x14:formula1>
          <xm:sqref>UFC131079:UFC131102</xm:sqref>
        </x14:dataValidation>
        <x14:dataValidation type="list" allowBlank="1" showInputMessage="1" showErrorMessage="1" xr:uid="{647DCDA5-AFBC-4FB6-B33B-7DBA64E002D4}">
          <x14:formula1>
            <xm:f>項目!C17:$UOQ$131073</xm:f>
          </x14:formula1>
          <xm:sqref>UOY131079:UOY131102</xm:sqref>
        </x14:dataValidation>
        <x14:dataValidation type="list" allowBlank="1" showInputMessage="1" showErrorMessage="1" xr:uid="{97D01CD4-ACFC-4951-8083-367E8A787FB2}">
          <x14:formula1>
            <xm:f>項目!C17:$UYM$131073</xm:f>
          </x14:formula1>
          <xm:sqref>UYU131079:UYU131102</xm:sqref>
        </x14:dataValidation>
        <x14:dataValidation type="list" allowBlank="1" showInputMessage="1" showErrorMessage="1" xr:uid="{D38BFDA6-5A03-4B30-A164-070155CC866C}">
          <x14:formula1>
            <xm:f>項目!C17:$VII$131073</xm:f>
          </x14:formula1>
          <xm:sqref>VIQ131079:VIQ131102</xm:sqref>
        </x14:dataValidation>
        <x14:dataValidation type="list" allowBlank="1" showInputMessage="1" showErrorMessage="1" xr:uid="{92880CDB-04FF-40C0-BA10-3570E1D54330}">
          <x14:formula1>
            <xm:f>項目!C17:$VSE$131073</xm:f>
          </x14:formula1>
          <xm:sqref>VSM131079:VSM131102</xm:sqref>
        </x14:dataValidation>
        <x14:dataValidation type="list" allowBlank="1" showInputMessage="1" showErrorMessage="1" xr:uid="{1CA79933-4E6E-4CB8-AD3D-FC1EAEA7F669}">
          <x14:formula1>
            <xm:f>項目!C17:$WCA$131073</xm:f>
          </x14:formula1>
          <xm:sqref>WCI131079:WCI131102</xm:sqref>
        </x14:dataValidation>
        <x14:dataValidation type="list" allowBlank="1" showInputMessage="1" showErrorMessage="1" xr:uid="{BCB27A62-44B3-42B9-9F1C-7949F87BBA7B}">
          <x14:formula1>
            <xm:f>項目!C17:$WLW$131073</xm:f>
          </x14:formula1>
          <xm:sqref>WME131079:WME131102</xm:sqref>
        </x14:dataValidation>
        <x14:dataValidation type="list" allowBlank="1" showInputMessage="1" showErrorMessage="1" xr:uid="{CA79E5D8-655A-412B-A2F4-F6F7E4F42EE9}">
          <x14:formula1>
            <xm:f>項目!C17:$WVS$131073</xm:f>
          </x14:formula1>
          <xm:sqref>WWA131079:WWA131102</xm:sqref>
        </x14:dataValidation>
        <x14:dataValidation type="list" allowBlank="1" showInputMessage="1" showErrorMessage="1" xr:uid="{B3C9E01A-03C6-4D8A-850B-4D25D33E4292}">
          <x14:formula1>
            <xm:f>項目!C17:$M$196609</xm:f>
          </x14:formula1>
          <xm:sqref>S196615:S196638</xm:sqref>
        </x14:dataValidation>
        <x14:dataValidation type="list" allowBlank="1" showInputMessage="1" showErrorMessage="1" xr:uid="{634E1536-283F-4549-87DB-E128E7735FDD}">
          <x14:formula1>
            <xm:f>項目!C17:$JG$196609</xm:f>
          </x14:formula1>
          <xm:sqref>JO196615:JO196638</xm:sqref>
        </x14:dataValidation>
        <x14:dataValidation type="list" allowBlank="1" showInputMessage="1" showErrorMessage="1" xr:uid="{6A94A8E5-3153-4227-BBE5-F231383898C9}">
          <x14:formula1>
            <xm:f>項目!C17:$TC$196609</xm:f>
          </x14:formula1>
          <xm:sqref>TK196615:TK196638</xm:sqref>
        </x14:dataValidation>
        <x14:dataValidation type="list" allowBlank="1" showInputMessage="1" showErrorMessage="1" xr:uid="{58F33DD2-9084-4D68-B754-BB0A00450211}">
          <x14:formula1>
            <xm:f>項目!C17:$ACY$196609</xm:f>
          </x14:formula1>
          <xm:sqref>ADG196615:ADG196638</xm:sqref>
        </x14:dataValidation>
        <x14:dataValidation type="list" allowBlank="1" showInputMessage="1" showErrorMessage="1" xr:uid="{83A43F34-5411-4833-96A0-222B7CC034DE}">
          <x14:formula1>
            <xm:f>項目!C17:$AMU$196609</xm:f>
          </x14:formula1>
          <xm:sqref>ANC196615:ANC196638</xm:sqref>
        </x14:dataValidation>
        <x14:dataValidation type="list" allowBlank="1" showInputMessage="1" showErrorMessage="1" xr:uid="{9B45FC23-36F6-441C-A85F-DEADC69E2B34}">
          <x14:formula1>
            <xm:f>項目!C17:$AWQ$196609</xm:f>
          </x14:formula1>
          <xm:sqref>AWY196615:AWY196638</xm:sqref>
        </x14:dataValidation>
        <x14:dataValidation type="list" allowBlank="1" showInputMessage="1" showErrorMessage="1" xr:uid="{BEE1B4EA-8C65-4FAB-BF71-E3189EC0A7AC}">
          <x14:formula1>
            <xm:f>項目!C17:$BGM$196609</xm:f>
          </x14:formula1>
          <xm:sqref>BGU196615:BGU196638</xm:sqref>
        </x14:dataValidation>
        <x14:dataValidation type="list" allowBlank="1" showInputMessage="1" showErrorMessage="1" xr:uid="{C9A41501-9DF0-4AD3-854E-A21E1CC62516}">
          <x14:formula1>
            <xm:f>項目!C17:$BQI$196609</xm:f>
          </x14:formula1>
          <xm:sqref>BQQ196615:BQQ196638</xm:sqref>
        </x14:dataValidation>
        <x14:dataValidation type="list" allowBlank="1" showInputMessage="1" showErrorMessage="1" xr:uid="{69A42DD2-EE21-4D1D-8B1A-43545A6294C5}">
          <x14:formula1>
            <xm:f>項目!C17:$CAE$196609</xm:f>
          </x14:formula1>
          <xm:sqref>CAM196615:CAM196638</xm:sqref>
        </x14:dataValidation>
        <x14:dataValidation type="list" allowBlank="1" showInputMessage="1" showErrorMessage="1" xr:uid="{FA06DC49-7355-4718-A307-87EEE1EEFA62}">
          <x14:formula1>
            <xm:f>項目!C17:$CKA$196609</xm:f>
          </x14:formula1>
          <xm:sqref>CKI196615:CKI196638</xm:sqref>
        </x14:dataValidation>
        <x14:dataValidation type="list" allowBlank="1" showInputMessage="1" showErrorMessage="1" xr:uid="{E83FBD5C-97B1-409C-AF6C-DDACD89449D8}">
          <x14:formula1>
            <xm:f>項目!C17:$CTW$196609</xm:f>
          </x14:formula1>
          <xm:sqref>CUE196615:CUE196638</xm:sqref>
        </x14:dataValidation>
        <x14:dataValidation type="list" allowBlank="1" showInputMessage="1" showErrorMessage="1" xr:uid="{ECD5DA9A-11B2-4512-B5D5-6E074512FAD6}">
          <x14:formula1>
            <xm:f>項目!C17:$DDS$196609</xm:f>
          </x14:formula1>
          <xm:sqref>DEA196615:DEA196638</xm:sqref>
        </x14:dataValidation>
        <x14:dataValidation type="list" allowBlank="1" showInputMessage="1" showErrorMessage="1" xr:uid="{D98EF728-75B6-442E-91A5-2579EF1354E5}">
          <x14:formula1>
            <xm:f>項目!C17:$DNO$196609</xm:f>
          </x14:formula1>
          <xm:sqref>DNW196615:DNW196638</xm:sqref>
        </x14:dataValidation>
        <x14:dataValidation type="list" allowBlank="1" showInputMessage="1" showErrorMessage="1" xr:uid="{FFF540E6-4D62-424F-9D2C-9E848379038F}">
          <x14:formula1>
            <xm:f>項目!C17:$DXK$196609</xm:f>
          </x14:formula1>
          <xm:sqref>DXS196615:DXS196638</xm:sqref>
        </x14:dataValidation>
        <x14:dataValidation type="list" allowBlank="1" showInputMessage="1" showErrorMessage="1" xr:uid="{B02E68D7-E9A7-408F-8AB6-24CCBB070368}">
          <x14:formula1>
            <xm:f>項目!C17:$EHG$196609</xm:f>
          </x14:formula1>
          <xm:sqref>EHO196615:EHO196638</xm:sqref>
        </x14:dataValidation>
        <x14:dataValidation type="list" allowBlank="1" showInputMessage="1" showErrorMessage="1" xr:uid="{7B7C0DBA-8273-439C-A323-57D713EA7E17}">
          <x14:formula1>
            <xm:f>項目!C17:$ERC$196609</xm:f>
          </x14:formula1>
          <xm:sqref>ERK196615:ERK196638</xm:sqref>
        </x14:dataValidation>
        <x14:dataValidation type="list" allowBlank="1" showInputMessage="1" showErrorMessage="1" xr:uid="{B089B690-037F-4EFE-A14A-CD1190F01AB9}">
          <x14:formula1>
            <xm:f>項目!C17:$FAY$196609</xm:f>
          </x14:formula1>
          <xm:sqref>FBG196615:FBG196638</xm:sqref>
        </x14:dataValidation>
        <x14:dataValidation type="list" allowBlank="1" showInputMessage="1" showErrorMessage="1" xr:uid="{50CBCF7E-7FBB-400A-9CD9-252F15D85F0B}">
          <x14:formula1>
            <xm:f>項目!C17:$FKU$196609</xm:f>
          </x14:formula1>
          <xm:sqref>FLC196615:FLC196638</xm:sqref>
        </x14:dataValidation>
        <x14:dataValidation type="list" allowBlank="1" showInputMessage="1" showErrorMessage="1" xr:uid="{BC363316-F1BB-4CBC-80A7-32754A70CABB}">
          <x14:formula1>
            <xm:f>項目!C17:$FUQ$196609</xm:f>
          </x14:formula1>
          <xm:sqref>FUY196615:FUY196638</xm:sqref>
        </x14:dataValidation>
        <x14:dataValidation type="list" allowBlank="1" showInputMessage="1" showErrorMessage="1" xr:uid="{F19968C9-CDC0-46F2-A322-5D20A3D28D8B}">
          <x14:formula1>
            <xm:f>項目!C17:$GEM$196609</xm:f>
          </x14:formula1>
          <xm:sqref>GEU196615:GEU196638</xm:sqref>
        </x14:dataValidation>
        <x14:dataValidation type="list" allowBlank="1" showInputMessage="1" showErrorMessage="1" xr:uid="{72F40C34-FEDB-44E3-BAE6-AB0B7588ED7A}">
          <x14:formula1>
            <xm:f>項目!C17:$GOI$196609</xm:f>
          </x14:formula1>
          <xm:sqref>GOQ196615:GOQ196638</xm:sqref>
        </x14:dataValidation>
        <x14:dataValidation type="list" allowBlank="1" showInputMessage="1" showErrorMessage="1" xr:uid="{8F15E027-DC7F-47CE-A713-39994465F55F}">
          <x14:formula1>
            <xm:f>項目!C17:$GYE$196609</xm:f>
          </x14:formula1>
          <xm:sqref>GYM196615:GYM196638</xm:sqref>
        </x14:dataValidation>
        <x14:dataValidation type="list" allowBlank="1" showInputMessage="1" showErrorMessage="1" xr:uid="{067A579D-2FBB-47BD-B7B5-DD2A24CBF4E0}">
          <x14:formula1>
            <xm:f>項目!C17:$HIA$196609</xm:f>
          </x14:formula1>
          <xm:sqref>HII196615:HII196638</xm:sqref>
        </x14:dataValidation>
        <x14:dataValidation type="list" allowBlank="1" showInputMessage="1" showErrorMessage="1" xr:uid="{05EDB968-1216-4D15-9FCA-47841A02CE90}">
          <x14:formula1>
            <xm:f>項目!C17:$HRW$196609</xm:f>
          </x14:formula1>
          <xm:sqref>HSE196615:HSE196638</xm:sqref>
        </x14:dataValidation>
        <x14:dataValidation type="list" allowBlank="1" showInputMessage="1" showErrorMessage="1" xr:uid="{D6E44194-271D-477B-A961-73C5A0A4C6EC}">
          <x14:formula1>
            <xm:f>項目!C17:$IBS$196609</xm:f>
          </x14:formula1>
          <xm:sqref>ICA196615:ICA196638</xm:sqref>
        </x14:dataValidation>
        <x14:dataValidation type="list" allowBlank="1" showInputMessage="1" showErrorMessage="1" xr:uid="{C27D7D00-F0F1-4F89-A978-D935609BE162}">
          <x14:formula1>
            <xm:f>項目!C17:$ILO$196609</xm:f>
          </x14:formula1>
          <xm:sqref>ILW196615:ILW196638</xm:sqref>
        </x14:dataValidation>
        <x14:dataValidation type="list" allowBlank="1" showInputMessage="1" showErrorMessage="1" xr:uid="{1D228CCA-11E0-4477-A265-0B4601DFE00F}">
          <x14:formula1>
            <xm:f>項目!C17:$IVK$196609</xm:f>
          </x14:formula1>
          <xm:sqref>IVS196615:IVS196638</xm:sqref>
        </x14:dataValidation>
        <x14:dataValidation type="list" allowBlank="1" showInputMessage="1" showErrorMessage="1" xr:uid="{132D5F25-9353-4FC3-9E11-F15567AEFCA2}">
          <x14:formula1>
            <xm:f>項目!C17:$JFG$196609</xm:f>
          </x14:formula1>
          <xm:sqref>JFO196615:JFO196638</xm:sqref>
        </x14:dataValidation>
        <x14:dataValidation type="list" allowBlank="1" showInputMessage="1" showErrorMessage="1" xr:uid="{8C1D0226-3642-4489-AE76-7376FB217D9B}">
          <x14:formula1>
            <xm:f>項目!C17:$JPC$196609</xm:f>
          </x14:formula1>
          <xm:sqref>JPK196615:JPK196638</xm:sqref>
        </x14:dataValidation>
        <x14:dataValidation type="list" allowBlank="1" showInputMessage="1" showErrorMessage="1" xr:uid="{CC5B872A-129A-4F29-BD20-5F34E65F3EDF}">
          <x14:formula1>
            <xm:f>項目!C17:$JYY$196609</xm:f>
          </x14:formula1>
          <xm:sqref>JZG196615:JZG196638</xm:sqref>
        </x14:dataValidation>
        <x14:dataValidation type="list" allowBlank="1" showInputMessage="1" showErrorMessage="1" xr:uid="{1366F7AF-A8C9-44F2-9DE5-A39F08425071}">
          <x14:formula1>
            <xm:f>項目!C17:$KIU$196609</xm:f>
          </x14:formula1>
          <xm:sqref>KJC196615:KJC196638</xm:sqref>
        </x14:dataValidation>
        <x14:dataValidation type="list" allowBlank="1" showInputMessage="1" showErrorMessage="1" xr:uid="{793091FB-DD1C-4EAB-ABD0-1BF07537056E}">
          <x14:formula1>
            <xm:f>項目!C17:$KSQ$196609</xm:f>
          </x14:formula1>
          <xm:sqref>KSY196615:KSY196638</xm:sqref>
        </x14:dataValidation>
        <x14:dataValidation type="list" allowBlank="1" showInputMessage="1" showErrorMessage="1" xr:uid="{599B99FA-3935-4BD7-AF0D-6639FAA7B8AC}">
          <x14:formula1>
            <xm:f>項目!C17:$LCM$196609</xm:f>
          </x14:formula1>
          <xm:sqref>LCU196615:LCU196638</xm:sqref>
        </x14:dataValidation>
        <x14:dataValidation type="list" allowBlank="1" showInputMessage="1" showErrorMessage="1" xr:uid="{052D23EB-51BD-4605-9CA5-A3BBC3F28BD8}">
          <x14:formula1>
            <xm:f>項目!C17:$LMI$196609</xm:f>
          </x14:formula1>
          <xm:sqref>LMQ196615:LMQ196638</xm:sqref>
        </x14:dataValidation>
        <x14:dataValidation type="list" allowBlank="1" showInputMessage="1" showErrorMessage="1" xr:uid="{FD120428-02C0-4419-B528-40E42A420080}">
          <x14:formula1>
            <xm:f>項目!C17:$LWE$196609</xm:f>
          </x14:formula1>
          <xm:sqref>LWM196615:LWM196638</xm:sqref>
        </x14:dataValidation>
        <x14:dataValidation type="list" allowBlank="1" showInputMessage="1" showErrorMessage="1" xr:uid="{110F2F65-ACE9-4EA6-A506-04C06AA2F03D}">
          <x14:formula1>
            <xm:f>項目!C17:$MGA$196609</xm:f>
          </x14:formula1>
          <xm:sqref>MGI196615:MGI196638</xm:sqref>
        </x14:dataValidation>
        <x14:dataValidation type="list" allowBlank="1" showInputMessage="1" showErrorMessage="1" xr:uid="{BD78F217-08D1-496F-8F21-E83523B50EC4}">
          <x14:formula1>
            <xm:f>項目!C17:$MPW$196609</xm:f>
          </x14:formula1>
          <xm:sqref>MQE196615:MQE196638</xm:sqref>
        </x14:dataValidation>
        <x14:dataValidation type="list" allowBlank="1" showInputMessage="1" showErrorMessage="1" xr:uid="{2D9AB87F-CCF6-4DF9-9269-27FF8CF7047F}">
          <x14:formula1>
            <xm:f>項目!C17:$MZS$196609</xm:f>
          </x14:formula1>
          <xm:sqref>NAA196615:NAA196638</xm:sqref>
        </x14:dataValidation>
        <x14:dataValidation type="list" allowBlank="1" showInputMessage="1" showErrorMessage="1" xr:uid="{604F2CF5-EDA9-412B-8B64-0A1A1E62D568}">
          <x14:formula1>
            <xm:f>項目!C17:$NJO$196609</xm:f>
          </x14:formula1>
          <xm:sqref>NJW196615:NJW196638</xm:sqref>
        </x14:dataValidation>
        <x14:dataValidation type="list" allowBlank="1" showInputMessage="1" showErrorMessage="1" xr:uid="{CD7E88B1-E5AC-4746-A6A9-194929A06873}">
          <x14:formula1>
            <xm:f>項目!C17:$NTK$196609</xm:f>
          </x14:formula1>
          <xm:sqref>NTS196615:NTS196638</xm:sqref>
        </x14:dataValidation>
        <x14:dataValidation type="list" allowBlank="1" showInputMessage="1" showErrorMessage="1" xr:uid="{E2820554-2F62-4737-935F-A3CE26DB6407}">
          <x14:formula1>
            <xm:f>項目!C17:$ODG$196609</xm:f>
          </x14:formula1>
          <xm:sqref>ODO196615:ODO196638</xm:sqref>
        </x14:dataValidation>
        <x14:dataValidation type="list" allowBlank="1" showInputMessage="1" showErrorMessage="1" xr:uid="{22BBB6B9-4C7F-4C8A-BEA2-86B49B7AF68D}">
          <x14:formula1>
            <xm:f>項目!C17:$ONC$196609</xm:f>
          </x14:formula1>
          <xm:sqref>ONK196615:ONK196638</xm:sqref>
        </x14:dataValidation>
        <x14:dataValidation type="list" allowBlank="1" showInputMessage="1" showErrorMessage="1" xr:uid="{FA67F07C-67FF-497E-9B9D-917C3EB6EEAB}">
          <x14:formula1>
            <xm:f>項目!C17:$OWY$196609</xm:f>
          </x14:formula1>
          <xm:sqref>OXG196615:OXG196638</xm:sqref>
        </x14:dataValidation>
        <x14:dataValidation type="list" allowBlank="1" showInputMessage="1" showErrorMessage="1" xr:uid="{440529F7-0D1C-4079-AFE7-BAA0EAF190AB}">
          <x14:formula1>
            <xm:f>項目!C17:$PGU$196609</xm:f>
          </x14:formula1>
          <xm:sqref>PHC196615:PHC196638</xm:sqref>
        </x14:dataValidation>
        <x14:dataValidation type="list" allowBlank="1" showInputMessage="1" showErrorMessage="1" xr:uid="{A19D4512-43F1-470A-97AA-0679EE18505B}">
          <x14:formula1>
            <xm:f>項目!C17:$PQQ$196609</xm:f>
          </x14:formula1>
          <xm:sqref>PQY196615:PQY196638</xm:sqref>
        </x14:dataValidation>
        <x14:dataValidation type="list" allowBlank="1" showInputMessage="1" showErrorMessage="1" xr:uid="{17358645-A427-4CB6-9181-8081BE15DD3A}">
          <x14:formula1>
            <xm:f>項目!C17:$QAM$196609</xm:f>
          </x14:formula1>
          <xm:sqref>QAU196615:QAU196638</xm:sqref>
        </x14:dataValidation>
        <x14:dataValidation type="list" allowBlank="1" showInputMessage="1" showErrorMessage="1" xr:uid="{005227E7-8648-4965-904C-DEFC2A74B5F4}">
          <x14:formula1>
            <xm:f>項目!C17:$QKI$196609</xm:f>
          </x14:formula1>
          <xm:sqref>QKQ196615:QKQ196638</xm:sqref>
        </x14:dataValidation>
        <x14:dataValidation type="list" allowBlank="1" showInputMessage="1" showErrorMessage="1" xr:uid="{8ED8A8D8-081E-48DC-835B-43DEFC508A65}">
          <x14:formula1>
            <xm:f>項目!C17:$QUE$196609</xm:f>
          </x14:formula1>
          <xm:sqref>QUM196615:QUM196638</xm:sqref>
        </x14:dataValidation>
        <x14:dataValidation type="list" allowBlank="1" showInputMessage="1" showErrorMessage="1" xr:uid="{46AA9220-4A1B-44B5-9C8F-053358D1B0AF}">
          <x14:formula1>
            <xm:f>項目!C17:$REA$196609</xm:f>
          </x14:formula1>
          <xm:sqref>REI196615:REI196638</xm:sqref>
        </x14:dataValidation>
        <x14:dataValidation type="list" allowBlank="1" showInputMessage="1" showErrorMessage="1" xr:uid="{8EFFDB00-E31F-4242-A5D8-85DDA573043C}">
          <x14:formula1>
            <xm:f>項目!C17:$RNW$196609</xm:f>
          </x14:formula1>
          <xm:sqref>ROE196615:ROE196638</xm:sqref>
        </x14:dataValidation>
        <x14:dataValidation type="list" allowBlank="1" showInputMessage="1" showErrorMessage="1" xr:uid="{293B5C55-52F5-4BA5-9987-2B83F168113B}">
          <x14:formula1>
            <xm:f>項目!C17:$RXS$196609</xm:f>
          </x14:formula1>
          <xm:sqref>RYA196615:RYA196638</xm:sqref>
        </x14:dataValidation>
        <x14:dataValidation type="list" allowBlank="1" showInputMessage="1" showErrorMessage="1" xr:uid="{9FEDA6E0-DC15-4C6B-A91A-B82642E1CBF5}">
          <x14:formula1>
            <xm:f>項目!C17:$SHO$196609</xm:f>
          </x14:formula1>
          <xm:sqref>SHW196615:SHW196638</xm:sqref>
        </x14:dataValidation>
        <x14:dataValidation type="list" allowBlank="1" showInputMessage="1" showErrorMessage="1" xr:uid="{32BC396C-841A-48A8-BE26-AE1B0F2987FF}">
          <x14:formula1>
            <xm:f>項目!C17:$SRK$196609</xm:f>
          </x14:formula1>
          <xm:sqref>SRS196615:SRS196638</xm:sqref>
        </x14:dataValidation>
        <x14:dataValidation type="list" allowBlank="1" showInputMessage="1" showErrorMessage="1" xr:uid="{FC30DA19-F463-41F9-AA41-EB526CE8EAC1}">
          <x14:formula1>
            <xm:f>項目!C17:$TBG$196609</xm:f>
          </x14:formula1>
          <xm:sqref>TBO196615:TBO196638</xm:sqref>
        </x14:dataValidation>
        <x14:dataValidation type="list" allowBlank="1" showInputMessage="1" showErrorMessage="1" xr:uid="{747675B6-680B-4E9B-9196-3A292514BB16}">
          <x14:formula1>
            <xm:f>項目!C17:$TLC$196609</xm:f>
          </x14:formula1>
          <xm:sqref>TLK196615:TLK196638</xm:sqref>
        </x14:dataValidation>
        <x14:dataValidation type="list" allowBlank="1" showInputMessage="1" showErrorMessage="1" xr:uid="{DC439DA0-C320-4184-BE59-EDB4EDDAA3BF}">
          <x14:formula1>
            <xm:f>項目!C17:$TUY$196609</xm:f>
          </x14:formula1>
          <xm:sqref>TVG196615:TVG196638</xm:sqref>
        </x14:dataValidation>
        <x14:dataValidation type="list" allowBlank="1" showInputMessage="1" showErrorMessage="1" xr:uid="{FC25C214-B75B-4431-B285-962B3F917F87}">
          <x14:formula1>
            <xm:f>項目!C17:$UEU$196609</xm:f>
          </x14:formula1>
          <xm:sqref>UFC196615:UFC196638</xm:sqref>
        </x14:dataValidation>
        <x14:dataValidation type="list" allowBlank="1" showInputMessage="1" showErrorMessage="1" xr:uid="{0EFBB4B9-19E1-431F-874E-C1FB452B04F0}">
          <x14:formula1>
            <xm:f>項目!C17:$UOQ$196609</xm:f>
          </x14:formula1>
          <xm:sqref>UOY196615:UOY196638</xm:sqref>
        </x14:dataValidation>
        <x14:dataValidation type="list" allowBlank="1" showInputMessage="1" showErrorMessage="1" xr:uid="{CF48C5B2-3751-4560-B359-76E3E8F2BB6A}">
          <x14:formula1>
            <xm:f>項目!C17:$UYM$196609</xm:f>
          </x14:formula1>
          <xm:sqref>UYU196615:UYU196638</xm:sqref>
        </x14:dataValidation>
        <x14:dataValidation type="list" allowBlank="1" showInputMessage="1" showErrorMessage="1" xr:uid="{BC07557E-5823-4058-8A0C-DFBC796F8271}">
          <x14:formula1>
            <xm:f>項目!C17:$VII$196609</xm:f>
          </x14:formula1>
          <xm:sqref>VIQ196615:VIQ196638</xm:sqref>
        </x14:dataValidation>
        <x14:dataValidation type="list" allowBlank="1" showInputMessage="1" showErrorMessage="1" xr:uid="{521FBBD9-D2BD-4B96-931B-FD0E02CB9EEA}">
          <x14:formula1>
            <xm:f>項目!C17:$VSE$196609</xm:f>
          </x14:formula1>
          <xm:sqref>VSM196615:VSM196638</xm:sqref>
        </x14:dataValidation>
        <x14:dataValidation type="list" allowBlank="1" showInputMessage="1" showErrorMessage="1" xr:uid="{4EB2C9DA-EEBF-43D9-90FD-7D6D0600E869}">
          <x14:formula1>
            <xm:f>項目!C17:$WCA$196609</xm:f>
          </x14:formula1>
          <xm:sqref>WCI196615:WCI196638</xm:sqref>
        </x14:dataValidation>
        <x14:dataValidation type="list" allowBlank="1" showInputMessage="1" showErrorMessage="1" xr:uid="{A0151473-4572-4E05-8958-E578C0CCC25B}">
          <x14:formula1>
            <xm:f>項目!C17:$WLW$196609</xm:f>
          </x14:formula1>
          <xm:sqref>WME196615:WME196638</xm:sqref>
        </x14:dataValidation>
        <x14:dataValidation type="list" allowBlank="1" showInputMessage="1" showErrorMessage="1" xr:uid="{2613B7BE-B45F-420F-BD0B-04B4327091DF}">
          <x14:formula1>
            <xm:f>項目!C17:$WVS$196609</xm:f>
          </x14:formula1>
          <xm:sqref>WWA196615:WWA196638</xm:sqref>
        </x14:dataValidation>
        <x14:dataValidation type="list" allowBlank="1" showInputMessage="1" showErrorMessage="1" xr:uid="{6583ED84-88C0-428C-AF4B-28808147FDB6}">
          <x14:formula1>
            <xm:f>項目!C17:$M$262145</xm:f>
          </x14:formula1>
          <xm:sqref>S262151:S262174</xm:sqref>
        </x14:dataValidation>
        <x14:dataValidation type="list" allowBlank="1" showInputMessage="1" showErrorMessage="1" xr:uid="{AD5F0444-0A54-4D6B-B968-E578BE78935D}">
          <x14:formula1>
            <xm:f>項目!C17:$JG$262145</xm:f>
          </x14:formula1>
          <xm:sqref>JO262151:JO262174</xm:sqref>
        </x14:dataValidation>
        <x14:dataValidation type="list" allowBlank="1" showInputMessage="1" showErrorMessage="1" xr:uid="{70B22E9A-1661-451C-9A1B-47182CB4F2C0}">
          <x14:formula1>
            <xm:f>項目!C17:$TC$262145</xm:f>
          </x14:formula1>
          <xm:sqref>TK262151:TK262174</xm:sqref>
        </x14:dataValidation>
        <x14:dataValidation type="list" allowBlank="1" showInputMessage="1" showErrorMessage="1" xr:uid="{29ED4D39-6ABA-491F-A0B5-DDA6BF1204F1}">
          <x14:formula1>
            <xm:f>項目!C17:$ACY$262145</xm:f>
          </x14:formula1>
          <xm:sqref>ADG262151:ADG262174</xm:sqref>
        </x14:dataValidation>
        <x14:dataValidation type="list" allowBlank="1" showInputMessage="1" showErrorMessage="1" xr:uid="{A9988918-A03A-4F30-B9DB-12FE4AA3E66D}">
          <x14:formula1>
            <xm:f>項目!C17:$AMU$262145</xm:f>
          </x14:formula1>
          <xm:sqref>ANC262151:ANC262174</xm:sqref>
        </x14:dataValidation>
        <x14:dataValidation type="list" allowBlank="1" showInputMessage="1" showErrorMessage="1" xr:uid="{3459EC03-D4C8-4ED0-9B21-5D3C1602138A}">
          <x14:formula1>
            <xm:f>項目!C17:$AWQ$262145</xm:f>
          </x14:formula1>
          <xm:sqref>AWY262151:AWY262174</xm:sqref>
        </x14:dataValidation>
        <x14:dataValidation type="list" allowBlank="1" showInputMessage="1" showErrorMessage="1" xr:uid="{602E4877-7BE7-4A34-A678-371023B38901}">
          <x14:formula1>
            <xm:f>項目!C17:$BGM$262145</xm:f>
          </x14:formula1>
          <xm:sqref>BGU262151:BGU262174</xm:sqref>
        </x14:dataValidation>
        <x14:dataValidation type="list" allowBlank="1" showInputMessage="1" showErrorMessage="1" xr:uid="{966573FB-DE47-4719-8C93-D3670CDF6ABE}">
          <x14:formula1>
            <xm:f>項目!C17:$BQI$262145</xm:f>
          </x14:formula1>
          <xm:sqref>BQQ262151:BQQ262174</xm:sqref>
        </x14:dataValidation>
        <x14:dataValidation type="list" allowBlank="1" showInputMessage="1" showErrorMessage="1" xr:uid="{99E53294-CE06-402F-A203-305EDE42463D}">
          <x14:formula1>
            <xm:f>項目!C17:$CAE$262145</xm:f>
          </x14:formula1>
          <xm:sqref>CAM262151:CAM262174</xm:sqref>
        </x14:dataValidation>
        <x14:dataValidation type="list" allowBlank="1" showInputMessage="1" showErrorMessage="1" xr:uid="{B164DA35-4E09-469A-92C6-734A9788FB2C}">
          <x14:formula1>
            <xm:f>項目!C17:$CKA$262145</xm:f>
          </x14:formula1>
          <xm:sqref>CKI262151:CKI262174</xm:sqref>
        </x14:dataValidation>
        <x14:dataValidation type="list" allowBlank="1" showInputMessage="1" showErrorMessage="1" xr:uid="{86F99074-B44C-400F-B1E8-1DC371DF6C20}">
          <x14:formula1>
            <xm:f>項目!C17:$CTW$262145</xm:f>
          </x14:formula1>
          <xm:sqref>CUE262151:CUE262174</xm:sqref>
        </x14:dataValidation>
        <x14:dataValidation type="list" allowBlank="1" showInputMessage="1" showErrorMessage="1" xr:uid="{31763609-666D-4177-B3FC-3D853E657602}">
          <x14:formula1>
            <xm:f>項目!C17:$DDS$262145</xm:f>
          </x14:formula1>
          <xm:sqref>DEA262151:DEA262174</xm:sqref>
        </x14:dataValidation>
        <x14:dataValidation type="list" allowBlank="1" showInputMessage="1" showErrorMessage="1" xr:uid="{1CE41E21-4AD0-4681-BE56-9C0BF5B6C629}">
          <x14:formula1>
            <xm:f>項目!C17:$DNO$262145</xm:f>
          </x14:formula1>
          <xm:sqref>DNW262151:DNW262174</xm:sqref>
        </x14:dataValidation>
        <x14:dataValidation type="list" allowBlank="1" showInputMessage="1" showErrorMessage="1" xr:uid="{873BDCC1-37AD-46EC-9190-2A4825157FD8}">
          <x14:formula1>
            <xm:f>項目!C17:$DXK$262145</xm:f>
          </x14:formula1>
          <xm:sqref>DXS262151:DXS262174</xm:sqref>
        </x14:dataValidation>
        <x14:dataValidation type="list" allowBlank="1" showInputMessage="1" showErrorMessage="1" xr:uid="{85B32D05-20A3-40AD-B07E-EF8C6E3860F2}">
          <x14:formula1>
            <xm:f>項目!C17:$EHG$262145</xm:f>
          </x14:formula1>
          <xm:sqref>EHO262151:EHO262174</xm:sqref>
        </x14:dataValidation>
        <x14:dataValidation type="list" allowBlank="1" showInputMessage="1" showErrorMessage="1" xr:uid="{C02E937E-2481-4C27-98E8-9821446B3CA2}">
          <x14:formula1>
            <xm:f>項目!C17:$ERC$262145</xm:f>
          </x14:formula1>
          <xm:sqref>ERK262151:ERK262174</xm:sqref>
        </x14:dataValidation>
        <x14:dataValidation type="list" allowBlank="1" showInputMessage="1" showErrorMessage="1" xr:uid="{72533E08-0F3E-42DB-9158-46FCE55F0A7B}">
          <x14:formula1>
            <xm:f>項目!C17:$FAY$262145</xm:f>
          </x14:formula1>
          <xm:sqref>FBG262151:FBG262174</xm:sqref>
        </x14:dataValidation>
        <x14:dataValidation type="list" allowBlank="1" showInputMessage="1" showErrorMessage="1" xr:uid="{15E3A7E0-9F23-43ED-8670-8B60B2CFFA48}">
          <x14:formula1>
            <xm:f>項目!C17:$FKU$262145</xm:f>
          </x14:formula1>
          <xm:sqref>FLC262151:FLC262174</xm:sqref>
        </x14:dataValidation>
        <x14:dataValidation type="list" allowBlank="1" showInputMessage="1" showErrorMessage="1" xr:uid="{2674AEF4-2F12-4DE0-A138-065CFDBC24C5}">
          <x14:formula1>
            <xm:f>項目!C17:$FUQ$262145</xm:f>
          </x14:formula1>
          <xm:sqref>FUY262151:FUY262174</xm:sqref>
        </x14:dataValidation>
        <x14:dataValidation type="list" allowBlank="1" showInputMessage="1" showErrorMessage="1" xr:uid="{0E253E48-DA9D-43F1-B961-999928194531}">
          <x14:formula1>
            <xm:f>項目!C17:$GEM$262145</xm:f>
          </x14:formula1>
          <xm:sqref>GEU262151:GEU262174</xm:sqref>
        </x14:dataValidation>
        <x14:dataValidation type="list" allowBlank="1" showInputMessage="1" showErrorMessage="1" xr:uid="{1E65FE20-25A1-42EA-B847-899C4E13314B}">
          <x14:formula1>
            <xm:f>項目!C17:$GOI$262145</xm:f>
          </x14:formula1>
          <xm:sqref>GOQ262151:GOQ262174</xm:sqref>
        </x14:dataValidation>
        <x14:dataValidation type="list" allowBlank="1" showInputMessage="1" showErrorMessage="1" xr:uid="{A3086D92-C4B4-45D4-BFCE-EF791EC68A98}">
          <x14:formula1>
            <xm:f>項目!C17:$GYE$262145</xm:f>
          </x14:formula1>
          <xm:sqref>GYM262151:GYM262174</xm:sqref>
        </x14:dataValidation>
        <x14:dataValidation type="list" allowBlank="1" showInputMessage="1" showErrorMessage="1" xr:uid="{EBE364B8-4AC1-49B6-BFAE-34551ED34147}">
          <x14:formula1>
            <xm:f>項目!C17:$HIA$262145</xm:f>
          </x14:formula1>
          <xm:sqref>HII262151:HII262174</xm:sqref>
        </x14:dataValidation>
        <x14:dataValidation type="list" allowBlank="1" showInputMessage="1" showErrorMessage="1" xr:uid="{06DD11D7-8558-43FF-96E8-650D7F4ADF4A}">
          <x14:formula1>
            <xm:f>項目!C17:$HRW$262145</xm:f>
          </x14:formula1>
          <xm:sqref>HSE262151:HSE262174</xm:sqref>
        </x14:dataValidation>
        <x14:dataValidation type="list" allowBlank="1" showInputMessage="1" showErrorMessage="1" xr:uid="{CA178D5B-33EC-4412-9E40-E85D2755FA77}">
          <x14:formula1>
            <xm:f>項目!C17:$IBS$262145</xm:f>
          </x14:formula1>
          <xm:sqref>ICA262151:ICA262174</xm:sqref>
        </x14:dataValidation>
        <x14:dataValidation type="list" allowBlank="1" showInputMessage="1" showErrorMessage="1" xr:uid="{5EE3979F-40E1-46ED-9A5A-115558298076}">
          <x14:formula1>
            <xm:f>項目!C17:$ILO$262145</xm:f>
          </x14:formula1>
          <xm:sqref>ILW262151:ILW262174</xm:sqref>
        </x14:dataValidation>
        <x14:dataValidation type="list" allowBlank="1" showInputMessage="1" showErrorMessage="1" xr:uid="{33C974E4-D8F9-4B0A-9623-4EE8016CB100}">
          <x14:formula1>
            <xm:f>項目!C17:$IVK$262145</xm:f>
          </x14:formula1>
          <xm:sqref>IVS262151:IVS262174</xm:sqref>
        </x14:dataValidation>
        <x14:dataValidation type="list" allowBlank="1" showInputMessage="1" showErrorMessage="1" xr:uid="{16554821-57EB-41BB-8C03-1C65387FC66A}">
          <x14:formula1>
            <xm:f>項目!C17:$JFG$262145</xm:f>
          </x14:formula1>
          <xm:sqref>JFO262151:JFO262174</xm:sqref>
        </x14:dataValidation>
        <x14:dataValidation type="list" allowBlank="1" showInputMessage="1" showErrorMessage="1" xr:uid="{DBE0A31F-F4FF-42F7-80A5-B26B454DEB33}">
          <x14:formula1>
            <xm:f>項目!C17:$JPC$262145</xm:f>
          </x14:formula1>
          <xm:sqref>JPK262151:JPK262174</xm:sqref>
        </x14:dataValidation>
        <x14:dataValidation type="list" allowBlank="1" showInputMessage="1" showErrorMessage="1" xr:uid="{C0CBB4C9-CBC4-4BC6-8E4E-7F644672A183}">
          <x14:formula1>
            <xm:f>項目!C17:$JYY$262145</xm:f>
          </x14:formula1>
          <xm:sqref>JZG262151:JZG262174</xm:sqref>
        </x14:dataValidation>
        <x14:dataValidation type="list" allowBlank="1" showInputMessage="1" showErrorMessage="1" xr:uid="{2B40660A-8E30-42C3-B51C-109C1E09E38D}">
          <x14:formula1>
            <xm:f>項目!C17:$KIU$262145</xm:f>
          </x14:formula1>
          <xm:sqref>KJC262151:KJC262174</xm:sqref>
        </x14:dataValidation>
        <x14:dataValidation type="list" allowBlank="1" showInputMessage="1" showErrorMessage="1" xr:uid="{A921249C-8C21-4702-9AC2-48D5463102F2}">
          <x14:formula1>
            <xm:f>項目!C17:$KSQ$262145</xm:f>
          </x14:formula1>
          <xm:sqref>KSY262151:KSY262174</xm:sqref>
        </x14:dataValidation>
        <x14:dataValidation type="list" allowBlank="1" showInputMessage="1" showErrorMessage="1" xr:uid="{36D1903D-F0A3-4AE9-AE68-BEB1CF54ACA3}">
          <x14:formula1>
            <xm:f>項目!C17:$LCM$262145</xm:f>
          </x14:formula1>
          <xm:sqref>LCU262151:LCU262174</xm:sqref>
        </x14:dataValidation>
        <x14:dataValidation type="list" allowBlank="1" showInputMessage="1" showErrorMessage="1" xr:uid="{2F7F58D4-4069-4E7C-8588-A1BB07CD1A63}">
          <x14:formula1>
            <xm:f>項目!C17:$LMI$262145</xm:f>
          </x14:formula1>
          <xm:sqref>LMQ262151:LMQ262174</xm:sqref>
        </x14:dataValidation>
        <x14:dataValidation type="list" allowBlank="1" showInputMessage="1" showErrorMessage="1" xr:uid="{E99DFE39-591A-41E2-9329-4C0DAE4A628C}">
          <x14:formula1>
            <xm:f>項目!C17:$LWE$262145</xm:f>
          </x14:formula1>
          <xm:sqref>LWM262151:LWM262174</xm:sqref>
        </x14:dataValidation>
        <x14:dataValidation type="list" allowBlank="1" showInputMessage="1" showErrorMessage="1" xr:uid="{B2EAC80E-3EFD-47F3-BD3C-8611292B85FA}">
          <x14:formula1>
            <xm:f>項目!C17:$MGA$262145</xm:f>
          </x14:formula1>
          <xm:sqref>MGI262151:MGI262174</xm:sqref>
        </x14:dataValidation>
        <x14:dataValidation type="list" allowBlank="1" showInputMessage="1" showErrorMessage="1" xr:uid="{6C4A0CEC-8D0C-4B95-AF86-463D17D5352F}">
          <x14:formula1>
            <xm:f>項目!C17:$MPW$262145</xm:f>
          </x14:formula1>
          <xm:sqref>MQE262151:MQE262174</xm:sqref>
        </x14:dataValidation>
        <x14:dataValidation type="list" allowBlank="1" showInputMessage="1" showErrorMessage="1" xr:uid="{4B82E57B-FB45-454B-B2D2-019D406B0891}">
          <x14:formula1>
            <xm:f>項目!C17:$MZS$262145</xm:f>
          </x14:formula1>
          <xm:sqref>NAA262151:NAA262174</xm:sqref>
        </x14:dataValidation>
        <x14:dataValidation type="list" allowBlank="1" showInputMessage="1" showErrorMessage="1" xr:uid="{CE7A91C4-C24F-4AD2-9DE3-F0B98E180E55}">
          <x14:formula1>
            <xm:f>項目!C17:$NJO$262145</xm:f>
          </x14:formula1>
          <xm:sqref>NJW262151:NJW262174</xm:sqref>
        </x14:dataValidation>
        <x14:dataValidation type="list" allowBlank="1" showInputMessage="1" showErrorMessage="1" xr:uid="{346D9B15-A1B1-4EA2-A322-5ECF18782991}">
          <x14:formula1>
            <xm:f>項目!C17:$NTK$262145</xm:f>
          </x14:formula1>
          <xm:sqref>NTS262151:NTS262174</xm:sqref>
        </x14:dataValidation>
        <x14:dataValidation type="list" allowBlank="1" showInputMessage="1" showErrorMessage="1" xr:uid="{A73AD639-8B34-459A-9F47-4A4615D231AA}">
          <x14:formula1>
            <xm:f>項目!C17:$ODG$262145</xm:f>
          </x14:formula1>
          <xm:sqref>ODO262151:ODO262174</xm:sqref>
        </x14:dataValidation>
        <x14:dataValidation type="list" allowBlank="1" showInputMessage="1" showErrorMessage="1" xr:uid="{7806CB86-23A6-4B94-8B53-6468E3534EAD}">
          <x14:formula1>
            <xm:f>項目!C17:$ONC$262145</xm:f>
          </x14:formula1>
          <xm:sqref>ONK262151:ONK262174</xm:sqref>
        </x14:dataValidation>
        <x14:dataValidation type="list" allowBlank="1" showInputMessage="1" showErrorMessage="1" xr:uid="{4EE67523-D3A3-4DA7-B9BC-0F9B41953B8E}">
          <x14:formula1>
            <xm:f>項目!C17:$OWY$262145</xm:f>
          </x14:formula1>
          <xm:sqref>OXG262151:OXG262174</xm:sqref>
        </x14:dataValidation>
        <x14:dataValidation type="list" allowBlank="1" showInputMessage="1" showErrorMessage="1" xr:uid="{E0E6EC1B-EDF6-4A6E-96A6-8442611A2903}">
          <x14:formula1>
            <xm:f>項目!C17:$PGU$262145</xm:f>
          </x14:formula1>
          <xm:sqref>PHC262151:PHC262174</xm:sqref>
        </x14:dataValidation>
        <x14:dataValidation type="list" allowBlank="1" showInputMessage="1" showErrorMessage="1" xr:uid="{35682EA2-677D-4414-ABC3-47C30A954A60}">
          <x14:formula1>
            <xm:f>項目!C17:$PQQ$262145</xm:f>
          </x14:formula1>
          <xm:sqref>PQY262151:PQY262174</xm:sqref>
        </x14:dataValidation>
        <x14:dataValidation type="list" allowBlank="1" showInputMessage="1" showErrorMessage="1" xr:uid="{05EB43A8-9204-438F-A419-787C0BCC7962}">
          <x14:formula1>
            <xm:f>項目!C17:$QAM$262145</xm:f>
          </x14:formula1>
          <xm:sqref>QAU262151:QAU262174</xm:sqref>
        </x14:dataValidation>
        <x14:dataValidation type="list" allowBlank="1" showInputMessage="1" showErrorMessage="1" xr:uid="{BB17EBB1-1966-43E3-93BD-9315F221A96F}">
          <x14:formula1>
            <xm:f>項目!C17:$QKI$262145</xm:f>
          </x14:formula1>
          <xm:sqref>QKQ262151:QKQ262174</xm:sqref>
        </x14:dataValidation>
        <x14:dataValidation type="list" allowBlank="1" showInputMessage="1" showErrorMessage="1" xr:uid="{14EBDD22-04A7-480D-9F7E-0306E78ED9B9}">
          <x14:formula1>
            <xm:f>項目!C17:$QUE$262145</xm:f>
          </x14:formula1>
          <xm:sqref>QUM262151:QUM262174</xm:sqref>
        </x14:dataValidation>
        <x14:dataValidation type="list" allowBlank="1" showInputMessage="1" showErrorMessage="1" xr:uid="{AAA1E326-F557-4D74-A0AA-AD238CCCB83F}">
          <x14:formula1>
            <xm:f>項目!C17:$REA$262145</xm:f>
          </x14:formula1>
          <xm:sqref>REI262151:REI262174</xm:sqref>
        </x14:dataValidation>
        <x14:dataValidation type="list" allowBlank="1" showInputMessage="1" showErrorMessage="1" xr:uid="{FC06FC5D-12E1-4F60-909D-36BC7C709971}">
          <x14:formula1>
            <xm:f>項目!C17:$RNW$262145</xm:f>
          </x14:formula1>
          <xm:sqref>ROE262151:ROE262174</xm:sqref>
        </x14:dataValidation>
        <x14:dataValidation type="list" allowBlank="1" showInputMessage="1" showErrorMessage="1" xr:uid="{29DE2EBF-F5A6-4E41-A036-DB5F82C93927}">
          <x14:formula1>
            <xm:f>項目!C17:$RXS$262145</xm:f>
          </x14:formula1>
          <xm:sqref>RYA262151:RYA262174</xm:sqref>
        </x14:dataValidation>
        <x14:dataValidation type="list" allowBlank="1" showInputMessage="1" showErrorMessage="1" xr:uid="{01429B40-10BD-4061-AC7E-78C6D9B48370}">
          <x14:formula1>
            <xm:f>項目!C17:$SHO$262145</xm:f>
          </x14:formula1>
          <xm:sqref>SHW262151:SHW262174</xm:sqref>
        </x14:dataValidation>
        <x14:dataValidation type="list" allowBlank="1" showInputMessage="1" showErrorMessage="1" xr:uid="{09B3873A-DD9F-4994-B9BE-BDD074854964}">
          <x14:formula1>
            <xm:f>項目!C17:$SRK$262145</xm:f>
          </x14:formula1>
          <xm:sqref>SRS262151:SRS262174</xm:sqref>
        </x14:dataValidation>
        <x14:dataValidation type="list" allowBlank="1" showInputMessage="1" showErrorMessage="1" xr:uid="{57F1F585-63B6-45CF-B43F-8684A37BC6B4}">
          <x14:formula1>
            <xm:f>項目!C17:$TBG$262145</xm:f>
          </x14:formula1>
          <xm:sqref>TBO262151:TBO262174</xm:sqref>
        </x14:dataValidation>
        <x14:dataValidation type="list" allowBlank="1" showInputMessage="1" showErrorMessage="1" xr:uid="{A46BB7C1-8037-41FB-9975-B00B2779FDEE}">
          <x14:formula1>
            <xm:f>項目!C17:$TLC$262145</xm:f>
          </x14:formula1>
          <xm:sqref>TLK262151:TLK262174</xm:sqref>
        </x14:dataValidation>
        <x14:dataValidation type="list" allowBlank="1" showInputMessage="1" showErrorMessage="1" xr:uid="{93A7BA2F-134A-47B9-85A8-806F6212C209}">
          <x14:formula1>
            <xm:f>項目!C17:$TUY$262145</xm:f>
          </x14:formula1>
          <xm:sqref>TVG262151:TVG262174</xm:sqref>
        </x14:dataValidation>
        <x14:dataValidation type="list" allowBlank="1" showInputMessage="1" showErrorMessage="1" xr:uid="{4AFB5617-A02D-4483-8B51-D46EA3A0B6BC}">
          <x14:formula1>
            <xm:f>項目!C17:$UEU$262145</xm:f>
          </x14:formula1>
          <xm:sqref>UFC262151:UFC262174</xm:sqref>
        </x14:dataValidation>
        <x14:dataValidation type="list" allowBlank="1" showInputMessage="1" showErrorMessage="1" xr:uid="{41796CA7-5383-464D-B74A-235B2B7A76A0}">
          <x14:formula1>
            <xm:f>項目!C17:$UOQ$262145</xm:f>
          </x14:formula1>
          <xm:sqref>UOY262151:UOY262174</xm:sqref>
        </x14:dataValidation>
        <x14:dataValidation type="list" allowBlank="1" showInputMessage="1" showErrorMessage="1" xr:uid="{97E62BEB-7536-4CEF-B77E-58557E089371}">
          <x14:formula1>
            <xm:f>項目!C17:$UYM$262145</xm:f>
          </x14:formula1>
          <xm:sqref>UYU262151:UYU262174</xm:sqref>
        </x14:dataValidation>
        <x14:dataValidation type="list" allowBlank="1" showInputMessage="1" showErrorMessage="1" xr:uid="{FE6D33E5-05A9-4544-B01C-C16387AC130A}">
          <x14:formula1>
            <xm:f>項目!C17:$VII$262145</xm:f>
          </x14:formula1>
          <xm:sqref>VIQ262151:VIQ262174</xm:sqref>
        </x14:dataValidation>
        <x14:dataValidation type="list" allowBlank="1" showInputMessage="1" showErrorMessage="1" xr:uid="{51FAA9BD-0574-4AD6-8F90-EC0E0328E48D}">
          <x14:formula1>
            <xm:f>項目!C17:$VSE$262145</xm:f>
          </x14:formula1>
          <xm:sqref>VSM262151:VSM262174</xm:sqref>
        </x14:dataValidation>
        <x14:dataValidation type="list" allowBlank="1" showInputMessage="1" showErrorMessage="1" xr:uid="{A743F6FA-5BE4-4F33-9760-9000DB8AAC2A}">
          <x14:formula1>
            <xm:f>項目!C17:$WCA$262145</xm:f>
          </x14:formula1>
          <xm:sqref>WCI262151:WCI262174</xm:sqref>
        </x14:dataValidation>
        <x14:dataValidation type="list" allowBlank="1" showInputMessage="1" showErrorMessage="1" xr:uid="{88D38641-3226-4DE0-94F3-0795C05B81AF}">
          <x14:formula1>
            <xm:f>項目!C17:$WLW$262145</xm:f>
          </x14:formula1>
          <xm:sqref>WME262151:WME262174</xm:sqref>
        </x14:dataValidation>
        <x14:dataValidation type="list" allowBlank="1" showInputMessage="1" showErrorMessage="1" xr:uid="{D83993DC-272E-497E-974C-851CB2639857}">
          <x14:formula1>
            <xm:f>項目!C17:$WVS$262145</xm:f>
          </x14:formula1>
          <xm:sqref>WWA262151:WWA262174</xm:sqref>
        </x14:dataValidation>
        <x14:dataValidation type="list" allowBlank="1" showInputMessage="1" showErrorMessage="1" xr:uid="{F50C316A-2143-4676-B802-7CA52DCF4140}">
          <x14:formula1>
            <xm:f>項目!C17:$M$327681</xm:f>
          </x14:formula1>
          <xm:sqref>S327687:S327710</xm:sqref>
        </x14:dataValidation>
        <x14:dataValidation type="list" allowBlank="1" showInputMessage="1" showErrorMessage="1" xr:uid="{028E08B6-E5B2-4E7D-A743-C5CDA84946C0}">
          <x14:formula1>
            <xm:f>項目!C17:$JG$327681</xm:f>
          </x14:formula1>
          <xm:sqref>JO327687:JO327710</xm:sqref>
        </x14:dataValidation>
        <x14:dataValidation type="list" allowBlank="1" showInputMessage="1" showErrorMessage="1" xr:uid="{7B714050-051D-475D-990F-CF258BBE171F}">
          <x14:formula1>
            <xm:f>項目!C17:$TC$327681</xm:f>
          </x14:formula1>
          <xm:sqref>TK327687:TK327710</xm:sqref>
        </x14:dataValidation>
        <x14:dataValidation type="list" allowBlank="1" showInputMessage="1" showErrorMessage="1" xr:uid="{AA599527-BBD0-4AA6-AFB2-C15AD1A48BD4}">
          <x14:formula1>
            <xm:f>項目!C17:$ACY$327681</xm:f>
          </x14:formula1>
          <xm:sqref>ADG327687:ADG327710</xm:sqref>
        </x14:dataValidation>
        <x14:dataValidation type="list" allowBlank="1" showInputMessage="1" showErrorMessage="1" xr:uid="{558CD1D8-89EC-4407-B658-8273362F18FD}">
          <x14:formula1>
            <xm:f>項目!C17:$AMU$327681</xm:f>
          </x14:formula1>
          <xm:sqref>ANC327687:ANC327710</xm:sqref>
        </x14:dataValidation>
        <x14:dataValidation type="list" allowBlank="1" showInputMessage="1" showErrorMessage="1" xr:uid="{97CEBAA3-6463-4DB7-A7D4-58A82EF02DB2}">
          <x14:formula1>
            <xm:f>項目!C17:$AWQ$327681</xm:f>
          </x14:formula1>
          <xm:sqref>AWY327687:AWY327710</xm:sqref>
        </x14:dataValidation>
        <x14:dataValidation type="list" allowBlank="1" showInputMessage="1" showErrorMessage="1" xr:uid="{7DE91F85-27C1-4573-9828-462A234660AD}">
          <x14:formula1>
            <xm:f>項目!C17:$BGM$327681</xm:f>
          </x14:formula1>
          <xm:sqref>BGU327687:BGU327710</xm:sqref>
        </x14:dataValidation>
        <x14:dataValidation type="list" allowBlank="1" showInputMessage="1" showErrorMessage="1" xr:uid="{EAD1B020-14F1-4E18-A410-A0CD59D1C779}">
          <x14:formula1>
            <xm:f>項目!C17:$BQI$327681</xm:f>
          </x14:formula1>
          <xm:sqref>BQQ327687:BQQ327710</xm:sqref>
        </x14:dataValidation>
        <x14:dataValidation type="list" allowBlank="1" showInputMessage="1" showErrorMessage="1" xr:uid="{DFB78EE9-4B8C-4676-8600-A6BF4BB3A093}">
          <x14:formula1>
            <xm:f>項目!C17:$CAE$327681</xm:f>
          </x14:formula1>
          <xm:sqref>CAM327687:CAM327710</xm:sqref>
        </x14:dataValidation>
        <x14:dataValidation type="list" allowBlank="1" showInputMessage="1" showErrorMessage="1" xr:uid="{B616408F-F306-4816-B31A-4BEC0B597117}">
          <x14:formula1>
            <xm:f>項目!C17:$CKA$327681</xm:f>
          </x14:formula1>
          <xm:sqref>CKI327687:CKI327710</xm:sqref>
        </x14:dataValidation>
        <x14:dataValidation type="list" allowBlank="1" showInputMessage="1" showErrorMessage="1" xr:uid="{7FB67D8B-B7B4-496E-8310-5937B541D8FD}">
          <x14:formula1>
            <xm:f>項目!C17:$CTW$327681</xm:f>
          </x14:formula1>
          <xm:sqref>CUE327687:CUE327710</xm:sqref>
        </x14:dataValidation>
        <x14:dataValidation type="list" allowBlank="1" showInputMessage="1" showErrorMessage="1" xr:uid="{37EB262E-65B6-4DFC-85C7-A1686E964BEE}">
          <x14:formula1>
            <xm:f>項目!C17:$DDS$327681</xm:f>
          </x14:formula1>
          <xm:sqref>DEA327687:DEA327710</xm:sqref>
        </x14:dataValidation>
        <x14:dataValidation type="list" allowBlank="1" showInputMessage="1" showErrorMessage="1" xr:uid="{81F44AEC-5FD7-4CF1-8987-E558128D30DB}">
          <x14:formula1>
            <xm:f>項目!C17:$DNO$327681</xm:f>
          </x14:formula1>
          <xm:sqref>DNW327687:DNW327710</xm:sqref>
        </x14:dataValidation>
        <x14:dataValidation type="list" allowBlank="1" showInputMessage="1" showErrorMessage="1" xr:uid="{A2D60BCC-DA99-4CEE-80A4-512645776F17}">
          <x14:formula1>
            <xm:f>項目!C17:$DXK$327681</xm:f>
          </x14:formula1>
          <xm:sqref>DXS327687:DXS327710</xm:sqref>
        </x14:dataValidation>
        <x14:dataValidation type="list" allowBlank="1" showInputMessage="1" showErrorMessage="1" xr:uid="{5A295EC5-8C03-41B4-949F-7A5AAF2FCE1E}">
          <x14:formula1>
            <xm:f>項目!C17:$EHG$327681</xm:f>
          </x14:formula1>
          <xm:sqref>EHO327687:EHO327710</xm:sqref>
        </x14:dataValidation>
        <x14:dataValidation type="list" allowBlank="1" showInputMessage="1" showErrorMessage="1" xr:uid="{4FF41AC8-3399-4476-859E-840EDF8317B0}">
          <x14:formula1>
            <xm:f>項目!C17:$ERC$327681</xm:f>
          </x14:formula1>
          <xm:sqref>ERK327687:ERK327710</xm:sqref>
        </x14:dataValidation>
        <x14:dataValidation type="list" allowBlank="1" showInputMessage="1" showErrorMessage="1" xr:uid="{F5218474-8699-4D3C-9B67-C4446040E688}">
          <x14:formula1>
            <xm:f>項目!C17:$FAY$327681</xm:f>
          </x14:formula1>
          <xm:sqref>FBG327687:FBG327710</xm:sqref>
        </x14:dataValidation>
        <x14:dataValidation type="list" allowBlank="1" showInputMessage="1" showErrorMessage="1" xr:uid="{290E34FF-5AD6-4056-AF73-526D4559E8D4}">
          <x14:formula1>
            <xm:f>項目!C17:$FKU$327681</xm:f>
          </x14:formula1>
          <xm:sqref>FLC327687:FLC327710</xm:sqref>
        </x14:dataValidation>
        <x14:dataValidation type="list" allowBlank="1" showInputMessage="1" showErrorMessage="1" xr:uid="{0753AABF-47B1-403A-AFE0-7509AC4D7180}">
          <x14:formula1>
            <xm:f>項目!C17:$FUQ$327681</xm:f>
          </x14:formula1>
          <xm:sqref>FUY327687:FUY327710</xm:sqref>
        </x14:dataValidation>
        <x14:dataValidation type="list" allowBlank="1" showInputMessage="1" showErrorMessage="1" xr:uid="{7E846456-F6B6-4D00-94AE-550EC0CFE177}">
          <x14:formula1>
            <xm:f>項目!C17:$GEM$327681</xm:f>
          </x14:formula1>
          <xm:sqref>GEU327687:GEU327710</xm:sqref>
        </x14:dataValidation>
        <x14:dataValidation type="list" allowBlank="1" showInputMessage="1" showErrorMessage="1" xr:uid="{D62E60B5-233D-4D4E-955D-3619560EAED3}">
          <x14:formula1>
            <xm:f>項目!C17:$GOI$327681</xm:f>
          </x14:formula1>
          <xm:sqref>GOQ327687:GOQ327710</xm:sqref>
        </x14:dataValidation>
        <x14:dataValidation type="list" allowBlank="1" showInputMessage="1" showErrorMessage="1" xr:uid="{AE8C94B8-FABC-4545-9526-FD3AFABA64A3}">
          <x14:formula1>
            <xm:f>項目!C17:$GYE$327681</xm:f>
          </x14:formula1>
          <xm:sqref>GYM327687:GYM327710</xm:sqref>
        </x14:dataValidation>
        <x14:dataValidation type="list" allowBlank="1" showInputMessage="1" showErrorMessage="1" xr:uid="{6BB7EA16-C402-476B-9424-B1B7F0C72944}">
          <x14:formula1>
            <xm:f>項目!C17:$HIA$327681</xm:f>
          </x14:formula1>
          <xm:sqref>HII327687:HII327710</xm:sqref>
        </x14:dataValidation>
        <x14:dataValidation type="list" allowBlank="1" showInputMessage="1" showErrorMessage="1" xr:uid="{C9224499-257B-4C64-939E-DBC6D6A18976}">
          <x14:formula1>
            <xm:f>項目!C17:$HRW$327681</xm:f>
          </x14:formula1>
          <xm:sqref>HSE327687:HSE327710</xm:sqref>
        </x14:dataValidation>
        <x14:dataValidation type="list" allowBlank="1" showInputMessage="1" showErrorMessage="1" xr:uid="{CF1DE69B-B290-4007-ABA3-23FF5E8B99EE}">
          <x14:formula1>
            <xm:f>項目!C17:$IBS$327681</xm:f>
          </x14:formula1>
          <xm:sqref>ICA327687:ICA327710</xm:sqref>
        </x14:dataValidation>
        <x14:dataValidation type="list" allowBlank="1" showInputMessage="1" showErrorMessage="1" xr:uid="{6867352F-59E1-4C7F-B170-41596EB2F897}">
          <x14:formula1>
            <xm:f>項目!C17:$ILO$327681</xm:f>
          </x14:formula1>
          <xm:sqref>ILW327687:ILW327710</xm:sqref>
        </x14:dataValidation>
        <x14:dataValidation type="list" allowBlank="1" showInputMessage="1" showErrorMessage="1" xr:uid="{26C42294-13FA-423B-8750-CBC358688EA9}">
          <x14:formula1>
            <xm:f>項目!C17:$IVK$327681</xm:f>
          </x14:formula1>
          <xm:sqref>IVS327687:IVS327710</xm:sqref>
        </x14:dataValidation>
        <x14:dataValidation type="list" allowBlank="1" showInputMessage="1" showErrorMessage="1" xr:uid="{9ABBBD5C-4F80-4271-B3A4-9F5C792503EB}">
          <x14:formula1>
            <xm:f>項目!C17:$JFG$327681</xm:f>
          </x14:formula1>
          <xm:sqref>JFO327687:JFO327710</xm:sqref>
        </x14:dataValidation>
        <x14:dataValidation type="list" allowBlank="1" showInputMessage="1" showErrorMessage="1" xr:uid="{667A7E6F-E953-4A68-A13E-B7A110F39CA3}">
          <x14:formula1>
            <xm:f>項目!C17:$JPC$327681</xm:f>
          </x14:formula1>
          <xm:sqref>JPK327687:JPK327710</xm:sqref>
        </x14:dataValidation>
        <x14:dataValidation type="list" allowBlank="1" showInputMessage="1" showErrorMessage="1" xr:uid="{3E657779-6FD1-4913-8F30-6205A605C177}">
          <x14:formula1>
            <xm:f>項目!C17:$JYY$327681</xm:f>
          </x14:formula1>
          <xm:sqref>JZG327687:JZG327710</xm:sqref>
        </x14:dataValidation>
        <x14:dataValidation type="list" allowBlank="1" showInputMessage="1" showErrorMessage="1" xr:uid="{B833AB55-967E-43F2-8907-7C5D9C719BC8}">
          <x14:formula1>
            <xm:f>項目!C17:$KIU$327681</xm:f>
          </x14:formula1>
          <xm:sqref>KJC327687:KJC327710</xm:sqref>
        </x14:dataValidation>
        <x14:dataValidation type="list" allowBlank="1" showInputMessage="1" showErrorMessage="1" xr:uid="{CA4768A9-AA96-40B8-9F1C-B163F4167F69}">
          <x14:formula1>
            <xm:f>項目!C17:$KSQ$327681</xm:f>
          </x14:formula1>
          <xm:sqref>KSY327687:KSY327710</xm:sqref>
        </x14:dataValidation>
        <x14:dataValidation type="list" allowBlank="1" showInputMessage="1" showErrorMessage="1" xr:uid="{B5963F13-91C5-42B7-99E2-4F80526F8BFB}">
          <x14:formula1>
            <xm:f>項目!C17:$LCM$327681</xm:f>
          </x14:formula1>
          <xm:sqref>LCU327687:LCU327710</xm:sqref>
        </x14:dataValidation>
        <x14:dataValidation type="list" allowBlank="1" showInputMessage="1" showErrorMessage="1" xr:uid="{03EEAE1B-5186-4C98-9FA3-DFF503781E9A}">
          <x14:formula1>
            <xm:f>項目!C17:$LMI$327681</xm:f>
          </x14:formula1>
          <xm:sqref>LMQ327687:LMQ327710</xm:sqref>
        </x14:dataValidation>
        <x14:dataValidation type="list" allowBlank="1" showInputMessage="1" showErrorMessage="1" xr:uid="{424B2732-81BD-44EE-8159-3163F25E1830}">
          <x14:formula1>
            <xm:f>項目!C17:$LWE$327681</xm:f>
          </x14:formula1>
          <xm:sqref>LWM327687:LWM327710</xm:sqref>
        </x14:dataValidation>
        <x14:dataValidation type="list" allowBlank="1" showInputMessage="1" showErrorMessage="1" xr:uid="{8630C216-12BE-40C4-B701-756C56BBDCD3}">
          <x14:formula1>
            <xm:f>項目!C17:$MGA$327681</xm:f>
          </x14:formula1>
          <xm:sqref>MGI327687:MGI327710</xm:sqref>
        </x14:dataValidation>
        <x14:dataValidation type="list" allowBlank="1" showInputMessage="1" showErrorMessage="1" xr:uid="{673E1964-BE8E-40A5-9B17-A8ABCC4E24B8}">
          <x14:formula1>
            <xm:f>項目!C17:$MPW$327681</xm:f>
          </x14:formula1>
          <xm:sqref>MQE327687:MQE327710</xm:sqref>
        </x14:dataValidation>
        <x14:dataValidation type="list" allowBlank="1" showInputMessage="1" showErrorMessage="1" xr:uid="{7C8E47FB-3971-48CA-8763-2FEB8E667176}">
          <x14:formula1>
            <xm:f>項目!C17:$MZS$327681</xm:f>
          </x14:formula1>
          <xm:sqref>NAA327687:NAA327710</xm:sqref>
        </x14:dataValidation>
        <x14:dataValidation type="list" allowBlank="1" showInputMessage="1" showErrorMessage="1" xr:uid="{395C425B-8D17-41D7-AD96-43CF5E649FCB}">
          <x14:formula1>
            <xm:f>項目!C17:$NJO$327681</xm:f>
          </x14:formula1>
          <xm:sqref>NJW327687:NJW327710</xm:sqref>
        </x14:dataValidation>
        <x14:dataValidation type="list" allowBlank="1" showInputMessage="1" showErrorMessage="1" xr:uid="{0429246A-BAF2-4792-8F96-FDDC82287B16}">
          <x14:formula1>
            <xm:f>項目!C17:$NTK$327681</xm:f>
          </x14:formula1>
          <xm:sqref>NTS327687:NTS327710</xm:sqref>
        </x14:dataValidation>
        <x14:dataValidation type="list" allowBlank="1" showInputMessage="1" showErrorMessage="1" xr:uid="{81FF80BC-A972-4C94-A369-799BB9DD5471}">
          <x14:formula1>
            <xm:f>項目!C17:$ODG$327681</xm:f>
          </x14:formula1>
          <xm:sqref>ODO327687:ODO327710</xm:sqref>
        </x14:dataValidation>
        <x14:dataValidation type="list" allowBlank="1" showInputMessage="1" showErrorMessage="1" xr:uid="{FD27B082-27EB-46E7-B4C3-47AA45A5EEC6}">
          <x14:formula1>
            <xm:f>項目!C17:$ONC$327681</xm:f>
          </x14:formula1>
          <xm:sqref>ONK327687:ONK327710</xm:sqref>
        </x14:dataValidation>
        <x14:dataValidation type="list" allowBlank="1" showInputMessage="1" showErrorMessage="1" xr:uid="{70408F24-E125-4928-98AC-9E231D917B5B}">
          <x14:formula1>
            <xm:f>項目!C17:$OWY$327681</xm:f>
          </x14:formula1>
          <xm:sqref>OXG327687:OXG327710</xm:sqref>
        </x14:dataValidation>
        <x14:dataValidation type="list" allowBlank="1" showInputMessage="1" showErrorMessage="1" xr:uid="{0B2B4B15-CB52-41E2-BF5E-96FCE7023593}">
          <x14:formula1>
            <xm:f>項目!C17:$PGU$327681</xm:f>
          </x14:formula1>
          <xm:sqref>PHC327687:PHC327710</xm:sqref>
        </x14:dataValidation>
        <x14:dataValidation type="list" allowBlank="1" showInputMessage="1" showErrorMessage="1" xr:uid="{11EB0E0A-B730-4DA6-94CE-3871FACCCFFA}">
          <x14:formula1>
            <xm:f>項目!C17:$PQQ$327681</xm:f>
          </x14:formula1>
          <xm:sqref>PQY327687:PQY327710</xm:sqref>
        </x14:dataValidation>
        <x14:dataValidation type="list" allowBlank="1" showInputMessage="1" showErrorMessage="1" xr:uid="{4F3D7753-8242-4F3F-B98D-7293C749FC1A}">
          <x14:formula1>
            <xm:f>項目!C17:$QAM$327681</xm:f>
          </x14:formula1>
          <xm:sqref>QAU327687:QAU327710</xm:sqref>
        </x14:dataValidation>
        <x14:dataValidation type="list" allowBlank="1" showInputMessage="1" showErrorMessage="1" xr:uid="{2BE118A8-9201-43A5-907E-8080ED383C5B}">
          <x14:formula1>
            <xm:f>項目!C17:$QKI$327681</xm:f>
          </x14:formula1>
          <xm:sqref>QKQ327687:QKQ327710</xm:sqref>
        </x14:dataValidation>
        <x14:dataValidation type="list" allowBlank="1" showInputMessage="1" showErrorMessage="1" xr:uid="{023461EF-6079-4E55-A110-79EF43B9DAB8}">
          <x14:formula1>
            <xm:f>項目!C17:$QUE$327681</xm:f>
          </x14:formula1>
          <xm:sqref>QUM327687:QUM327710</xm:sqref>
        </x14:dataValidation>
        <x14:dataValidation type="list" allowBlank="1" showInputMessage="1" showErrorMessage="1" xr:uid="{26004F4A-E708-4450-84BF-A56023C33213}">
          <x14:formula1>
            <xm:f>項目!C17:$REA$327681</xm:f>
          </x14:formula1>
          <xm:sqref>REI327687:REI327710</xm:sqref>
        </x14:dataValidation>
        <x14:dataValidation type="list" allowBlank="1" showInputMessage="1" showErrorMessage="1" xr:uid="{72F02659-58F2-46B0-A381-0D8CFC5054AB}">
          <x14:formula1>
            <xm:f>項目!C17:$RNW$327681</xm:f>
          </x14:formula1>
          <xm:sqref>ROE327687:ROE327710</xm:sqref>
        </x14:dataValidation>
        <x14:dataValidation type="list" allowBlank="1" showInputMessage="1" showErrorMessage="1" xr:uid="{0D82FB11-1BED-4C13-AAE4-DBCD3EA3E23D}">
          <x14:formula1>
            <xm:f>項目!C17:$RXS$327681</xm:f>
          </x14:formula1>
          <xm:sqref>RYA327687:RYA327710</xm:sqref>
        </x14:dataValidation>
        <x14:dataValidation type="list" allowBlank="1" showInputMessage="1" showErrorMessage="1" xr:uid="{88AA5F51-D93A-41BA-A32B-888F100DEF68}">
          <x14:formula1>
            <xm:f>項目!C17:$SHO$327681</xm:f>
          </x14:formula1>
          <xm:sqref>SHW327687:SHW327710</xm:sqref>
        </x14:dataValidation>
        <x14:dataValidation type="list" allowBlank="1" showInputMessage="1" showErrorMessage="1" xr:uid="{78B8877F-8DC8-4792-A2B8-FCDFA5174DC5}">
          <x14:formula1>
            <xm:f>項目!C17:$SRK$327681</xm:f>
          </x14:formula1>
          <xm:sqref>SRS327687:SRS327710</xm:sqref>
        </x14:dataValidation>
        <x14:dataValidation type="list" allowBlank="1" showInputMessage="1" showErrorMessage="1" xr:uid="{BF34097D-DE2B-42F7-9C64-ABE36963B5BA}">
          <x14:formula1>
            <xm:f>項目!C17:$TBG$327681</xm:f>
          </x14:formula1>
          <xm:sqref>TBO327687:TBO327710</xm:sqref>
        </x14:dataValidation>
        <x14:dataValidation type="list" allowBlank="1" showInputMessage="1" showErrorMessage="1" xr:uid="{46D3159D-E1AA-4BBA-BA0B-5FF05DF44D5B}">
          <x14:formula1>
            <xm:f>項目!C17:$TLC$327681</xm:f>
          </x14:formula1>
          <xm:sqref>TLK327687:TLK327710</xm:sqref>
        </x14:dataValidation>
        <x14:dataValidation type="list" allowBlank="1" showInputMessage="1" showErrorMessage="1" xr:uid="{8C39ED71-D5C1-4F89-A191-B112320C4763}">
          <x14:formula1>
            <xm:f>項目!C17:$TUY$327681</xm:f>
          </x14:formula1>
          <xm:sqref>TVG327687:TVG327710</xm:sqref>
        </x14:dataValidation>
        <x14:dataValidation type="list" allowBlank="1" showInputMessage="1" showErrorMessage="1" xr:uid="{72313196-7AF2-4A0E-8B78-D0507E3FB032}">
          <x14:formula1>
            <xm:f>項目!C17:$UEU$327681</xm:f>
          </x14:formula1>
          <xm:sqref>UFC327687:UFC327710</xm:sqref>
        </x14:dataValidation>
        <x14:dataValidation type="list" allowBlank="1" showInputMessage="1" showErrorMessage="1" xr:uid="{A59B4E1B-4972-41CA-A094-0991266BF27B}">
          <x14:formula1>
            <xm:f>項目!C17:$UOQ$327681</xm:f>
          </x14:formula1>
          <xm:sqref>UOY327687:UOY327710</xm:sqref>
        </x14:dataValidation>
        <x14:dataValidation type="list" allowBlank="1" showInputMessage="1" showErrorMessage="1" xr:uid="{187DD7FC-503D-45A3-8098-BA1EF053EAE9}">
          <x14:formula1>
            <xm:f>項目!C17:$UYM$327681</xm:f>
          </x14:formula1>
          <xm:sqref>UYU327687:UYU327710</xm:sqref>
        </x14:dataValidation>
        <x14:dataValidation type="list" allowBlank="1" showInputMessage="1" showErrorMessage="1" xr:uid="{CDD4438E-90BC-4CB8-A8DB-8999D777D1E3}">
          <x14:formula1>
            <xm:f>項目!C17:$VII$327681</xm:f>
          </x14:formula1>
          <xm:sqref>VIQ327687:VIQ327710</xm:sqref>
        </x14:dataValidation>
        <x14:dataValidation type="list" allowBlank="1" showInputMessage="1" showErrorMessage="1" xr:uid="{5CC533D9-BF48-43A1-9AB1-20B24478E4BF}">
          <x14:formula1>
            <xm:f>項目!C17:$VSE$327681</xm:f>
          </x14:formula1>
          <xm:sqref>VSM327687:VSM327710</xm:sqref>
        </x14:dataValidation>
        <x14:dataValidation type="list" allowBlank="1" showInputMessage="1" showErrorMessage="1" xr:uid="{AEF8B868-89C6-44B4-A2A6-FE5D18A7BDD6}">
          <x14:formula1>
            <xm:f>項目!C17:$WCA$327681</xm:f>
          </x14:formula1>
          <xm:sqref>WCI327687:WCI327710</xm:sqref>
        </x14:dataValidation>
        <x14:dataValidation type="list" allowBlank="1" showInputMessage="1" showErrorMessage="1" xr:uid="{05004316-7A96-474E-9C2C-F41859B57CBC}">
          <x14:formula1>
            <xm:f>項目!C17:$WLW$327681</xm:f>
          </x14:formula1>
          <xm:sqref>WME327687:WME327710</xm:sqref>
        </x14:dataValidation>
        <x14:dataValidation type="list" allowBlank="1" showInputMessage="1" showErrorMessage="1" xr:uid="{AB4339FD-F0F5-4A28-B67B-A6C92A6172FA}">
          <x14:formula1>
            <xm:f>項目!C17:$WVS$327681</xm:f>
          </x14:formula1>
          <xm:sqref>WWA327687:WWA327710</xm:sqref>
        </x14:dataValidation>
        <x14:dataValidation type="list" allowBlank="1" showInputMessage="1" showErrorMessage="1" xr:uid="{94BF67AE-518E-47AA-831E-430CF29E9DAC}">
          <x14:formula1>
            <xm:f>項目!C17:$M$393217</xm:f>
          </x14:formula1>
          <xm:sqref>S393223:S393246</xm:sqref>
        </x14:dataValidation>
        <x14:dataValidation type="list" allowBlank="1" showInputMessage="1" showErrorMessage="1" xr:uid="{BAA98ED4-8BEA-4A00-85D1-4A40B45396BC}">
          <x14:formula1>
            <xm:f>項目!C17:$JG$393217</xm:f>
          </x14:formula1>
          <xm:sqref>JO393223:JO393246</xm:sqref>
        </x14:dataValidation>
        <x14:dataValidation type="list" allowBlank="1" showInputMessage="1" showErrorMessage="1" xr:uid="{4185C75A-DCC6-4DFB-9BA1-4D2ECBC99B54}">
          <x14:formula1>
            <xm:f>項目!C17:$TC$393217</xm:f>
          </x14:formula1>
          <xm:sqref>TK393223:TK393246</xm:sqref>
        </x14:dataValidation>
        <x14:dataValidation type="list" allowBlank="1" showInputMessage="1" showErrorMessage="1" xr:uid="{E1B816A6-9820-496E-B710-DDD84586A10D}">
          <x14:formula1>
            <xm:f>項目!C17:$ACY$393217</xm:f>
          </x14:formula1>
          <xm:sqref>ADG393223:ADG393246</xm:sqref>
        </x14:dataValidation>
        <x14:dataValidation type="list" allowBlank="1" showInputMessage="1" showErrorMessage="1" xr:uid="{EA7FE3C9-95AC-4B75-8D67-06604DBF9F14}">
          <x14:formula1>
            <xm:f>項目!C17:$AMU$393217</xm:f>
          </x14:formula1>
          <xm:sqref>ANC393223:ANC393246</xm:sqref>
        </x14:dataValidation>
        <x14:dataValidation type="list" allowBlank="1" showInputMessage="1" showErrorMessage="1" xr:uid="{32746957-444E-4B5C-BA41-74A6FC44E795}">
          <x14:formula1>
            <xm:f>項目!C17:$AWQ$393217</xm:f>
          </x14:formula1>
          <xm:sqref>AWY393223:AWY393246</xm:sqref>
        </x14:dataValidation>
        <x14:dataValidation type="list" allowBlank="1" showInputMessage="1" showErrorMessage="1" xr:uid="{6FF3A0F6-A883-4EA5-B1DA-E9E378E41004}">
          <x14:formula1>
            <xm:f>項目!C17:$BGM$393217</xm:f>
          </x14:formula1>
          <xm:sqref>BGU393223:BGU393246</xm:sqref>
        </x14:dataValidation>
        <x14:dataValidation type="list" allowBlank="1" showInputMessage="1" showErrorMessage="1" xr:uid="{734223E2-38E6-4F7F-B99C-59770E6EFE50}">
          <x14:formula1>
            <xm:f>項目!C17:$BQI$393217</xm:f>
          </x14:formula1>
          <xm:sqref>BQQ393223:BQQ393246</xm:sqref>
        </x14:dataValidation>
        <x14:dataValidation type="list" allowBlank="1" showInputMessage="1" showErrorMessage="1" xr:uid="{1649667C-B6B5-4062-891C-1794FF326875}">
          <x14:formula1>
            <xm:f>項目!C17:$CAE$393217</xm:f>
          </x14:formula1>
          <xm:sqref>CAM393223:CAM393246</xm:sqref>
        </x14:dataValidation>
        <x14:dataValidation type="list" allowBlank="1" showInputMessage="1" showErrorMessage="1" xr:uid="{32664447-5B42-4ED1-B368-94A4E33213A1}">
          <x14:formula1>
            <xm:f>項目!C17:$CKA$393217</xm:f>
          </x14:formula1>
          <xm:sqref>CKI393223:CKI393246</xm:sqref>
        </x14:dataValidation>
        <x14:dataValidation type="list" allowBlank="1" showInputMessage="1" showErrorMessage="1" xr:uid="{E0CE1DA1-3C1D-43E0-A4F2-870002F43EAF}">
          <x14:formula1>
            <xm:f>項目!C17:$CTW$393217</xm:f>
          </x14:formula1>
          <xm:sqref>CUE393223:CUE393246</xm:sqref>
        </x14:dataValidation>
        <x14:dataValidation type="list" allowBlank="1" showInputMessage="1" showErrorMessage="1" xr:uid="{AA421713-7786-46D9-AB7A-B6C2CE51AE2E}">
          <x14:formula1>
            <xm:f>項目!C17:$DDS$393217</xm:f>
          </x14:formula1>
          <xm:sqref>DEA393223:DEA393246</xm:sqref>
        </x14:dataValidation>
        <x14:dataValidation type="list" allowBlank="1" showInputMessage="1" showErrorMessage="1" xr:uid="{0994E185-0E24-4F15-AF20-71AD47D5AE14}">
          <x14:formula1>
            <xm:f>項目!C17:$DNO$393217</xm:f>
          </x14:formula1>
          <xm:sqref>DNW393223:DNW393246</xm:sqref>
        </x14:dataValidation>
        <x14:dataValidation type="list" allowBlank="1" showInputMessage="1" showErrorMessage="1" xr:uid="{6FFBD115-3694-429A-B232-BBBD371D5903}">
          <x14:formula1>
            <xm:f>項目!C17:$DXK$393217</xm:f>
          </x14:formula1>
          <xm:sqref>DXS393223:DXS393246</xm:sqref>
        </x14:dataValidation>
        <x14:dataValidation type="list" allowBlank="1" showInputMessage="1" showErrorMessage="1" xr:uid="{C096D68C-0F65-40D9-A894-F5ABB71BF35C}">
          <x14:formula1>
            <xm:f>項目!C17:$EHG$393217</xm:f>
          </x14:formula1>
          <xm:sqref>EHO393223:EHO393246</xm:sqref>
        </x14:dataValidation>
        <x14:dataValidation type="list" allowBlank="1" showInputMessage="1" showErrorMessage="1" xr:uid="{608C1FD5-1C70-4EF3-A33A-48F18E924017}">
          <x14:formula1>
            <xm:f>項目!C17:$ERC$393217</xm:f>
          </x14:formula1>
          <xm:sqref>ERK393223:ERK393246</xm:sqref>
        </x14:dataValidation>
        <x14:dataValidation type="list" allowBlank="1" showInputMessage="1" showErrorMessage="1" xr:uid="{4B857D4E-7F77-4390-AF68-03A0F22BA56C}">
          <x14:formula1>
            <xm:f>項目!C17:$FAY$393217</xm:f>
          </x14:formula1>
          <xm:sqref>FBG393223:FBG393246</xm:sqref>
        </x14:dataValidation>
        <x14:dataValidation type="list" allowBlank="1" showInputMessage="1" showErrorMessage="1" xr:uid="{1D7538F5-CDC1-4E54-9E78-E4F06E2FE206}">
          <x14:formula1>
            <xm:f>項目!C17:$FKU$393217</xm:f>
          </x14:formula1>
          <xm:sqref>FLC393223:FLC393246</xm:sqref>
        </x14:dataValidation>
        <x14:dataValidation type="list" allowBlank="1" showInputMessage="1" showErrorMessage="1" xr:uid="{E7757326-E1C1-4E00-BAE6-948B49B4C03A}">
          <x14:formula1>
            <xm:f>項目!C17:$FUQ$393217</xm:f>
          </x14:formula1>
          <xm:sqref>FUY393223:FUY393246</xm:sqref>
        </x14:dataValidation>
        <x14:dataValidation type="list" allowBlank="1" showInputMessage="1" showErrorMessage="1" xr:uid="{D1BD141C-A1D6-4E38-A962-8517C69BE477}">
          <x14:formula1>
            <xm:f>項目!C17:$GEM$393217</xm:f>
          </x14:formula1>
          <xm:sqref>GEU393223:GEU393246</xm:sqref>
        </x14:dataValidation>
        <x14:dataValidation type="list" allowBlank="1" showInputMessage="1" showErrorMessage="1" xr:uid="{75F97238-9CDF-4080-B19D-C5A7EDFF224F}">
          <x14:formula1>
            <xm:f>項目!C17:$GOI$393217</xm:f>
          </x14:formula1>
          <xm:sqref>GOQ393223:GOQ393246</xm:sqref>
        </x14:dataValidation>
        <x14:dataValidation type="list" allowBlank="1" showInputMessage="1" showErrorMessage="1" xr:uid="{ADC8331F-3EBE-4543-97ED-46D0366AC9AF}">
          <x14:formula1>
            <xm:f>項目!C17:$GYE$393217</xm:f>
          </x14:formula1>
          <xm:sqref>GYM393223:GYM393246</xm:sqref>
        </x14:dataValidation>
        <x14:dataValidation type="list" allowBlank="1" showInputMessage="1" showErrorMessage="1" xr:uid="{671570AE-482D-4BC9-AAC1-5D225F536F05}">
          <x14:formula1>
            <xm:f>項目!C17:$HIA$393217</xm:f>
          </x14:formula1>
          <xm:sqref>HII393223:HII393246</xm:sqref>
        </x14:dataValidation>
        <x14:dataValidation type="list" allowBlank="1" showInputMessage="1" showErrorMessage="1" xr:uid="{161233F1-6F80-41AB-8005-BC2FE7EA03A7}">
          <x14:formula1>
            <xm:f>項目!C17:$HRW$393217</xm:f>
          </x14:formula1>
          <xm:sqref>HSE393223:HSE393246</xm:sqref>
        </x14:dataValidation>
        <x14:dataValidation type="list" allowBlank="1" showInputMessage="1" showErrorMessage="1" xr:uid="{3C499C07-5149-408F-B315-54F695EEEC05}">
          <x14:formula1>
            <xm:f>項目!C17:$IBS$393217</xm:f>
          </x14:formula1>
          <xm:sqref>ICA393223:ICA393246</xm:sqref>
        </x14:dataValidation>
        <x14:dataValidation type="list" allowBlank="1" showInputMessage="1" showErrorMessage="1" xr:uid="{50195478-D292-464E-84A6-28D525B8A085}">
          <x14:formula1>
            <xm:f>項目!C17:$ILO$393217</xm:f>
          </x14:formula1>
          <xm:sqref>ILW393223:ILW393246</xm:sqref>
        </x14:dataValidation>
        <x14:dataValidation type="list" allowBlank="1" showInputMessage="1" showErrorMessage="1" xr:uid="{0A9855BB-E42E-44B7-9ED8-E26D364636DD}">
          <x14:formula1>
            <xm:f>項目!C17:$IVK$393217</xm:f>
          </x14:formula1>
          <xm:sqref>IVS393223:IVS393246</xm:sqref>
        </x14:dataValidation>
        <x14:dataValidation type="list" allowBlank="1" showInputMessage="1" showErrorMessage="1" xr:uid="{C02807A4-C90A-441B-89B8-FB91D6E0052F}">
          <x14:formula1>
            <xm:f>項目!C17:$JFG$393217</xm:f>
          </x14:formula1>
          <xm:sqref>JFO393223:JFO393246</xm:sqref>
        </x14:dataValidation>
        <x14:dataValidation type="list" allowBlank="1" showInputMessage="1" showErrorMessage="1" xr:uid="{D9A203F1-8471-4697-AE0D-02D1610152C9}">
          <x14:formula1>
            <xm:f>項目!C17:$JPC$393217</xm:f>
          </x14:formula1>
          <xm:sqref>JPK393223:JPK393246</xm:sqref>
        </x14:dataValidation>
        <x14:dataValidation type="list" allowBlank="1" showInputMessage="1" showErrorMessage="1" xr:uid="{8288DC6C-3B46-44E4-972B-64AC208F6AE8}">
          <x14:formula1>
            <xm:f>項目!C17:$JYY$393217</xm:f>
          </x14:formula1>
          <xm:sqref>JZG393223:JZG393246</xm:sqref>
        </x14:dataValidation>
        <x14:dataValidation type="list" allowBlank="1" showInputMessage="1" showErrorMessage="1" xr:uid="{EE27684E-BB88-4A96-A3B6-E9C837FB4557}">
          <x14:formula1>
            <xm:f>項目!C17:$KIU$393217</xm:f>
          </x14:formula1>
          <xm:sqref>KJC393223:KJC393246</xm:sqref>
        </x14:dataValidation>
        <x14:dataValidation type="list" allowBlank="1" showInputMessage="1" showErrorMessage="1" xr:uid="{F53CCF4E-8D8B-4383-BD64-E556A6FD5BCD}">
          <x14:formula1>
            <xm:f>項目!C17:$KSQ$393217</xm:f>
          </x14:formula1>
          <xm:sqref>KSY393223:KSY393246</xm:sqref>
        </x14:dataValidation>
        <x14:dataValidation type="list" allowBlank="1" showInputMessage="1" showErrorMessage="1" xr:uid="{12A7D7B5-DA0C-4D97-8D46-8EACCF2676A3}">
          <x14:formula1>
            <xm:f>項目!C17:$LCM$393217</xm:f>
          </x14:formula1>
          <xm:sqref>LCU393223:LCU393246</xm:sqref>
        </x14:dataValidation>
        <x14:dataValidation type="list" allowBlank="1" showInputMessage="1" showErrorMessage="1" xr:uid="{A5FCE1CE-CF90-462A-8076-72F232C0B8C1}">
          <x14:formula1>
            <xm:f>項目!C17:$LMI$393217</xm:f>
          </x14:formula1>
          <xm:sqref>LMQ393223:LMQ393246</xm:sqref>
        </x14:dataValidation>
        <x14:dataValidation type="list" allowBlank="1" showInputMessage="1" showErrorMessage="1" xr:uid="{BB8639B7-F2C4-4EDC-9476-45ECFB8536DB}">
          <x14:formula1>
            <xm:f>項目!C17:$LWE$393217</xm:f>
          </x14:formula1>
          <xm:sqref>LWM393223:LWM393246</xm:sqref>
        </x14:dataValidation>
        <x14:dataValidation type="list" allowBlank="1" showInputMessage="1" showErrorMessage="1" xr:uid="{B4E9314F-0DD6-4854-84C0-0D75BC27734D}">
          <x14:formula1>
            <xm:f>項目!C17:$MGA$393217</xm:f>
          </x14:formula1>
          <xm:sqref>MGI393223:MGI393246</xm:sqref>
        </x14:dataValidation>
        <x14:dataValidation type="list" allowBlank="1" showInputMessage="1" showErrorMessage="1" xr:uid="{D8C7BA60-8CEC-4492-95B4-9D875883CC17}">
          <x14:formula1>
            <xm:f>項目!C17:$MPW$393217</xm:f>
          </x14:formula1>
          <xm:sqref>MQE393223:MQE393246</xm:sqref>
        </x14:dataValidation>
        <x14:dataValidation type="list" allowBlank="1" showInputMessage="1" showErrorMessage="1" xr:uid="{11918CFC-0E65-4FC6-AEAF-513BB43A3EC6}">
          <x14:formula1>
            <xm:f>項目!C17:$MZS$393217</xm:f>
          </x14:formula1>
          <xm:sqref>NAA393223:NAA393246</xm:sqref>
        </x14:dataValidation>
        <x14:dataValidation type="list" allowBlank="1" showInputMessage="1" showErrorMessage="1" xr:uid="{6D90A55B-BCB6-427B-8707-C1E95D2A16BA}">
          <x14:formula1>
            <xm:f>項目!C17:$NJO$393217</xm:f>
          </x14:formula1>
          <xm:sqref>NJW393223:NJW393246</xm:sqref>
        </x14:dataValidation>
        <x14:dataValidation type="list" allowBlank="1" showInputMessage="1" showErrorMessage="1" xr:uid="{AED82E0A-AC33-4366-B248-7AF96DE9EFFD}">
          <x14:formula1>
            <xm:f>項目!C17:$NTK$393217</xm:f>
          </x14:formula1>
          <xm:sqref>NTS393223:NTS393246</xm:sqref>
        </x14:dataValidation>
        <x14:dataValidation type="list" allowBlank="1" showInputMessage="1" showErrorMessage="1" xr:uid="{A6BBAF07-5261-42EF-B755-03882AD00612}">
          <x14:formula1>
            <xm:f>項目!C17:$ODG$393217</xm:f>
          </x14:formula1>
          <xm:sqref>ODO393223:ODO393246</xm:sqref>
        </x14:dataValidation>
        <x14:dataValidation type="list" allowBlank="1" showInputMessage="1" showErrorMessage="1" xr:uid="{D20F77CF-16B5-4E48-92F4-1C2D78D567B3}">
          <x14:formula1>
            <xm:f>項目!C17:$ONC$393217</xm:f>
          </x14:formula1>
          <xm:sqref>ONK393223:ONK393246</xm:sqref>
        </x14:dataValidation>
        <x14:dataValidation type="list" allowBlank="1" showInputMessage="1" showErrorMessage="1" xr:uid="{C287DBA3-DA9D-4B77-9261-6C0564379C37}">
          <x14:formula1>
            <xm:f>項目!C17:$OWY$393217</xm:f>
          </x14:formula1>
          <xm:sqref>OXG393223:OXG393246</xm:sqref>
        </x14:dataValidation>
        <x14:dataValidation type="list" allowBlank="1" showInputMessage="1" showErrorMessage="1" xr:uid="{33ECD4A7-35BF-45A5-9DA3-269BCF284CD8}">
          <x14:formula1>
            <xm:f>項目!C17:$PGU$393217</xm:f>
          </x14:formula1>
          <xm:sqref>PHC393223:PHC393246</xm:sqref>
        </x14:dataValidation>
        <x14:dataValidation type="list" allowBlank="1" showInputMessage="1" showErrorMessage="1" xr:uid="{80C7A790-7154-418A-BC7D-263E79470687}">
          <x14:formula1>
            <xm:f>項目!C17:$PQQ$393217</xm:f>
          </x14:formula1>
          <xm:sqref>PQY393223:PQY393246</xm:sqref>
        </x14:dataValidation>
        <x14:dataValidation type="list" allowBlank="1" showInputMessage="1" showErrorMessage="1" xr:uid="{B462CB93-41B8-467B-81FB-A33E5DD4EFE4}">
          <x14:formula1>
            <xm:f>項目!C17:$QAM$393217</xm:f>
          </x14:formula1>
          <xm:sqref>QAU393223:QAU393246</xm:sqref>
        </x14:dataValidation>
        <x14:dataValidation type="list" allowBlank="1" showInputMessage="1" showErrorMessage="1" xr:uid="{9020BD19-10C9-44E5-8D18-CCFCDC014A49}">
          <x14:formula1>
            <xm:f>項目!C17:$QKI$393217</xm:f>
          </x14:formula1>
          <xm:sqref>QKQ393223:QKQ393246</xm:sqref>
        </x14:dataValidation>
        <x14:dataValidation type="list" allowBlank="1" showInputMessage="1" showErrorMessage="1" xr:uid="{3852FAD0-CB04-4991-BDBA-5030E5B04D47}">
          <x14:formula1>
            <xm:f>項目!C17:$QUE$393217</xm:f>
          </x14:formula1>
          <xm:sqref>QUM393223:QUM393246</xm:sqref>
        </x14:dataValidation>
        <x14:dataValidation type="list" allowBlank="1" showInputMessage="1" showErrorMessage="1" xr:uid="{A1C2EDBD-AFE9-41D0-9F5D-33B91DCF3D12}">
          <x14:formula1>
            <xm:f>項目!C17:$REA$393217</xm:f>
          </x14:formula1>
          <xm:sqref>REI393223:REI393246</xm:sqref>
        </x14:dataValidation>
        <x14:dataValidation type="list" allowBlank="1" showInputMessage="1" showErrorMessage="1" xr:uid="{FEBE5B3D-5D6A-4A95-88C0-A8C589452DB6}">
          <x14:formula1>
            <xm:f>項目!C17:$RNW$393217</xm:f>
          </x14:formula1>
          <xm:sqref>ROE393223:ROE393246</xm:sqref>
        </x14:dataValidation>
        <x14:dataValidation type="list" allowBlank="1" showInputMessage="1" showErrorMessage="1" xr:uid="{D9A9BED4-5223-4A35-9F28-6804AF670C1E}">
          <x14:formula1>
            <xm:f>項目!C17:$RXS$393217</xm:f>
          </x14:formula1>
          <xm:sqref>RYA393223:RYA393246</xm:sqref>
        </x14:dataValidation>
        <x14:dataValidation type="list" allowBlank="1" showInputMessage="1" showErrorMessage="1" xr:uid="{098BEA36-BF20-47D4-AF4F-4AC17565BC12}">
          <x14:formula1>
            <xm:f>項目!C17:$SHO$393217</xm:f>
          </x14:formula1>
          <xm:sqref>SHW393223:SHW393246</xm:sqref>
        </x14:dataValidation>
        <x14:dataValidation type="list" allowBlank="1" showInputMessage="1" showErrorMessage="1" xr:uid="{ED2CBFFE-9B58-4377-B0DC-FBE701EB272E}">
          <x14:formula1>
            <xm:f>項目!C17:$SRK$393217</xm:f>
          </x14:formula1>
          <xm:sqref>SRS393223:SRS393246</xm:sqref>
        </x14:dataValidation>
        <x14:dataValidation type="list" allowBlank="1" showInputMessage="1" showErrorMessage="1" xr:uid="{F53F29D6-D6CA-4E9A-B509-FD1422C94D3B}">
          <x14:formula1>
            <xm:f>項目!C17:$TBG$393217</xm:f>
          </x14:formula1>
          <xm:sqref>TBO393223:TBO393246</xm:sqref>
        </x14:dataValidation>
        <x14:dataValidation type="list" allowBlank="1" showInputMessage="1" showErrorMessage="1" xr:uid="{1E40AF0E-24D0-40D6-A5FC-A52F97F3260B}">
          <x14:formula1>
            <xm:f>項目!C17:$TLC$393217</xm:f>
          </x14:formula1>
          <xm:sqref>TLK393223:TLK393246</xm:sqref>
        </x14:dataValidation>
        <x14:dataValidation type="list" allowBlank="1" showInputMessage="1" showErrorMessage="1" xr:uid="{B9936BC9-D9EC-4704-819A-FF97D3FDDE27}">
          <x14:formula1>
            <xm:f>項目!C17:$TUY$393217</xm:f>
          </x14:formula1>
          <xm:sqref>TVG393223:TVG393246</xm:sqref>
        </x14:dataValidation>
        <x14:dataValidation type="list" allowBlank="1" showInputMessage="1" showErrorMessage="1" xr:uid="{71BCA425-CBD5-48EC-95F4-08D07431736C}">
          <x14:formula1>
            <xm:f>項目!C17:$UEU$393217</xm:f>
          </x14:formula1>
          <xm:sqref>UFC393223:UFC393246</xm:sqref>
        </x14:dataValidation>
        <x14:dataValidation type="list" allowBlank="1" showInputMessage="1" showErrorMessage="1" xr:uid="{5653EA94-29A5-40B9-AA7C-FA1FD10D8C0E}">
          <x14:formula1>
            <xm:f>項目!C17:$UOQ$393217</xm:f>
          </x14:formula1>
          <xm:sqref>UOY393223:UOY393246</xm:sqref>
        </x14:dataValidation>
        <x14:dataValidation type="list" allowBlank="1" showInputMessage="1" showErrorMessage="1" xr:uid="{EE7B324B-2695-4681-BF9C-6C3A5D617CEB}">
          <x14:formula1>
            <xm:f>項目!C17:$UYM$393217</xm:f>
          </x14:formula1>
          <xm:sqref>UYU393223:UYU393246</xm:sqref>
        </x14:dataValidation>
        <x14:dataValidation type="list" allowBlank="1" showInputMessage="1" showErrorMessage="1" xr:uid="{201768A8-4E04-4BF0-9A49-46004C31CCF6}">
          <x14:formula1>
            <xm:f>項目!C17:$VII$393217</xm:f>
          </x14:formula1>
          <xm:sqref>VIQ393223:VIQ393246</xm:sqref>
        </x14:dataValidation>
        <x14:dataValidation type="list" allowBlank="1" showInputMessage="1" showErrorMessage="1" xr:uid="{E659146C-755B-4094-BA90-F4A6DAC838F4}">
          <x14:formula1>
            <xm:f>項目!C17:$VSE$393217</xm:f>
          </x14:formula1>
          <xm:sqref>VSM393223:VSM393246</xm:sqref>
        </x14:dataValidation>
        <x14:dataValidation type="list" allowBlank="1" showInputMessage="1" showErrorMessage="1" xr:uid="{73A44DD9-E7BA-45D7-8348-2760D6F0A1CB}">
          <x14:formula1>
            <xm:f>項目!C17:$WCA$393217</xm:f>
          </x14:formula1>
          <xm:sqref>WCI393223:WCI393246</xm:sqref>
        </x14:dataValidation>
        <x14:dataValidation type="list" allowBlank="1" showInputMessage="1" showErrorMessage="1" xr:uid="{E4D8FAA2-CFDE-4BB1-BF73-9BAFE397499B}">
          <x14:formula1>
            <xm:f>項目!C17:$WLW$393217</xm:f>
          </x14:formula1>
          <xm:sqref>WME393223:WME393246</xm:sqref>
        </x14:dataValidation>
        <x14:dataValidation type="list" allowBlank="1" showInputMessage="1" showErrorMessage="1" xr:uid="{94CEB44A-2C12-419B-9ECD-F267AC26CFF4}">
          <x14:formula1>
            <xm:f>項目!C17:$WVS$393217</xm:f>
          </x14:formula1>
          <xm:sqref>WWA393223:WWA393246</xm:sqref>
        </x14:dataValidation>
        <x14:dataValidation type="list" allowBlank="1" showInputMessage="1" showErrorMessage="1" xr:uid="{9B0752B3-589F-402C-AFF5-1603CE9E118E}">
          <x14:formula1>
            <xm:f>項目!C17:$M$458753</xm:f>
          </x14:formula1>
          <xm:sqref>S458759:S458782</xm:sqref>
        </x14:dataValidation>
        <x14:dataValidation type="list" allowBlank="1" showInputMessage="1" showErrorMessage="1" xr:uid="{56B09423-8D6E-4E13-96CF-2820BE0F075B}">
          <x14:formula1>
            <xm:f>項目!C17:$JG$458753</xm:f>
          </x14:formula1>
          <xm:sqref>JO458759:JO458782</xm:sqref>
        </x14:dataValidation>
        <x14:dataValidation type="list" allowBlank="1" showInputMessage="1" showErrorMessage="1" xr:uid="{FA5CC316-BBCF-40A7-95C4-B09D420E5578}">
          <x14:formula1>
            <xm:f>項目!C17:$TC$458753</xm:f>
          </x14:formula1>
          <xm:sqref>TK458759:TK458782</xm:sqref>
        </x14:dataValidation>
        <x14:dataValidation type="list" allowBlank="1" showInputMessage="1" showErrorMessage="1" xr:uid="{DE983A33-25E0-4721-ABA9-C421934A59C7}">
          <x14:formula1>
            <xm:f>項目!C17:$ACY$458753</xm:f>
          </x14:formula1>
          <xm:sqref>ADG458759:ADG458782</xm:sqref>
        </x14:dataValidation>
        <x14:dataValidation type="list" allowBlank="1" showInputMessage="1" showErrorMessage="1" xr:uid="{15FEF2F5-7586-43E2-8D15-9584C4025D72}">
          <x14:formula1>
            <xm:f>項目!C17:$AMU$458753</xm:f>
          </x14:formula1>
          <xm:sqref>ANC458759:ANC458782</xm:sqref>
        </x14:dataValidation>
        <x14:dataValidation type="list" allowBlank="1" showInputMessage="1" showErrorMessage="1" xr:uid="{E0597058-D93C-43E0-BA9B-539B9AD45DB0}">
          <x14:formula1>
            <xm:f>項目!C17:$AWQ$458753</xm:f>
          </x14:formula1>
          <xm:sqref>AWY458759:AWY458782</xm:sqref>
        </x14:dataValidation>
        <x14:dataValidation type="list" allowBlank="1" showInputMessage="1" showErrorMessage="1" xr:uid="{0B396445-744C-4FD9-B20C-D862C02BCE34}">
          <x14:formula1>
            <xm:f>項目!C17:$BGM$458753</xm:f>
          </x14:formula1>
          <xm:sqref>BGU458759:BGU458782</xm:sqref>
        </x14:dataValidation>
        <x14:dataValidation type="list" allowBlank="1" showInputMessage="1" showErrorMessage="1" xr:uid="{D4279744-B7FD-4872-BBE9-A9462D180ACC}">
          <x14:formula1>
            <xm:f>項目!C17:$BQI$458753</xm:f>
          </x14:formula1>
          <xm:sqref>BQQ458759:BQQ458782</xm:sqref>
        </x14:dataValidation>
        <x14:dataValidation type="list" allowBlank="1" showInputMessage="1" showErrorMessage="1" xr:uid="{A89BC35C-15FD-4BDA-925E-B3994CBC0B44}">
          <x14:formula1>
            <xm:f>項目!C17:$CAE$458753</xm:f>
          </x14:formula1>
          <xm:sqref>CAM458759:CAM458782</xm:sqref>
        </x14:dataValidation>
        <x14:dataValidation type="list" allowBlank="1" showInputMessage="1" showErrorMessage="1" xr:uid="{58251452-ABE5-45B0-A091-3BBA204296B3}">
          <x14:formula1>
            <xm:f>項目!C17:$CKA$458753</xm:f>
          </x14:formula1>
          <xm:sqref>CKI458759:CKI458782</xm:sqref>
        </x14:dataValidation>
        <x14:dataValidation type="list" allowBlank="1" showInputMessage="1" showErrorMessage="1" xr:uid="{98A99B39-F0DD-495F-92A4-40CF48761945}">
          <x14:formula1>
            <xm:f>項目!C17:$CTW$458753</xm:f>
          </x14:formula1>
          <xm:sqref>CUE458759:CUE458782</xm:sqref>
        </x14:dataValidation>
        <x14:dataValidation type="list" allowBlank="1" showInputMessage="1" showErrorMessage="1" xr:uid="{E51D10DA-1320-49E5-B1DE-0B079F34AF41}">
          <x14:formula1>
            <xm:f>項目!C17:$DDS$458753</xm:f>
          </x14:formula1>
          <xm:sqref>DEA458759:DEA458782</xm:sqref>
        </x14:dataValidation>
        <x14:dataValidation type="list" allowBlank="1" showInputMessage="1" showErrorMessage="1" xr:uid="{76157963-CA26-43C9-85C3-3029BAE19E76}">
          <x14:formula1>
            <xm:f>項目!C17:$DNO$458753</xm:f>
          </x14:formula1>
          <xm:sqref>DNW458759:DNW458782</xm:sqref>
        </x14:dataValidation>
        <x14:dataValidation type="list" allowBlank="1" showInputMessage="1" showErrorMessage="1" xr:uid="{4EBB6626-AF14-4D32-A1B5-E90C6CC6A018}">
          <x14:formula1>
            <xm:f>項目!C17:$DXK$458753</xm:f>
          </x14:formula1>
          <xm:sqref>DXS458759:DXS458782</xm:sqref>
        </x14:dataValidation>
        <x14:dataValidation type="list" allowBlank="1" showInputMessage="1" showErrorMessage="1" xr:uid="{D9CA2F74-3143-4506-84AF-16329ED9B00E}">
          <x14:formula1>
            <xm:f>項目!C17:$EHG$458753</xm:f>
          </x14:formula1>
          <xm:sqref>EHO458759:EHO458782</xm:sqref>
        </x14:dataValidation>
        <x14:dataValidation type="list" allowBlank="1" showInputMessage="1" showErrorMessage="1" xr:uid="{7375310F-3C6C-44A9-892A-DBF80A59AEB4}">
          <x14:formula1>
            <xm:f>項目!C17:$ERC$458753</xm:f>
          </x14:formula1>
          <xm:sqref>ERK458759:ERK458782</xm:sqref>
        </x14:dataValidation>
        <x14:dataValidation type="list" allowBlank="1" showInputMessage="1" showErrorMessage="1" xr:uid="{9B05509A-CBB1-4A28-9B48-17729117306B}">
          <x14:formula1>
            <xm:f>項目!C17:$FAY$458753</xm:f>
          </x14:formula1>
          <xm:sqref>FBG458759:FBG458782</xm:sqref>
        </x14:dataValidation>
        <x14:dataValidation type="list" allowBlank="1" showInputMessage="1" showErrorMessage="1" xr:uid="{457A0A59-13C7-45BD-A472-54EF47C48B16}">
          <x14:formula1>
            <xm:f>項目!C17:$FKU$458753</xm:f>
          </x14:formula1>
          <xm:sqref>FLC458759:FLC458782</xm:sqref>
        </x14:dataValidation>
        <x14:dataValidation type="list" allowBlank="1" showInputMessage="1" showErrorMessage="1" xr:uid="{9C095241-2F5D-4820-8A6F-0DDB6608C8D5}">
          <x14:formula1>
            <xm:f>項目!C17:$FUQ$458753</xm:f>
          </x14:formula1>
          <xm:sqref>FUY458759:FUY458782</xm:sqref>
        </x14:dataValidation>
        <x14:dataValidation type="list" allowBlank="1" showInputMessage="1" showErrorMessage="1" xr:uid="{C8E910A4-4A94-4165-ACBA-7C96C7683747}">
          <x14:formula1>
            <xm:f>項目!C17:$GEM$458753</xm:f>
          </x14:formula1>
          <xm:sqref>GEU458759:GEU458782</xm:sqref>
        </x14:dataValidation>
        <x14:dataValidation type="list" allowBlank="1" showInputMessage="1" showErrorMessage="1" xr:uid="{79E94F73-AFAD-480C-BD67-F0B786ADC659}">
          <x14:formula1>
            <xm:f>項目!C17:$GOI$458753</xm:f>
          </x14:formula1>
          <xm:sqref>GOQ458759:GOQ458782</xm:sqref>
        </x14:dataValidation>
        <x14:dataValidation type="list" allowBlank="1" showInputMessage="1" showErrorMessage="1" xr:uid="{2B3C943A-C308-459E-BA98-244CF32B6533}">
          <x14:formula1>
            <xm:f>項目!C17:$GYE$458753</xm:f>
          </x14:formula1>
          <xm:sqref>GYM458759:GYM458782</xm:sqref>
        </x14:dataValidation>
        <x14:dataValidation type="list" allowBlank="1" showInputMessage="1" showErrorMessage="1" xr:uid="{01FCDAE1-D077-4E9B-97C9-E67F5283583C}">
          <x14:formula1>
            <xm:f>項目!C17:$HIA$458753</xm:f>
          </x14:formula1>
          <xm:sqref>HII458759:HII458782</xm:sqref>
        </x14:dataValidation>
        <x14:dataValidation type="list" allowBlank="1" showInputMessage="1" showErrorMessage="1" xr:uid="{57A8DF9D-3A20-4606-A3BD-249A25B292DB}">
          <x14:formula1>
            <xm:f>項目!C17:$HRW$458753</xm:f>
          </x14:formula1>
          <xm:sqref>HSE458759:HSE458782</xm:sqref>
        </x14:dataValidation>
        <x14:dataValidation type="list" allowBlank="1" showInputMessage="1" showErrorMessage="1" xr:uid="{84B66BC3-4CD7-4DF5-97E0-EA55EEDBAC52}">
          <x14:formula1>
            <xm:f>項目!C17:$IBS$458753</xm:f>
          </x14:formula1>
          <xm:sqref>ICA458759:ICA458782</xm:sqref>
        </x14:dataValidation>
        <x14:dataValidation type="list" allowBlank="1" showInputMessage="1" showErrorMessage="1" xr:uid="{5F1BEAB6-E066-4F7A-A233-73FF7C179672}">
          <x14:formula1>
            <xm:f>項目!C17:$ILO$458753</xm:f>
          </x14:formula1>
          <xm:sqref>ILW458759:ILW458782</xm:sqref>
        </x14:dataValidation>
        <x14:dataValidation type="list" allowBlank="1" showInputMessage="1" showErrorMessage="1" xr:uid="{3BA6151B-2491-4001-8D10-3C4D0E4D784B}">
          <x14:formula1>
            <xm:f>項目!C17:$IVK$458753</xm:f>
          </x14:formula1>
          <xm:sqref>IVS458759:IVS458782</xm:sqref>
        </x14:dataValidation>
        <x14:dataValidation type="list" allowBlank="1" showInputMessage="1" showErrorMessage="1" xr:uid="{4D42CCC6-9D47-4F5B-8F9E-50FC76F6F7DD}">
          <x14:formula1>
            <xm:f>項目!C17:$JFG$458753</xm:f>
          </x14:formula1>
          <xm:sqref>JFO458759:JFO458782</xm:sqref>
        </x14:dataValidation>
        <x14:dataValidation type="list" allowBlank="1" showInputMessage="1" showErrorMessage="1" xr:uid="{5C313746-F11F-4CD2-992A-EBD385B5894F}">
          <x14:formula1>
            <xm:f>項目!C17:$JPC$458753</xm:f>
          </x14:formula1>
          <xm:sqref>JPK458759:JPK458782</xm:sqref>
        </x14:dataValidation>
        <x14:dataValidation type="list" allowBlank="1" showInputMessage="1" showErrorMessage="1" xr:uid="{42682AA5-8173-4B68-BCC9-F174CB5D5960}">
          <x14:formula1>
            <xm:f>項目!C17:$JYY$458753</xm:f>
          </x14:formula1>
          <xm:sqref>JZG458759:JZG458782</xm:sqref>
        </x14:dataValidation>
        <x14:dataValidation type="list" allowBlank="1" showInputMessage="1" showErrorMessage="1" xr:uid="{896C8292-6779-45CD-B72D-12FDE4A46A89}">
          <x14:formula1>
            <xm:f>項目!C17:$KIU$458753</xm:f>
          </x14:formula1>
          <xm:sqref>KJC458759:KJC458782</xm:sqref>
        </x14:dataValidation>
        <x14:dataValidation type="list" allowBlank="1" showInputMessage="1" showErrorMessage="1" xr:uid="{5E716A1F-D4EA-4BAA-A7A2-F074471AB170}">
          <x14:formula1>
            <xm:f>項目!C17:$KSQ$458753</xm:f>
          </x14:formula1>
          <xm:sqref>KSY458759:KSY458782</xm:sqref>
        </x14:dataValidation>
        <x14:dataValidation type="list" allowBlank="1" showInputMessage="1" showErrorMessage="1" xr:uid="{73F53710-8ECA-4E87-B380-7A424C1AAA6D}">
          <x14:formula1>
            <xm:f>項目!C17:$LCM$458753</xm:f>
          </x14:formula1>
          <xm:sqref>LCU458759:LCU458782</xm:sqref>
        </x14:dataValidation>
        <x14:dataValidation type="list" allowBlank="1" showInputMessage="1" showErrorMessage="1" xr:uid="{E21C5A9C-E105-424B-9C58-B20B0E0A64DE}">
          <x14:formula1>
            <xm:f>項目!C17:$LMI$458753</xm:f>
          </x14:formula1>
          <xm:sqref>LMQ458759:LMQ458782</xm:sqref>
        </x14:dataValidation>
        <x14:dataValidation type="list" allowBlank="1" showInputMessage="1" showErrorMessage="1" xr:uid="{77DC912E-07C3-4A88-89BF-9023A150667C}">
          <x14:formula1>
            <xm:f>項目!C17:$LWE$458753</xm:f>
          </x14:formula1>
          <xm:sqref>LWM458759:LWM458782</xm:sqref>
        </x14:dataValidation>
        <x14:dataValidation type="list" allowBlank="1" showInputMessage="1" showErrorMessage="1" xr:uid="{DF7977B5-396B-4B25-A53B-FDEA46C66134}">
          <x14:formula1>
            <xm:f>項目!C17:$MGA$458753</xm:f>
          </x14:formula1>
          <xm:sqref>MGI458759:MGI458782</xm:sqref>
        </x14:dataValidation>
        <x14:dataValidation type="list" allowBlank="1" showInputMessage="1" showErrorMessage="1" xr:uid="{94B3F1B9-7EF7-4971-BC3E-C016131B1990}">
          <x14:formula1>
            <xm:f>項目!C17:$MPW$458753</xm:f>
          </x14:formula1>
          <xm:sqref>MQE458759:MQE458782</xm:sqref>
        </x14:dataValidation>
        <x14:dataValidation type="list" allowBlank="1" showInputMessage="1" showErrorMessage="1" xr:uid="{60A81B58-9C9B-4F71-86ED-9481F02B7925}">
          <x14:formula1>
            <xm:f>項目!C17:$MZS$458753</xm:f>
          </x14:formula1>
          <xm:sqref>NAA458759:NAA458782</xm:sqref>
        </x14:dataValidation>
        <x14:dataValidation type="list" allowBlank="1" showInputMessage="1" showErrorMessage="1" xr:uid="{C2F40F1D-E00E-41EC-9523-1A72450C0FD2}">
          <x14:formula1>
            <xm:f>項目!C17:$NJO$458753</xm:f>
          </x14:formula1>
          <xm:sqref>NJW458759:NJW458782</xm:sqref>
        </x14:dataValidation>
        <x14:dataValidation type="list" allowBlank="1" showInputMessage="1" showErrorMessage="1" xr:uid="{25D172DB-1E8F-47F0-A0AF-9D623C64CEBE}">
          <x14:formula1>
            <xm:f>項目!C17:$NTK$458753</xm:f>
          </x14:formula1>
          <xm:sqref>NTS458759:NTS458782</xm:sqref>
        </x14:dataValidation>
        <x14:dataValidation type="list" allowBlank="1" showInputMessage="1" showErrorMessage="1" xr:uid="{D8A2A127-1F80-4139-AAE8-484454A35545}">
          <x14:formula1>
            <xm:f>項目!C17:$ODG$458753</xm:f>
          </x14:formula1>
          <xm:sqref>ODO458759:ODO458782</xm:sqref>
        </x14:dataValidation>
        <x14:dataValidation type="list" allowBlank="1" showInputMessage="1" showErrorMessage="1" xr:uid="{4F38516F-F02C-4733-B339-566DB212CAC9}">
          <x14:formula1>
            <xm:f>項目!C17:$ONC$458753</xm:f>
          </x14:formula1>
          <xm:sqref>ONK458759:ONK458782</xm:sqref>
        </x14:dataValidation>
        <x14:dataValidation type="list" allowBlank="1" showInputMessage="1" showErrorMessage="1" xr:uid="{EEB5DA4F-1939-465D-9BAF-7950BB2267F9}">
          <x14:formula1>
            <xm:f>項目!C17:$OWY$458753</xm:f>
          </x14:formula1>
          <xm:sqref>OXG458759:OXG458782</xm:sqref>
        </x14:dataValidation>
        <x14:dataValidation type="list" allowBlank="1" showInputMessage="1" showErrorMessage="1" xr:uid="{214F2B99-E25B-460F-BF57-CEBB071DCA38}">
          <x14:formula1>
            <xm:f>項目!C17:$PGU$458753</xm:f>
          </x14:formula1>
          <xm:sqref>PHC458759:PHC458782</xm:sqref>
        </x14:dataValidation>
        <x14:dataValidation type="list" allowBlank="1" showInputMessage="1" showErrorMessage="1" xr:uid="{B3CF28D7-E298-4143-A345-884B98B5F403}">
          <x14:formula1>
            <xm:f>項目!C17:$PQQ$458753</xm:f>
          </x14:formula1>
          <xm:sqref>PQY458759:PQY458782</xm:sqref>
        </x14:dataValidation>
        <x14:dataValidation type="list" allowBlank="1" showInputMessage="1" showErrorMessage="1" xr:uid="{EC983E6E-ABE0-4DF5-A58D-1BA1115568A4}">
          <x14:formula1>
            <xm:f>項目!C17:$QAM$458753</xm:f>
          </x14:formula1>
          <xm:sqref>QAU458759:QAU458782</xm:sqref>
        </x14:dataValidation>
        <x14:dataValidation type="list" allowBlank="1" showInputMessage="1" showErrorMessage="1" xr:uid="{F1CE41C6-3985-40BA-BAEE-0A579811C2FB}">
          <x14:formula1>
            <xm:f>項目!C17:$QKI$458753</xm:f>
          </x14:formula1>
          <xm:sqref>QKQ458759:QKQ458782</xm:sqref>
        </x14:dataValidation>
        <x14:dataValidation type="list" allowBlank="1" showInputMessage="1" showErrorMessage="1" xr:uid="{D8673E49-D112-439B-812D-08588D5205BF}">
          <x14:formula1>
            <xm:f>項目!C17:$QUE$458753</xm:f>
          </x14:formula1>
          <xm:sqref>QUM458759:QUM458782</xm:sqref>
        </x14:dataValidation>
        <x14:dataValidation type="list" allowBlank="1" showInputMessage="1" showErrorMessage="1" xr:uid="{D454C2B4-2CD9-4556-BECC-7E306DA07D19}">
          <x14:formula1>
            <xm:f>項目!C17:$REA$458753</xm:f>
          </x14:formula1>
          <xm:sqref>REI458759:REI458782</xm:sqref>
        </x14:dataValidation>
        <x14:dataValidation type="list" allowBlank="1" showInputMessage="1" showErrorMessage="1" xr:uid="{E7BB0FFC-A2AB-46FD-8530-3E15DE392803}">
          <x14:formula1>
            <xm:f>項目!C17:$RNW$458753</xm:f>
          </x14:formula1>
          <xm:sqref>ROE458759:ROE458782</xm:sqref>
        </x14:dataValidation>
        <x14:dataValidation type="list" allowBlank="1" showInputMessage="1" showErrorMessage="1" xr:uid="{EA2946D8-4F11-4696-A109-84774E7EC036}">
          <x14:formula1>
            <xm:f>項目!C17:$RXS$458753</xm:f>
          </x14:formula1>
          <xm:sqref>RYA458759:RYA458782</xm:sqref>
        </x14:dataValidation>
        <x14:dataValidation type="list" allowBlank="1" showInputMessage="1" showErrorMessage="1" xr:uid="{F75C805D-77C2-43D2-9442-1C01E3E8998A}">
          <x14:formula1>
            <xm:f>項目!C17:$SHO$458753</xm:f>
          </x14:formula1>
          <xm:sqref>SHW458759:SHW458782</xm:sqref>
        </x14:dataValidation>
        <x14:dataValidation type="list" allowBlank="1" showInputMessage="1" showErrorMessage="1" xr:uid="{3B58771D-03B6-4EBD-9208-D43E806B2FAE}">
          <x14:formula1>
            <xm:f>項目!C17:$SRK$458753</xm:f>
          </x14:formula1>
          <xm:sqref>SRS458759:SRS458782</xm:sqref>
        </x14:dataValidation>
        <x14:dataValidation type="list" allowBlank="1" showInputMessage="1" showErrorMessage="1" xr:uid="{53F9FA16-A5A8-4EA6-B2C4-0E841992D8DE}">
          <x14:formula1>
            <xm:f>項目!C17:$TBG$458753</xm:f>
          </x14:formula1>
          <xm:sqref>TBO458759:TBO458782</xm:sqref>
        </x14:dataValidation>
        <x14:dataValidation type="list" allowBlank="1" showInputMessage="1" showErrorMessage="1" xr:uid="{3C3F8AAB-F347-4FA5-BB0F-6940C7545425}">
          <x14:formula1>
            <xm:f>項目!C17:$TLC$458753</xm:f>
          </x14:formula1>
          <xm:sqref>TLK458759:TLK458782</xm:sqref>
        </x14:dataValidation>
        <x14:dataValidation type="list" allowBlank="1" showInputMessage="1" showErrorMessage="1" xr:uid="{E7B8FC5F-59C6-428B-A09E-9B583FD2471E}">
          <x14:formula1>
            <xm:f>項目!C17:$TUY$458753</xm:f>
          </x14:formula1>
          <xm:sqref>TVG458759:TVG458782</xm:sqref>
        </x14:dataValidation>
        <x14:dataValidation type="list" allowBlank="1" showInputMessage="1" showErrorMessage="1" xr:uid="{C341CE81-C0D3-4021-8E73-B758273D2052}">
          <x14:formula1>
            <xm:f>項目!C17:$UEU$458753</xm:f>
          </x14:formula1>
          <xm:sqref>UFC458759:UFC458782</xm:sqref>
        </x14:dataValidation>
        <x14:dataValidation type="list" allowBlank="1" showInputMessage="1" showErrorMessage="1" xr:uid="{33D6D672-7A75-481A-ADF7-DFDA9EACB28B}">
          <x14:formula1>
            <xm:f>項目!C17:$UOQ$458753</xm:f>
          </x14:formula1>
          <xm:sqref>UOY458759:UOY458782</xm:sqref>
        </x14:dataValidation>
        <x14:dataValidation type="list" allowBlank="1" showInputMessage="1" showErrorMessage="1" xr:uid="{8971D936-FD9E-4DFD-BA56-8C6CE2BC1580}">
          <x14:formula1>
            <xm:f>項目!C17:$UYM$458753</xm:f>
          </x14:formula1>
          <xm:sqref>UYU458759:UYU458782</xm:sqref>
        </x14:dataValidation>
        <x14:dataValidation type="list" allowBlank="1" showInputMessage="1" showErrorMessage="1" xr:uid="{24ACC4A8-523A-491B-AC1C-0DD970952FB8}">
          <x14:formula1>
            <xm:f>項目!C17:$VII$458753</xm:f>
          </x14:formula1>
          <xm:sqref>VIQ458759:VIQ458782</xm:sqref>
        </x14:dataValidation>
        <x14:dataValidation type="list" allowBlank="1" showInputMessage="1" showErrorMessage="1" xr:uid="{B37774F0-A634-47D0-9F38-46810CF8E37D}">
          <x14:formula1>
            <xm:f>項目!C17:$VSE$458753</xm:f>
          </x14:formula1>
          <xm:sqref>VSM458759:VSM458782</xm:sqref>
        </x14:dataValidation>
        <x14:dataValidation type="list" allowBlank="1" showInputMessage="1" showErrorMessage="1" xr:uid="{7658E9CD-DB4B-47DC-8E54-660922A398E5}">
          <x14:formula1>
            <xm:f>項目!C17:$WCA$458753</xm:f>
          </x14:formula1>
          <xm:sqref>WCI458759:WCI458782</xm:sqref>
        </x14:dataValidation>
        <x14:dataValidation type="list" allowBlank="1" showInputMessage="1" showErrorMessage="1" xr:uid="{462EDA39-DCFA-4AF6-AB83-4EB8BE467607}">
          <x14:formula1>
            <xm:f>項目!C17:$WLW$458753</xm:f>
          </x14:formula1>
          <xm:sqref>WME458759:WME458782</xm:sqref>
        </x14:dataValidation>
        <x14:dataValidation type="list" allowBlank="1" showInputMessage="1" showErrorMessage="1" xr:uid="{FD2243A5-843B-479A-802E-B22559031D7A}">
          <x14:formula1>
            <xm:f>項目!C17:$WVS$458753</xm:f>
          </x14:formula1>
          <xm:sqref>WWA458759:WWA458782</xm:sqref>
        </x14:dataValidation>
        <x14:dataValidation type="list" allowBlank="1" showInputMessage="1" showErrorMessage="1" xr:uid="{569C230A-A930-4230-8D24-CBFD359762EA}">
          <x14:formula1>
            <xm:f>項目!C17:$M$524289</xm:f>
          </x14:formula1>
          <xm:sqref>S524295:S524318</xm:sqref>
        </x14:dataValidation>
        <x14:dataValidation type="list" allowBlank="1" showInputMessage="1" showErrorMessage="1" xr:uid="{C7D01759-EC9F-42B8-A35A-1CAD312A84C7}">
          <x14:formula1>
            <xm:f>項目!C17:$JG$524289</xm:f>
          </x14:formula1>
          <xm:sqref>JO524295:JO524318</xm:sqref>
        </x14:dataValidation>
        <x14:dataValidation type="list" allowBlank="1" showInputMessage="1" showErrorMessage="1" xr:uid="{45E1F826-6572-4344-A94B-80E5D2169315}">
          <x14:formula1>
            <xm:f>項目!C17:$TC$524289</xm:f>
          </x14:formula1>
          <xm:sqref>TK524295:TK524318</xm:sqref>
        </x14:dataValidation>
        <x14:dataValidation type="list" allowBlank="1" showInputMessage="1" showErrorMessage="1" xr:uid="{1F0ECB85-CAE9-4643-B0F3-BA3EB589EC00}">
          <x14:formula1>
            <xm:f>項目!C17:$ACY$524289</xm:f>
          </x14:formula1>
          <xm:sqref>ADG524295:ADG524318</xm:sqref>
        </x14:dataValidation>
        <x14:dataValidation type="list" allowBlank="1" showInputMessage="1" showErrorMessage="1" xr:uid="{9194F419-16F6-466A-8479-10FFF483D1F1}">
          <x14:formula1>
            <xm:f>項目!C17:$AMU$524289</xm:f>
          </x14:formula1>
          <xm:sqref>ANC524295:ANC524318</xm:sqref>
        </x14:dataValidation>
        <x14:dataValidation type="list" allowBlank="1" showInputMessage="1" showErrorMessage="1" xr:uid="{4B1F0FB2-4669-4B2A-A21D-9FDAF04FD3E1}">
          <x14:formula1>
            <xm:f>項目!C17:$AWQ$524289</xm:f>
          </x14:formula1>
          <xm:sqref>AWY524295:AWY524318</xm:sqref>
        </x14:dataValidation>
        <x14:dataValidation type="list" allowBlank="1" showInputMessage="1" showErrorMessage="1" xr:uid="{3C8C0499-75F0-4340-96C0-58C0F1E3280F}">
          <x14:formula1>
            <xm:f>項目!C17:$BGM$524289</xm:f>
          </x14:formula1>
          <xm:sqref>BGU524295:BGU524318</xm:sqref>
        </x14:dataValidation>
        <x14:dataValidation type="list" allowBlank="1" showInputMessage="1" showErrorMessage="1" xr:uid="{C301F235-CB4F-468A-961A-B07A5FA0A959}">
          <x14:formula1>
            <xm:f>項目!C17:$BQI$524289</xm:f>
          </x14:formula1>
          <xm:sqref>BQQ524295:BQQ524318</xm:sqref>
        </x14:dataValidation>
        <x14:dataValidation type="list" allowBlank="1" showInputMessage="1" showErrorMessage="1" xr:uid="{8550E609-B48A-4415-B89C-05A1A79C2AE5}">
          <x14:formula1>
            <xm:f>項目!C17:$CAE$524289</xm:f>
          </x14:formula1>
          <xm:sqref>CAM524295:CAM524318</xm:sqref>
        </x14:dataValidation>
        <x14:dataValidation type="list" allowBlank="1" showInputMessage="1" showErrorMessage="1" xr:uid="{45E158BA-808B-432D-919F-071BCEA1DB40}">
          <x14:formula1>
            <xm:f>項目!C17:$CKA$524289</xm:f>
          </x14:formula1>
          <xm:sqref>CKI524295:CKI524318</xm:sqref>
        </x14:dataValidation>
        <x14:dataValidation type="list" allowBlank="1" showInputMessage="1" showErrorMessage="1" xr:uid="{B521460E-9A4A-4658-9567-8AA7AE039E92}">
          <x14:formula1>
            <xm:f>項目!C17:$CTW$524289</xm:f>
          </x14:formula1>
          <xm:sqref>CUE524295:CUE524318</xm:sqref>
        </x14:dataValidation>
        <x14:dataValidation type="list" allowBlank="1" showInputMessage="1" showErrorMessage="1" xr:uid="{67E286DD-56CA-4B56-9CCC-4A7879563E1D}">
          <x14:formula1>
            <xm:f>項目!C17:$DDS$524289</xm:f>
          </x14:formula1>
          <xm:sqref>DEA524295:DEA524318</xm:sqref>
        </x14:dataValidation>
        <x14:dataValidation type="list" allowBlank="1" showInputMessage="1" showErrorMessage="1" xr:uid="{CCA8E31B-0C7C-4C9E-B734-83EC4F85E5DF}">
          <x14:formula1>
            <xm:f>項目!C17:$DNO$524289</xm:f>
          </x14:formula1>
          <xm:sqref>DNW524295:DNW524318</xm:sqref>
        </x14:dataValidation>
        <x14:dataValidation type="list" allowBlank="1" showInputMessage="1" showErrorMessage="1" xr:uid="{E35CDADB-7542-4621-8E43-155749E7725C}">
          <x14:formula1>
            <xm:f>項目!C17:$DXK$524289</xm:f>
          </x14:formula1>
          <xm:sqref>DXS524295:DXS524318</xm:sqref>
        </x14:dataValidation>
        <x14:dataValidation type="list" allowBlank="1" showInputMessage="1" showErrorMessage="1" xr:uid="{AB5704F5-7DA2-49F4-AF1B-1882CFA05A47}">
          <x14:formula1>
            <xm:f>項目!C17:$EHG$524289</xm:f>
          </x14:formula1>
          <xm:sqref>EHO524295:EHO524318</xm:sqref>
        </x14:dataValidation>
        <x14:dataValidation type="list" allowBlank="1" showInputMessage="1" showErrorMessage="1" xr:uid="{6F4F393A-C1B0-4C71-8C85-AFA621BC1662}">
          <x14:formula1>
            <xm:f>項目!C17:$ERC$524289</xm:f>
          </x14:formula1>
          <xm:sqref>ERK524295:ERK524318</xm:sqref>
        </x14:dataValidation>
        <x14:dataValidation type="list" allowBlank="1" showInputMessage="1" showErrorMessage="1" xr:uid="{8AFB6843-41FB-44A0-B56B-0F6F92115565}">
          <x14:formula1>
            <xm:f>項目!C17:$FAY$524289</xm:f>
          </x14:formula1>
          <xm:sqref>FBG524295:FBG524318</xm:sqref>
        </x14:dataValidation>
        <x14:dataValidation type="list" allowBlank="1" showInputMessage="1" showErrorMessage="1" xr:uid="{57ADF64C-470D-411A-912C-1F5AEA44DEF4}">
          <x14:formula1>
            <xm:f>項目!C17:$FKU$524289</xm:f>
          </x14:formula1>
          <xm:sqref>FLC524295:FLC524318</xm:sqref>
        </x14:dataValidation>
        <x14:dataValidation type="list" allowBlank="1" showInputMessage="1" showErrorMessage="1" xr:uid="{4140F25E-CF39-4798-B8E7-4EDD51DA9AC7}">
          <x14:formula1>
            <xm:f>項目!C17:$FUQ$524289</xm:f>
          </x14:formula1>
          <xm:sqref>FUY524295:FUY524318</xm:sqref>
        </x14:dataValidation>
        <x14:dataValidation type="list" allowBlank="1" showInputMessage="1" showErrorMessage="1" xr:uid="{5230EABD-D285-496F-89A2-F451B1FCF716}">
          <x14:formula1>
            <xm:f>項目!C17:$GEM$524289</xm:f>
          </x14:formula1>
          <xm:sqref>GEU524295:GEU524318</xm:sqref>
        </x14:dataValidation>
        <x14:dataValidation type="list" allowBlank="1" showInputMessage="1" showErrorMessage="1" xr:uid="{B3C7BBF5-BB2A-45BF-863E-896FF6996B1E}">
          <x14:formula1>
            <xm:f>項目!C17:$GOI$524289</xm:f>
          </x14:formula1>
          <xm:sqref>GOQ524295:GOQ524318</xm:sqref>
        </x14:dataValidation>
        <x14:dataValidation type="list" allowBlank="1" showInputMessage="1" showErrorMessage="1" xr:uid="{A59F5BDC-0175-459A-9CBC-67795F4CFB93}">
          <x14:formula1>
            <xm:f>項目!C17:$GYE$524289</xm:f>
          </x14:formula1>
          <xm:sqref>GYM524295:GYM524318</xm:sqref>
        </x14:dataValidation>
        <x14:dataValidation type="list" allowBlank="1" showInputMessage="1" showErrorMessage="1" xr:uid="{E074A6AD-A9AD-4ED9-B414-098B00B9E5E1}">
          <x14:formula1>
            <xm:f>項目!C17:$HIA$524289</xm:f>
          </x14:formula1>
          <xm:sqref>HII524295:HII524318</xm:sqref>
        </x14:dataValidation>
        <x14:dataValidation type="list" allowBlank="1" showInputMessage="1" showErrorMessage="1" xr:uid="{4173D8B4-E0D6-496A-A8FE-A62ACE7D49A1}">
          <x14:formula1>
            <xm:f>項目!C17:$HRW$524289</xm:f>
          </x14:formula1>
          <xm:sqref>HSE524295:HSE524318</xm:sqref>
        </x14:dataValidation>
        <x14:dataValidation type="list" allowBlank="1" showInputMessage="1" showErrorMessage="1" xr:uid="{C7CACECB-AD46-4DD1-B755-95978905B98B}">
          <x14:formula1>
            <xm:f>項目!C17:$IBS$524289</xm:f>
          </x14:formula1>
          <xm:sqref>ICA524295:ICA524318</xm:sqref>
        </x14:dataValidation>
        <x14:dataValidation type="list" allowBlank="1" showInputMessage="1" showErrorMessage="1" xr:uid="{EDC5A6F2-A21D-455C-80DD-99AF0634CBBF}">
          <x14:formula1>
            <xm:f>項目!C17:$ILO$524289</xm:f>
          </x14:formula1>
          <xm:sqref>ILW524295:ILW524318</xm:sqref>
        </x14:dataValidation>
        <x14:dataValidation type="list" allowBlank="1" showInputMessage="1" showErrorMessage="1" xr:uid="{E5BA513D-2E15-43E8-A7ED-664398BAF277}">
          <x14:formula1>
            <xm:f>項目!C17:$IVK$524289</xm:f>
          </x14:formula1>
          <xm:sqref>IVS524295:IVS524318</xm:sqref>
        </x14:dataValidation>
        <x14:dataValidation type="list" allowBlank="1" showInputMessage="1" showErrorMessage="1" xr:uid="{F60B90D7-22B4-4C41-AB6A-578DE5D5D85F}">
          <x14:formula1>
            <xm:f>項目!C17:$JFG$524289</xm:f>
          </x14:formula1>
          <xm:sqref>JFO524295:JFO524318</xm:sqref>
        </x14:dataValidation>
        <x14:dataValidation type="list" allowBlank="1" showInputMessage="1" showErrorMessage="1" xr:uid="{ADF6D651-F44C-436D-9254-726D55854CDF}">
          <x14:formula1>
            <xm:f>項目!C17:$JPC$524289</xm:f>
          </x14:formula1>
          <xm:sqref>JPK524295:JPK524318</xm:sqref>
        </x14:dataValidation>
        <x14:dataValidation type="list" allowBlank="1" showInputMessage="1" showErrorMessage="1" xr:uid="{572ED1E5-D82E-4D4D-A8D2-98977A1FA65D}">
          <x14:formula1>
            <xm:f>項目!C17:$JYY$524289</xm:f>
          </x14:formula1>
          <xm:sqref>JZG524295:JZG524318</xm:sqref>
        </x14:dataValidation>
        <x14:dataValidation type="list" allowBlank="1" showInputMessage="1" showErrorMessage="1" xr:uid="{4EB4C76B-4350-4CFC-BA6C-11F8DBE58E01}">
          <x14:formula1>
            <xm:f>項目!C17:$KIU$524289</xm:f>
          </x14:formula1>
          <xm:sqref>KJC524295:KJC524318</xm:sqref>
        </x14:dataValidation>
        <x14:dataValidation type="list" allowBlank="1" showInputMessage="1" showErrorMessage="1" xr:uid="{8164D520-FBB3-4AF2-8E4D-2D19E6132DCA}">
          <x14:formula1>
            <xm:f>項目!C17:$KSQ$524289</xm:f>
          </x14:formula1>
          <xm:sqref>KSY524295:KSY524318</xm:sqref>
        </x14:dataValidation>
        <x14:dataValidation type="list" allowBlank="1" showInputMessage="1" showErrorMessage="1" xr:uid="{1B21CFE1-4CB4-4F28-A7C7-008CBAF3828A}">
          <x14:formula1>
            <xm:f>項目!C17:$LCM$524289</xm:f>
          </x14:formula1>
          <xm:sqref>LCU524295:LCU524318</xm:sqref>
        </x14:dataValidation>
        <x14:dataValidation type="list" allowBlank="1" showInputMessage="1" showErrorMessage="1" xr:uid="{F47A6265-1C96-4DA9-9783-222B9CA3C76F}">
          <x14:formula1>
            <xm:f>項目!C17:$LMI$524289</xm:f>
          </x14:formula1>
          <xm:sqref>LMQ524295:LMQ524318</xm:sqref>
        </x14:dataValidation>
        <x14:dataValidation type="list" allowBlank="1" showInputMessage="1" showErrorMessage="1" xr:uid="{3833310F-E2B6-43C1-96D6-C66F8FCB3E9B}">
          <x14:formula1>
            <xm:f>項目!C17:$LWE$524289</xm:f>
          </x14:formula1>
          <xm:sqref>LWM524295:LWM524318</xm:sqref>
        </x14:dataValidation>
        <x14:dataValidation type="list" allowBlank="1" showInputMessage="1" showErrorMessage="1" xr:uid="{02599844-9F87-4F4A-801B-795E81C8B7D9}">
          <x14:formula1>
            <xm:f>項目!C17:$MGA$524289</xm:f>
          </x14:formula1>
          <xm:sqref>MGI524295:MGI524318</xm:sqref>
        </x14:dataValidation>
        <x14:dataValidation type="list" allowBlank="1" showInputMessage="1" showErrorMessage="1" xr:uid="{119B112B-08E6-49C3-AB2F-133A2103E1C8}">
          <x14:formula1>
            <xm:f>項目!C17:$MPW$524289</xm:f>
          </x14:formula1>
          <xm:sqref>MQE524295:MQE524318</xm:sqref>
        </x14:dataValidation>
        <x14:dataValidation type="list" allowBlank="1" showInputMessage="1" showErrorMessage="1" xr:uid="{DC3B5C97-E002-489A-AE73-80C6E9546DCA}">
          <x14:formula1>
            <xm:f>項目!C17:$MZS$524289</xm:f>
          </x14:formula1>
          <xm:sqref>NAA524295:NAA524318</xm:sqref>
        </x14:dataValidation>
        <x14:dataValidation type="list" allowBlank="1" showInputMessage="1" showErrorMessage="1" xr:uid="{60A7BD37-33E6-4619-90A3-CFA08248534B}">
          <x14:formula1>
            <xm:f>項目!C17:$NJO$524289</xm:f>
          </x14:formula1>
          <xm:sqref>NJW524295:NJW524318</xm:sqref>
        </x14:dataValidation>
        <x14:dataValidation type="list" allowBlank="1" showInputMessage="1" showErrorMessage="1" xr:uid="{AD15B711-7AFF-4AC6-BF87-669514629F52}">
          <x14:formula1>
            <xm:f>項目!C17:$NTK$524289</xm:f>
          </x14:formula1>
          <xm:sqref>NTS524295:NTS524318</xm:sqref>
        </x14:dataValidation>
        <x14:dataValidation type="list" allowBlank="1" showInputMessage="1" showErrorMessage="1" xr:uid="{89E2C583-1E97-44DC-B9DE-D578A89A9D45}">
          <x14:formula1>
            <xm:f>項目!C17:$ODG$524289</xm:f>
          </x14:formula1>
          <xm:sqref>ODO524295:ODO524318</xm:sqref>
        </x14:dataValidation>
        <x14:dataValidation type="list" allowBlank="1" showInputMessage="1" showErrorMessage="1" xr:uid="{7CA3D518-0588-4F33-AA7D-4D41227A3D4A}">
          <x14:formula1>
            <xm:f>項目!C17:$ONC$524289</xm:f>
          </x14:formula1>
          <xm:sqref>ONK524295:ONK524318</xm:sqref>
        </x14:dataValidation>
        <x14:dataValidation type="list" allowBlank="1" showInputMessage="1" showErrorMessage="1" xr:uid="{EF29584E-6D73-4460-BE2A-484E45CB2FD7}">
          <x14:formula1>
            <xm:f>項目!C17:$OWY$524289</xm:f>
          </x14:formula1>
          <xm:sqref>OXG524295:OXG524318</xm:sqref>
        </x14:dataValidation>
        <x14:dataValidation type="list" allowBlank="1" showInputMessage="1" showErrorMessage="1" xr:uid="{36F7C586-B01C-42DF-AE21-2107C9029B3F}">
          <x14:formula1>
            <xm:f>項目!C17:$PGU$524289</xm:f>
          </x14:formula1>
          <xm:sqref>PHC524295:PHC524318</xm:sqref>
        </x14:dataValidation>
        <x14:dataValidation type="list" allowBlank="1" showInputMessage="1" showErrorMessage="1" xr:uid="{E9FDD525-2F3F-4DD9-9CB1-7108250ED6F7}">
          <x14:formula1>
            <xm:f>項目!C17:$PQQ$524289</xm:f>
          </x14:formula1>
          <xm:sqref>PQY524295:PQY524318</xm:sqref>
        </x14:dataValidation>
        <x14:dataValidation type="list" allowBlank="1" showInputMessage="1" showErrorMessage="1" xr:uid="{74AF6778-6F5C-40F1-B675-915E6761EE7C}">
          <x14:formula1>
            <xm:f>項目!C17:$QAM$524289</xm:f>
          </x14:formula1>
          <xm:sqref>QAU524295:QAU524318</xm:sqref>
        </x14:dataValidation>
        <x14:dataValidation type="list" allowBlank="1" showInputMessage="1" showErrorMessage="1" xr:uid="{FF28E2FF-CB0A-4617-B075-56355FFDB8F8}">
          <x14:formula1>
            <xm:f>項目!C17:$QKI$524289</xm:f>
          </x14:formula1>
          <xm:sqref>QKQ524295:QKQ524318</xm:sqref>
        </x14:dataValidation>
        <x14:dataValidation type="list" allowBlank="1" showInputMessage="1" showErrorMessage="1" xr:uid="{0D136DEA-068B-4FB0-B6E4-FA9C28D87AA2}">
          <x14:formula1>
            <xm:f>項目!C17:$QUE$524289</xm:f>
          </x14:formula1>
          <xm:sqref>QUM524295:QUM524318</xm:sqref>
        </x14:dataValidation>
        <x14:dataValidation type="list" allowBlank="1" showInputMessage="1" showErrorMessage="1" xr:uid="{9F886B71-7164-4E81-B850-4D41052450F8}">
          <x14:formula1>
            <xm:f>項目!C17:$REA$524289</xm:f>
          </x14:formula1>
          <xm:sqref>REI524295:REI524318</xm:sqref>
        </x14:dataValidation>
        <x14:dataValidation type="list" allowBlank="1" showInputMessage="1" showErrorMessage="1" xr:uid="{D81D3DEF-7DEA-4796-90A5-907B96EB728B}">
          <x14:formula1>
            <xm:f>項目!C17:$RNW$524289</xm:f>
          </x14:formula1>
          <xm:sqref>ROE524295:ROE524318</xm:sqref>
        </x14:dataValidation>
        <x14:dataValidation type="list" allowBlank="1" showInputMessage="1" showErrorMessage="1" xr:uid="{112CE1C0-FDBD-441B-9FB3-F098550A1F49}">
          <x14:formula1>
            <xm:f>項目!C17:$RXS$524289</xm:f>
          </x14:formula1>
          <xm:sqref>RYA524295:RYA524318</xm:sqref>
        </x14:dataValidation>
        <x14:dataValidation type="list" allowBlank="1" showInputMessage="1" showErrorMessage="1" xr:uid="{907B7AA1-E100-4A58-B018-5BB998659293}">
          <x14:formula1>
            <xm:f>項目!C17:$SHO$524289</xm:f>
          </x14:formula1>
          <xm:sqref>SHW524295:SHW524318</xm:sqref>
        </x14:dataValidation>
        <x14:dataValidation type="list" allowBlank="1" showInputMessage="1" showErrorMessage="1" xr:uid="{A8B65F34-AF54-494D-B746-58B0850D4457}">
          <x14:formula1>
            <xm:f>項目!C17:$SRK$524289</xm:f>
          </x14:formula1>
          <xm:sqref>SRS524295:SRS524318</xm:sqref>
        </x14:dataValidation>
        <x14:dataValidation type="list" allowBlank="1" showInputMessage="1" showErrorMessage="1" xr:uid="{B9759709-0383-4C34-A547-9CB5FB331CA0}">
          <x14:formula1>
            <xm:f>項目!C17:$TBG$524289</xm:f>
          </x14:formula1>
          <xm:sqref>TBO524295:TBO524318</xm:sqref>
        </x14:dataValidation>
        <x14:dataValidation type="list" allowBlank="1" showInputMessage="1" showErrorMessage="1" xr:uid="{0E73458B-81D3-4808-B6B4-5023F1C63A2A}">
          <x14:formula1>
            <xm:f>項目!C17:$TLC$524289</xm:f>
          </x14:formula1>
          <xm:sqref>TLK524295:TLK524318</xm:sqref>
        </x14:dataValidation>
        <x14:dataValidation type="list" allowBlank="1" showInputMessage="1" showErrorMessage="1" xr:uid="{F9A74040-8050-4010-93CA-3F6FEAD040F8}">
          <x14:formula1>
            <xm:f>項目!C17:$TUY$524289</xm:f>
          </x14:formula1>
          <xm:sqref>TVG524295:TVG524318</xm:sqref>
        </x14:dataValidation>
        <x14:dataValidation type="list" allowBlank="1" showInputMessage="1" showErrorMessage="1" xr:uid="{08FCB041-32B6-497F-BC4F-D5D9934CA3D5}">
          <x14:formula1>
            <xm:f>項目!C17:$UEU$524289</xm:f>
          </x14:formula1>
          <xm:sqref>UFC524295:UFC524318</xm:sqref>
        </x14:dataValidation>
        <x14:dataValidation type="list" allowBlank="1" showInputMessage="1" showErrorMessage="1" xr:uid="{0E05478B-9ABA-4826-8E92-F83932F881C7}">
          <x14:formula1>
            <xm:f>項目!C17:$UOQ$524289</xm:f>
          </x14:formula1>
          <xm:sqref>UOY524295:UOY524318</xm:sqref>
        </x14:dataValidation>
        <x14:dataValidation type="list" allowBlank="1" showInputMessage="1" showErrorMessage="1" xr:uid="{487E0557-FFB3-4697-9C8F-3348CC9BE18B}">
          <x14:formula1>
            <xm:f>項目!C17:$UYM$524289</xm:f>
          </x14:formula1>
          <xm:sqref>UYU524295:UYU524318</xm:sqref>
        </x14:dataValidation>
        <x14:dataValidation type="list" allowBlank="1" showInputMessage="1" showErrorMessage="1" xr:uid="{4205290A-7307-4D1D-8C6E-C0C7A0372022}">
          <x14:formula1>
            <xm:f>項目!C17:$VII$524289</xm:f>
          </x14:formula1>
          <xm:sqref>VIQ524295:VIQ524318</xm:sqref>
        </x14:dataValidation>
        <x14:dataValidation type="list" allowBlank="1" showInputMessage="1" showErrorMessage="1" xr:uid="{F92D353D-3C79-410C-8547-CB0AB74704F0}">
          <x14:formula1>
            <xm:f>項目!C17:$VSE$524289</xm:f>
          </x14:formula1>
          <xm:sqref>VSM524295:VSM524318</xm:sqref>
        </x14:dataValidation>
        <x14:dataValidation type="list" allowBlank="1" showInputMessage="1" showErrorMessage="1" xr:uid="{87B9EC17-7814-49CA-A906-2949471C238B}">
          <x14:formula1>
            <xm:f>項目!C17:$WCA$524289</xm:f>
          </x14:formula1>
          <xm:sqref>WCI524295:WCI524318</xm:sqref>
        </x14:dataValidation>
        <x14:dataValidation type="list" allowBlank="1" showInputMessage="1" showErrorMessage="1" xr:uid="{4D64E4F8-3992-4E3B-9371-9ED4DB7B99AC}">
          <x14:formula1>
            <xm:f>項目!C17:$WLW$524289</xm:f>
          </x14:formula1>
          <xm:sqref>WME524295:WME524318</xm:sqref>
        </x14:dataValidation>
        <x14:dataValidation type="list" allowBlank="1" showInputMessage="1" showErrorMessage="1" xr:uid="{269F92D3-B222-4B8C-820F-AE2635B6FAB1}">
          <x14:formula1>
            <xm:f>項目!C17:$WVS$524289</xm:f>
          </x14:formula1>
          <xm:sqref>WWA524295:WWA524318</xm:sqref>
        </x14:dataValidation>
        <x14:dataValidation type="list" allowBlank="1" showInputMessage="1" showErrorMessage="1" xr:uid="{C7FFFDFD-681A-4C60-A4AA-808AFC4E997C}">
          <x14:formula1>
            <xm:f>項目!C17:$M$589825</xm:f>
          </x14:formula1>
          <xm:sqref>S589831:S589854</xm:sqref>
        </x14:dataValidation>
        <x14:dataValidation type="list" allowBlank="1" showInputMessage="1" showErrorMessage="1" xr:uid="{80974CCC-7526-4037-94F6-D65BE89CE4E3}">
          <x14:formula1>
            <xm:f>項目!C17:$JG$589825</xm:f>
          </x14:formula1>
          <xm:sqref>JO589831:JO589854</xm:sqref>
        </x14:dataValidation>
        <x14:dataValidation type="list" allowBlank="1" showInputMessage="1" showErrorMessage="1" xr:uid="{1A9D3084-8D02-4151-8911-4024264C4ADD}">
          <x14:formula1>
            <xm:f>項目!C17:$TC$589825</xm:f>
          </x14:formula1>
          <xm:sqref>TK589831:TK589854</xm:sqref>
        </x14:dataValidation>
        <x14:dataValidation type="list" allowBlank="1" showInputMessage="1" showErrorMessage="1" xr:uid="{C7BC4E0D-0199-4D09-89A4-29A25F1C7CB8}">
          <x14:formula1>
            <xm:f>項目!C17:$ACY$589825</xm:f>
          </x14:formula1>
          <xm:sqref>ADG589831:ADG589854</xm:sqref>
        </x14:dataValidation>
        <x14:dataValidation type="list" allowBlank="1" showInputMessage="1" showErrorMessage="1" xr:uid="{20894DDE-0475-4A6E-B6A6-C8CCF0FFE595}">
          <x14:formula1>
            <xm:f>項目!C17:$AMU$589825</xm:f>
          </x14:formula1>
          <xm:sqref>ANC589831:ANC589854</xm:sqref>
        </x14:dataValidation>
        <x14:dataValidation type="list" allowBlank="1" showInputMessage="1" showErrorMessage="1" xr:uid="{9F1DE8B7-57C2-43C5-B1DC-B94D0DBAAD72}">
          <x14:formula1>
            <xm:f>項目!C17:$AWQ$589825</xm:f>
          </x14:formula1>
          <xm:sqref>AWY589831:AWY589854</xm:sqref>
        </x14:dataValidation>
        <x14:dataValidation type="list" allowBlank="1" showInputMessage="1" showErrorMessage="1" xr:uid="{F80BA1EE-779B-4290-82E0-7942D8D006E6}">
          <x14:formula1>
            <xm:f>項目!C17:$BGM$589825</xm:f>
          </x14:formula1>
          <xm:sqref>BGU589831:BGU589854</xm:sqref>
        </x14:dataValidation>
        <x14:dataValidation type="list" allowBlank="1" showInputMessage="1" showErrorMessage="1" xr:uid="{E5345A8A-1C3A-4F58-B91E-3F81E42D0771}">
          <x14:formula1>
            <xm:f>項目!C17:$BQI$589825</xm:f>
          </x14:formula1>
          <xm:sqref>BQQ589831:BQQ589854</xm:sqref>
        </x14:dataValidation>
        <x14:dataValidation type="list" allowBlank="1" showInputMessage="1" showErrorMessage="1" xr:uid="{38EED948-D10D-4BD7-BF69-C2237D2429EF}">
          <x14:formula1>
            <xm:f>項目!C17:$CAE$589825</xm:f>
          </x14:formula1>
          <xm:sqref>CAM589831:CAM589854</xm:sqref>
        </x14:dataValidation>
        <x14:dataValidation type="list" allowBlank="1" showInputMessage="1" showErrorMessage="1" xr:uid="{5F22BA8C-9893-43A7-ADD4-34505D6626C3}">
          <x14:formula1>
            <xm:f>項目!C17:$CKA$589825</xm:f>
          </x14:formula1>
          <xm:sqref>CKI589831:CKI589854</xm:sqref>
        </x14:dataValidation>
        <x14:dataValidation type="list" allowBlank="1" showInputMessage="1" showErrorMessage="1" xr:uid="{8FF592A8-7DFE-47E7-88EB-CEEB5CB000F6}">
          <x14:formula1>
            <xm:f>項目!C17:$CTW$589825</xm:f>
          </x14:formula1>
          <xm:sqref>CUE589831:CUE589854</xm:sqref>
        </x14:dataValidation>
        <x14:dataValidation type="list" allowBlank="1" showInputMessage="1" showErrorMessage="1" xr:uid="{CACD1650-AA8B-4BAE-9C15-1233BF347B86}">
          <x14:formula1>
            <xm:f>項目!C17:$DDS$589825</xm:f>
          </x14:formula1>
          <xm:sqref>DEA589831:DEA589854</xm:sqref>
        </x14:dataValidation>
        <x14:dataValidation type="list" allowBlank="1" showInputMessage="1" showErrorMessage="1" xr:uid="{60B765DC-E586-43AE-9C33-42114ADC07DA}">
          <x14:formula1>
            <xm:f>項目!C17:$DNO$589825</xm:f>
          </x14:formula1>
          <xm:sqref>DNW589831:DNW589854</xm:sqref>
        </x14:dataValidation>
        <x14:dataValidation type="list" allowBlank="1" showInputMessage="1" showErrorMessage="1" xr:uid="{8E0AB033-AB6E-4F1E-9829-A4126907E823}">
          <x14:formula1>
            <xm:f>項目!C17:$DXK$589825</xm:f>
          </x14:formula1>
          <xm:sqref>DXS589831:DXS589854</xm:sqref>
        </x14:dataValidation>
        <x14:dataValidation type="list" allowBlank="1" showInputMessage="1" showErrorMessage="1" xr:uid="{873DE89C-DE26-4B10-B22F-588F786ACC05}">
          <x14:formula1>
            <xm:f>項目!C17:$EHG$589825</xm:f>
          </x14:formula1>
          <xm:sqref>EHO589831:EHO589854</xm:sqref>
        </x14:dataValidation>
        <x14:dataValidation type="list" allowBlank="1" showInputMessage="1" showErrorMessage="1" xr:uid="{B1AF1754-0879-4A6C-908A-8F81CC068C53}">
          <x14:formula1>
            <xm:f>項目!C17:$ERC$589825</xm:f>
          </x14:formula1>
          <xm:sqref>ERK589831:ERK589854</xm:sqref>
        </x14:dataValidation>
        <x14:dataValidation type="list" allowBlank="1" showInputMessage="1" showErrorMessage="1" xr:uid="{7B431C9A-6C49-45D6-82DB-43400821F454}">
          <x14:formula1>
            <xm:f>項目!C17:$FAY$589825</xm:f>
          </x14:formula1>
          <xm:sqref>FBG589831:FBG589854</xm:sqref>
        </x14:dataValidation>
        <x14:dataValidation type="list" allowBlank="1" showInputMessage="1" showErrorMessage="1" xr:uid="{948893FC-D66C-45E1-B9B1-0E530EFA8827}">
          <x14:formula1>
            <xm:f>項目!C17:$FKU$589825</xm:f>
          </x14:formula1>
          <xm:sqref>FLC589831:FLC589854</xm:sqref>
        </x14:dataValidation>
        <x14:dataValidation type="list" allowBlank="1" showInputMessage="1" showErrorMessage="1" xr:uid="{625943F8-01B4-418B-B7F9-E8FED5F56781}">
          <x14:formula1>
            <xm:f>項目!C17:$FUQ$589825</xm:f>
          </x14:formula1>
          <xm:sqref>FUY589831:FUY589854</xm:sqref>
        </x14:dataValidation>
        <x14:dataValidation type="list" allowBlank="1" showInputMessage="1" showErrorMessage="1" xr:uid="{48CF18D7-0E12-4934-B082-3BAB694864D9}">
          <x14:formula1>
            <xm:f>項目!C17:$GEM$589825</xm:f>
          </x14:formula1>
          <xm:sqref>GEU589831:GEU589854</xm:sqref>
        </x14:dataValidation>
        <x14:dataValidation type="list" allowBlank="1" showInputMessage="1" showErrorMessage="1" xr:uid="{102E3159-BB64-4FE6-A1E1-50550DBB54B2}">
          <x14:formula1>
            <xm:f>項目!C17:$GOI$589825</xm:f>
          </x14:formula1>
          <xm:sqref>GOQ589831:GOQ589854</xm:sqref>
        </x14:dataValidation>
        <x14:dataValidation type="list" allowBlank="1" showInputMessage="1" showErrorMessage="1" xr:uid="{D32809A2-0AAD-451F-BC49-591427E3844F}">
          <x14:formula1>
            <xm:f>項目!C17:$GYE$589825</xm:f>
          </x14:formula1>
          <xm:sqref>GYM589831:GYM589854</xm:sqref>
        </x14:dataValidation>
        <x14:dataValidation type="list" allowBlank="1" showInputMessage="1" showErrorMessage="1" xr:uid="{9389CBC8-B9D2-4D12-B0CB-D3783D9EEBDF}">
          <x14:formula1>
            <xm:f>項目!C17:$HIA$589825</xm:f>
          </x14:formula1>
          <xm:sqref>HII589831:HII589854</xm:sqref>
        </x14:dataValidation>
        <x14:dataValidation type="list" allowBlank="1" showInputMessage="1" showErrorMessage="1" xr:uid="{78BBDBC4-5A39-4481-A6DB-A040497EF786}">
          <x14:formula1>
            <xm:f>項目!C17:$HRW$589825</xm:f>
          </x14:formula1>
          <xm:sqref>HSE589831:HSE589854</xm:sqref>
        </x14:dataValidation>
        <x14:dataValidation type="list" allowBlank="1" showInputMessage="1" showErrorMessage="1" xr:uid="{F435D6ED-489D-4EA8-B429-42771A38A0FF}">
          <x14:formula1>
            <xm:f>項目!C17:$IBS$589825</xm:f>
          </x14:formula1>
          <xm:sqref>ICA589831:ICA589854</xm:sqref>
        </x14:dataValidation>
        <x14:dataValidation type="list" allowBlank="1" showInputMessage="1" showErrorMessage="1" xr:uid="{3313DD7D-2EC5-4AA2-8F9C-46E91817E86F}">
          <x14:formula1>
            <xm:f>項目!C17:$ILO$589825</xm:f>
          </x14:formula1>
          <xm:sqref>ILW589831:ILW589854</xm:sqref>
        </x14:dataValidation>
        <x14:dataValidation type="list" allowBlank="1" showInputMessage="1" showErrorMessage="1" xr:uid="{AE68E719-30FD-475E-B050-9C3890220A06}">
          <x14:formula1>
            <xm:f>項目!C17:$IVK$589825</xm:f>
          </x14:formula1>
          <xm:sqref>IVS589831:IVS589854</xm:sqref>
        </x14:dataValidation>
        <x14:dataValidation type="list" allowBlank="1" showInputMessage="1" showErrorMessage="1" xr:uid="{69185725-BF0A-432F-A200-B7B6C7A64789}">
          <x14:formula1>
            <xm:f>項目!C17:$JFG$589825</xm:f>
          </x14:formula1>
          <xm:sqref>JFO589831:JFO589854</xm:sqref>
        </x14:dataValidation>
        <x14:dataValidation type="list" allowBlank="1" showInputMessage="1" showErrorMessage="1" xr:uid="{C689D2E2-B184-4C10-B3DC-AEFCED5BADF8}">
          <x14:formula1>
            <xm:f>項目!C17:$JPC$589825</xm:f>
          </x14:formula1>
          <xm:sqref>JPK589831:JPK589854</xm:sqref>
        </x14:dataValidation>
        <x14:dataValidation type="list" allowBlank="1" showInputMessage="1" showErrorMessage="1" xr:uid="{3E7E70E5-B8A3-4B7B-B81C-76EDCCBFD170}">
          <x14:formula1>
            <xm:f>項目!C17:$JYY$589825</xm:f>
          </x14:formula1>
          <xm:sqref>JZG589831:JZG589854</xm:sqref>
        </x14:dataValidation>
        <x14:dataValidation type="list" allowBlank="1" showInputMessage="1" showErrorMessage="1" xr:uid="{11D25EEA-09FC-4482-B289-04D45BE336EA}">
          <x14:formula1>
            <xm:f>項目!C17:$KIU$589825</xm:f>
          </x14:formula1>
          <xm:sqref>KJC589831:KJC589854</xm:sqref>
        </x14:dataValidation>
        <x14:dataValidation type="list" allowBlank="1" showInputMessage="1" showErrorMessage="1" xr:uid="{739E7A4D-5B18-4D39-80C7-3BFF1F3AA22C}">
          <x14:formula1>
            <xm:f>項目!C17:$KSQ$589825</xm:f>
          </x14:formula1>
          <xm:sqref>KSY589831:KSY589854</xm:sqref>
        </x14:dataValidation>
        <x14:dataValidation type="list" allowBlank="1" showInputMessage="1" showErrorMessage="1" xr:uid="{65E2A554-F863-4490-A694-8EDAB9F70577}">
          <x14:formula1>
            <xm:f>項目!C17:$LCM$589825</xm:f>
          </x14:formula1>
          <xm:sqref>LCU589831:LCU589854</xm:sqref>
        </x14:dataValidation>
        <x14:dataValidation type="list" allowBlank="1" showInputMessage="1" showErrorMessage="1" xr:uid="{AFD8B9DF-D3B5-494E-BCEF-D51C9E7D705C}">
          <x14:formula1>
            <xm:f>項目!C17:$LMI$589825</xm:f>
          </x14:formula1>
          <xm:sqref>LMQ589831:LMQ589854</xm:sqref>
        </x14:dataValidation>
        <x14:dataValidation type="list" allowBlank="1" showInputMessage="1" showErrorMessage="1" xr:uid="{0E223A7C-BC37-48F8-8D1B-B11B0C8C17BB}">
          <x14:formula1>
            <xm:f>項目!C17:$LWE$589825</xm:f>
          </x14:formula1>
          <xm:sqref>LWM589831:LWM589854</xm:sqref>
        </x14:dataValidation>
        <x14:dataValidation type="list" allowBlank="1" showInputMessage="1" showErrorMessage="1" xr:uid="{AD86395F-CE34-49E5-A353-4893577B0CBC}">
          <x14:formula1>
            <xm:f>項目!C17:$MGA$589825</xm:f>
          </x14:formula1>
          <xm:sqref>MGI589831:MGI589854</xm:sqref>
        </x14:dataValidation>
        <x14:dataValidation type="list" allowBlank="1" showInputMessage="1" showErrorMessage="1" xr:uid="{5CC9B58B-C62D-416E-A3B0-2E2D868AB97A}">
          <x14:formula1>
            <xm:f>項目!C17:$MPW$589825</xm:f>
          </x14:formula1>
          <xm:sqref>MQE589831:MQE589854</xm:sqref>
        </x14:dataValidation>
        <x14:dataValidation type="list" allowBlank="1" showInputMessage="1" showErrorMessage="1" xr:uid="{FC5AF291-17F2-4DA0-8DEE-CACE822A82EC}">
          <x14:formula1>
            <xm:f>項目!C17:$MZS$589825</xm:f>
          </x14:formula1>
          <xm:sqref>NAA589831:NAA589854</xm:sqref>
        </x14:dataValidation>
        <x14:dataValidation type="list" allowBlank="1" showInputMessage="1" showErrorMessage="1" xr:uid="{83C54043-4BFD-4AF2-8189-59D5A94AC8F6}">
          <x14:formula1>
            <xm:f>項目!C17:$NJO$589825</xm:f>
          </x14:formula1>
          <xm:sqref>NJW589831:NJW589854</xm:sqref>
        </x14:dataValidation>
        <x14:dataValidation type="list" allowBlank="1" showInputMessage="1" showErrorMessage="1" xr:uid="{14A90E92-799B-4554-90C9-26CA66765734}">
          <x14:formula1>
            <xm:f>項目!C17:$NTK$589825</xm:f>
          </x14:formula1>
          <xm:sqref>NTS589831:NTS589854</xm:sqref>
        </x14:dataValidation>
        <x14:dataValidation type="list" allowBlank="1" showInputMessage="1" showErrorMessage="1" xr:uid="{D76DAD25-1A91-4B22-AA2B-AB3C41D68F7D}">
          <x14:formula1>
            <xm:f>項目!C17:$ODG$589825</xm:f>
          </x14:formula1>
          <xm:sqref>ODO589831:ODO589854</xm:sqref>
        </x14:dataValidation>
        <x14:dataValidation type="list" allowBlank="1" showInputMessage="1" showErrorMessage="1" xr:uid="{DB7B4A6B-B974-4EAD-B2F1-A8FF1148BFB1}">
          <x14:formula1>
            <xm:f>項目!C17:$ONC$589825</xm:f>
          </x14:formula1>
          <xm:sqref>ONK589831:ONK589854</xm:sqref>
        </x14:dataValidation>
        <x14:dataValidation type="list" allowBlank="1" showInputMessage="1" showErrorMessage="1" xr:uid="{8115495B-C279-4772-91BA-3C6172D0523F}">
          <x14:formula1>
            <xm:f>項目!C17:$OWY$589825</xm:f>
          </x14:formula1>
          <xm:sqref>OXG589831:OXG589854</xm:sqref>
        </x14:dataValidation>
        <x14:dataValidation type="list" allowBlank="1" showInputMessage="1" showErrorMessage="1" xr:uid="{3C0C7B1C-FB57-47ED-8067-920BB955B316}">
          <x14:formula1>
            <xm:f>項目!C17:$PGU$589825</xm:f>
          </x14:formula1>
          <xm:sqref>PHC589831:PHC589854</xm:sqref>
        </x14:dataValidation>
        <x14:dataValidation type="list" allowBlank="1" showInputMessage="1" showErrorMessage="1" xr:uid="{2037F55B-7AA4-4F25-9E44-D9F6084CCD7A}">
          <x14:formula1>
            <xm:f>項目!C17:$PQQ$589825</xm:f>
          </x14:formula1>
          <xm:sqref>PQY589831:PQY589854</xm:sqref>
        </x14:dataValidation>
        <x14:dataValidation type="list" allowBlank="1" showInputMessage="1" showErrorMessage="1" xr:uid="{F85EC762-7BA9-4D0B-A964-B743621B71E8}">
          <x14:formula1>
            <xm:f>項目!C17:$QAM$589825</xm:f>
          </x14:formula1>
          <xm:sqref>QAU589831:QAU589854</xm:sqref>
        </x14:dataValidation>
        <x14:dataValidation type="list" allowBlank="1" showInputMessage="1" showErrorMessage="1" xr:uid="{4C4B7242-3BF7-4510-894F-624BF304742C}">
          <x14:formula1>
            <xm:f>項目!C17:$QKI$589825</xm:f>
          </x14:formula1>
          <xm:sqref>QKQ589831:QKQ589854</xm:sqref>
        </x14:dataValidation>
        <x14:dataValidation type="list" allowBlank="1" showInputMessage="1" showErrorMessage="1" xr:uid="{51AD1A94-E6BC-4BA1-AD3D-689FDD5470CB}">
          <x14:formula1>
            <xm:f>項目!C17:$QUE$589825</xm:f>
          </x14:formula1>
          <xm:sqref>QUM589831:QUM589854</xm:sqref>
        </x14:dataValidation>
        <x14:dataValidation type="list" allowBlank="1" showInputMessage="1" showErrorMessage="1" xr:uid="{851BBB68-C444-4B98-B025-00C03A646D70}">
          <x14:formula1>
            <xm:f>項目!C17:$REA$589825</xm:f>
          </x14:formula1>
          <xm:sqref>REI589831:REI589854</xm:sqref>
        </x14:dataValidation>
        <x14:dataValidation type="list" allowBlank="1" showInputMessage="1" showErrorMessage="1" xr:uid="{A2A507C2-D7F5-4BA9-AC48-3EA055A03E50}">
          <x14:formula1>
            <xm:f>項目!C17:$RNW$589825</xm:f>
          </x14:formula1>
          <xm:sqref>ROE589831:ROE589854</xm:sqref>
        </x14:dataValidation>
        <x14:dataValidation type="list" allowBlank="1" showInputMessage="1" showErrorMessage="1" xr:uid="{5E60AFAC-377B-43CC-BAEF-93AEBC89BACC}">
          <x14:formula1>
            <xm:f>項目!C17:$RXS$589825</xm:f>
          </x14:formula1>
          <xm:sqref>RYA589831:RYA589854</xm:sqref>
        </x14:dataValidation>
        <x14:dataValidation type="list" allowBlank="1" showInputMessage="1" showErrorMessage="1" xr:uid="{AD55D0F3-8C52-46CE-BAC5-C0B00C7403E3}">
          <x14:formula1>
            <xm:f>項目!C17:$SHO$589825</xm:f>
          </x14:formula1>
          <xm:sqref>SHW589831:SHW589854</xm:sqref>
        </x14:dataValidation>
        <x14:dataValidation type="list" allowBlank="1" showInputMessage="1" showErrorMessage="1" xr:uid="{9B06112F-65C4-4626-9652-BFE95BE6AF5C}">
          <x14:formula1>
            <xm:f>項目!C17:$SRK$589825</xm:f>
          </x14:formula1>
          <xm:sqref>SRS589831:SRS589854</xm:sqref>
        </x14:dataValidation>
        <x14:dataValidation type="list" allowBlank="1" showInputMessage="1" showErrorMessage="1" xr:uid="{6313C4C4-CB8D-4C1B-B8BF-734384ED33D8}">
          <x14:formula1>
            <xm:f>項目!C17:$TBG$589825</xm:f>
          </x14:formula1>
          <xm:sqref>TBO589831:TBO589854</xm:sqref>
        </x14:dataValidation>
        <x14:dataValidation type="list" allowBlank="1" showInputMessage="1" showErrorMessage="1" xr:uid="{3D36787D-3337-4C35-BF9A-BEFE929AB2F8}">
          <x14:formula1>
            <xm:f>項目!C17:$TLC$589825</xm:f>
          </x14:formula1>
          <xm:sqref>TLK589831:TLK589854</xm:sqref>
        </x14:dataValidation>
        <x14:dataValidation type="list" allowBlank="1" showInputMessage="1" showErrorMessage="1" xr:uid="{EFB9924B-55D3-4B11-8E6A-82844F29D512}">
          <x14:formula1>
            <xm:f>項目!C17:$TUY$589825</xm:f>
          </x14:formula1>
          <xm:sqref>TVG589831:TVG589854</xm:sqref>
        </x14:dataValidation>
        <x14:dataValidation type="list" allowBlank="1" showInputMessage="1" showErrorMessage="1" xr:uid="{742248F1-3067-4FBC-951A-82A57ED6193A}">
          <x14:formula1>
            <xm:f>項目!C17:$UEU$589825</xm:f>
          </x14:formula1>
          <xm:sqref>UFC589831:UFC589854</xm:sqref>
        </x14:dataValidation>
        <x14:dataValidation type="list" allowBlank="1" showInputMessage="1" showErrorMessage="1" xr:uid="{86B00197-EC49-4F26-811C-ADECB2D2154D}">
          <x14:formula1>
            <xm:f>項目!C17:$UOQ$589825</xm:f>
          </x14:formula1>
          <xm:sqref>UOY589831:UOY589854</xm:sqref>
        </x14:dataValidation>
        <x14:dataValidation type="list" allowBlank="1" showInputMessage="1" showErrorMessage="1" xr:uid="{D5174D5A-0EB6-447C-B010-DF5346CB5BCA}">
          <x14:formula1>
            <xm:f>項目!C17:$UYM$589825</xm:f>
          </x14:formula1>
          <xm:sqref>UYU589831:UYU589854</xm:sqref>
        </x14:dataValidation>
        <x14:dataValidation type="list" allowBlank="1" showInputMessage="1" showErrorMessage="1" xr:uid="{E6511800-45FC-4E2D-AF98-C075A298BCA7}">
          <x14:formula1>
            <xm:f>項目!C17:$VII$589825</xm:f>
          </x14:formula1>
          <xm:sqref>VIQ589831:VIQ589854</xm:sqref>
        </x14:dataValidation>
        <x14:dataValidation type="list" allowBlank="1" showInputMessage="1" showErrorMessage="1" xr:uid="{DACF5F3F-8898-41CA-AAD3-B8AC89D26BAC}">
          <x14:formula1>
            <xm:f>項目!C17:$VSE$589825</xm:f>
          </x14:formula1>
          <xm:sqref>VSM589831:VSM589854</xm:sqref>
        </x14:dataValidation>
        <x14:dataValidation type="list" allowBlank="1" showInputMessage="1" showErrorMessage="1" xr:uid="{CE46337C-F1A5-401B-A1FD-B5FC52F51DB0}">
          <x14:formula1>
            <xm:f>項目!C17:$WCA$589825</xm:f>
          </x14:formula1>
          <xm:sqref>WCI589831:WCI589854</xm:sqref>
        </x14:dataValidation>
        <x14:dataValidation type="list" allowBlank="1" showInputMessage="1" showErrorMessage="1" xr:uid="{8F8E4300-032A-4537-A367-CF629A56FE56}">
          <x14:formula1>
            <xm:f>項目!C17:$WLW$589825</xm:f>
          </x14:formula1>
          <xm:sqref>WME589831:WME589854</xm:sqref>
        </x14:dataValidation>
        <x14:dataValidation type="list" allowBlank="1" showInputMessage="1" showErrorMessage="1" xr:uid="{E1BC6FED-B58F-4C95-8E76-924E5CC3FEAE}">
          <x14:formula1>
            <xm:f>項目!C17:$WVS$589825</xm:f>
          </x14:formula1>
          <xm:sqref>WWA589831:WWA589854</xm:sqref>
        </x14:dataValidation>
        <x14:dataValidation type="list" allowBlank="1" showInputMessage="1" showErrorMessage="1" xr:uid="{75FD3C4C-635D-4374-9A9A-700A66C2DA86}">
          <x14:formula1>
            <xm:f>項目!C17:$M$655361</xm:f>
          </x14:formula1>
          <xm:sqref>S655367:S655390</xm:sqref>
        </x14:dataValidation>
        <x14:dataValidation type="list" allowBlank="1" showInputMessage="1" showErrorMessage="1" xr:uid="{CB6C79D6-AC40-49B7-AF37-5FCCD05E08E7}">
          <x14:formula1>
            <xm:f>項目!C17:$JG$655361</xm:f>
          </x14:formula1>
          <xm:sqref>JO655367:JO655390</xm:sqref>
        </x14:dataValidation>
        <x14:dataValidation type="list" allowBlank="1" showInputMessage="1" showErrorMessage="1" xr:uid="{D7EE6933-6AEE-4034-99D1-AF68493D58E4}">
          <x14:formula1>
            <xm:f>項目!C17:$TC$655361</xm:f>
          </x14:formula1>
          <xm:sqref>TK655367:TK655390</xm:sqref>
        </x14:dataValidation>
        <x14:dataValidation type="list" allowBlank="1" showInputMessage="1" showErrorMessage="1" xr:uid="{D485DCC7-8C07-4C2D-A856-A869CBA24A84}">
          <x14:formula1>
            <xm:f>項目!C17:$ACY$655361</xm:f>
          </x14:formula1>
          <xm:sqref>ADG655367:ADG655390</xm:sqref>
        </x14:dataValidation>
        <x14:dataValidation type="list" allowBlank="1" showInputMessage="1" showErrorMessage="1" xr:uid="{403D5C14-F9A5-41CE-BE8F-F67EDE14FE3C}">
          <x14:formula1>
            <xm:f>項目!C17:$AMU$655361</xm:f>
          </x14:formula1>
          <xm:sqref>ANC655367:ANC655390</xm:sqref>
        </x14:dataValidation>
        <x14:dataValidation type="list" allowBlank="1" showInputMessage="1" showErrorMessage="1" xr:uid="{A4F046FC-EC7A-4604-A83E-88EE9950D141}">
          <x14:formula1>
            <xm:f>項目!C17:$AWQ$655361</xm:f>
          </x14:formula1>
          <xm:sqref>AWY655367:AWY655390</xm:sqref>
        </x14:dataValidation>
        <x14:dataValidation type="list" allowBlank="1" showInputMessage="1" showErrorMessage="1" xr:uid="{A6FB60A9-820D-4AEC-B5AA-4991C4F36C7B}">
          <x14:formula1>
            <xm:f>項目!C17:$BGM$655361</xm:f>
          </x14:formula1>
          <xm:sqref>BGU655367:BGU655390</xm:sqref>
        </x14:dataValidation>
        <x14:dataValidation type="list" allowBlank="1" showInputMessage="1" showErrorMessage="1" xr:uid="{0BF27FF3-2015-4138-A150-66CC88A0C64C}">
          <x14:formula1>
            <xm:f>項目!C17:$BQI$655361</xm:f>
          </x14:formula1>
          <xm:sqref>BQQ655367:BQQ655390</xm:sqref>
        </x14:dataValidation>
        <x14:dataValidation type="list" allowBlank="1" showInputMessage="1" showErrorMessage="1" xr:uid="{17EB4626-0B9E-4140-9316-61AC6A5907BC}">
          <x14:formula1>
            <xm:f>項目!C17:$CAE$655361</xm:f>
          </x14:formula1>
          <xm:sqref>CAM655367:CAM655390</xm:sqref>
        </x14:dataValidation>
        <x14:dataValidation type="list" allowBlank="1" showInputMessage="1" showErrorMessage="1" xr:uid="{AE698B6E-12F3-4F49-AA44-ADCFFEF026B1}">
          <x14:formula1>
            <xm:f>項目!C17:$CKA$655361</xm:f>
          </x14:formula1>
          <xm:sqref>CKI655367:CKI655390</xm:sqref>
        </x14:dataValidation>
        <x14:dataValidation type="list" allowBlank="1" showInputMessage="1" showErrorMessage="1" xr:uid="{B7FC2B79-577C-44CF-AD87-E18A90629031}">
          <x14:formula1>
            <xm:f>項目!C17:$CTW$655361</xm:f>
          </x14:formula1>
          <xm:sqref>CUE655367:CUE655390</xm:sqref>
        </x14:dataValidation>
        <x14:dataValidation type="list" allowBlank="1" showInputMessage="1" showErrorMessage="1" xr:uid="{BEEFD0E9-90BD-4412-B26F-A996F49D406B}">
          <x14:formula1>
            <xm:f>項目!C17:$DDS$655361</xm:f>
          </x14:formula1>
          <xm:sqref>DEA655367:DEA655390</xm:sqref>
        </x14:dataValidation>
        <x14:dataValidation type="list" allowBlank="1" showInputMessage="1" showErrorMessage="1" xr:uid="{9413B0F9-18E6-414B-AE36-80EC038C8D18}">
          <x14:formula1>
            <xm:f>項目!C17:$DNO$655361</xm:f>
          </x14:formula1>
          <xm:sqref>DNW655367:DNW655390</xm:sqref>
        </x14:dataValidation>
        <x14:dataValidation type="list" allowBlank="1" showInputMessage="1" showErrorMessage="1" xr:uid="{8ECABA5E-93BD-45DF-84DB-F4802834AB68}">
          <x14:formula1>
            <xm:f>項目!C17:$DXK$655361</xm:f>
          </x14:formula1>
          <xm:sqref>DXS655367:DXS655390</xm:sqref>
        </x14:dataValidation>
        <x14:dataValidation type="list" allowBlank="1" showInputMessage="1" showErrorMessage="1" xr:uid="{96F767A2-344F-450C-9DD9-826D07054010}">
          <x14:formula1>
            <xm:f>項目!C17:$EHG$655361</xm:f>
          </x14:formula1>
          <xm:sqref>EHO655367:EHO655390</xm:sqref>
        </x14:dataValidation>
        <x14:dataValidation type="list" allowBlank="1" showInputMessage="1" showErrorMessage="1" xr:uid="{792181B0-FDB8-490D-8FA5-7135FB7F7D87}">
          <x14:formula1>
            <xm:f>項目!C17:$ERC$655361</xm:f>
          </x14:formula1>
          <xm:sqref>ERK655367:ERK655390</xm:sqref>
        </x14:dataValidation>
        <x14:dataValidation type="list" allowBlank="1" showInputMessage="1" showErrorMessage="1" xr:uid="{0F7E57C2-A53C-44EF-86FE-0D62666DD4E4}">
          <x14:formula1>
            <xm:f>項目!C17:$FAY$655361</xm:f>
          </x14:formula1>
          <xm:sqref>FBG655367:FBG655390</xm:sqref>
        </x14:dataValidation>
        <x14:dataValidation type="list" allowBlank="1" showInputMessage="1" showErrorMessage="1" xr:uid="{86FF2919-6E86-4C38-8420-BABCFA6773F5}">
          <x14:formula1>
            <xm:f>項目!C17:$FKU$655361</xm:f>
          </x14:formula1>
          <xm:sqref>FLC655367:FLC655390</xm:sqref>
        </x14:dataValidation>
        <x14:dataValidation type="list" allowBlank="1" showInputMessage="1" showErrorMessage="1" xr:uid="{F4AA5EE4-7E8C-4C59-B34C-811D660DEC79}">
          <x14:formula1>
            <xm:f>項目!C17:$FUQ$655361</xm:f>
          </x14:formula1>
          <xm:sqref>FUY655367:FUY655390</xm:sqref>
        </x14:dataValidation>
        <x14:dataValidation type="list" allowBlank="1" showInputMessage="1" showErrorMessage="1" xr:uid="{4322D6B2-D40B-44A3-B5CF-E59089D15638}">
          <x14:formula1>
            <xm:f>項目!C17:$GEM$655361</xm:f>
          </x14:formula1>
          <xm:sqref>GEU655367:GEU655390</xm:sqref>
        </x14:dataValidation>
        <x14:dataValidation type="list" allowBlank="1" showInputMessage="1" showErrorMessage="1" xr:uid="{FEC1C4A7-0AA4-46F8-8ECB-D02B5DE5C822}">
          <x14:formula1>
            <xm:f>項目!C17:$GOI$655361</xm:f>
          </x14:formula1>
          <xm:sqref>GOQ655367:GOQ655390</xm:sqref>
        </x14:dataValidation>
        <x14:dataValidation type="list" allowBlank="1" showInputMessage="1" showErrorMessage="1" xr:uid="{1C14B1B9-2DB7-4963-A813-EA66CACEE105}">
          <x14:formula1>
            <xm:f>項目!C17:$GYE$655361</xm:f>
          </x14:formula1>
          <xm:sqref>GYM655367:GYM655390</xm:sqref>
        </x14:dataValidation>
        <x14:dataValidation type="list" allowBlank="1" showInputMessage="1" showErrorMessage="1" xr:uid="{9C4A864E-D0E2-43C1-8C48-271F4C32A81B}">
          <x14:formula1>
            <xm:f>項目!C17:$HIA$655361</xm:f>
          </x14:formula1>
          <xm:sqref>HII655367:HII655390</xm:sqref>
        </x14:dataValidation>
        <x14:dataValidation type="list" allowBlank="1" showInputMessage="1" showErrorMessage="1" xr:uid="{36C213C9-DC74-4ECE-B541-62E1277F903D}">
          <x14:formula1>
            <xm:f>項目!C17:$HRW$655361</xm:f>
          </x14:formula1>
          <xm:sqref>HSE655367:HSE655390</xm:sqref>
        </x14:dataValidation>
        <x14:dataValidation type="list" allowBlank="1" showInputMessage="1" showErrorMessage="1" xr:uid="{D4CD66D0-FACC-4744-8572-C5F21DE6DC01}">
          <x14:formula1>
            <xm:f>項目!C17:$IBS$655361</xm:f>
          </x14:formula1>
          <xm:sqref>ICA655367:ICA655390</xm:sqref>
        </x14:dataValidation>
        <x14:dataValidation type="list" allowBlank="1" showInputMessage="1" showErrorMessage="1" xr:uid="{F92FC511-B961-47AC-BF49-5885EF8CD7A7}">
          <x14:formula1>
            <xm:f>項目!C17:$ILO$655361</xm:f>
          </x14:formula1>
          <xm:sqref>ILW655367:ILW655390</xm:sqref>
        </x14:dataValidation>
        <x14:dataValidation type="list" allowBlank="1" showInputMessage="1" showErrorMessage="1" xr:uid="{8AD09472-D092-4FEB-96CF-94D733DF77B5}">
          <x14:formula1>
            <xm:f>項目!C17:$IVK$655361</xm:f>
          </x14:formula1>
          <xm:sqref>IVS655367:IVS655390</xm:sqref>
        </x14:dataValidation>
        <x14:dataValidation type="list" allowBlank="1" showInputMessage="1" showErrorMessage="1" xr:uid="{8035448C-E713-42A7-B849-702C1621A8A3}">
          <x14:formula1>
            <xm:f>項目!C17:$JFG$655361</xm:f>
          </x14:formula1>
          <xm:sqref>JFO655367:JFO655390</xm:sqref>
        </x14:dataValidation>
        <x14:dataValidation type="list" allowBlank="1" showInputMessage="1" showErrorMessage="1" xr:uid="{E8057CF7-5D4E-4A31-9410-A1EA2A73A556}">
          <x14:formula1>
            <xm:f>項目!C17:$JPC$655361</xm:f>
          </x14:formula1>
          <xm:sqref>JPK655367:JPK655390</xm:sqref>
        </x14:dataValidation>
        <x14:dataValidation type="list" allowBlank="1" showInputMessage="1" showErrorMessage="1" xr:uid="{A12067C6-068E-4A67-84D9-166F2D3E83D6}">
          <x14:formula1>
            <xm:f>項目!C17:$JYY$655361</xm:f>
          </x14:formula1>
          <xm:sqref>JZG655367:JZG655390</xm:sqref>
        </x14:dataValidation>
        <x14:dataValidation type="list" allowBlank="1" showInputMessage="1" showErrorMessage="1" xr:uid="{EA6F2A23-8EEC-46CF-91EE-641BB6A6024E}">
          <x14:formula1>
            <xm:f>項目!C17:$KIU$655361</xm:f>
          </x14:formula1>
          <xm:sqref>KJC655367:KJC655390</xm:sqref>
        </x14:dataValidation>
        <x14:dataValidation type="list" allowBlank="1" showInputMessage="1" showErrorMessage="1" xr:uid="{BB570CE4-9F32-4A56-9EB9-A49A6C66EE85}">
          <x14:formula1>
            <xm:f>項目!C17:$KSQ$655361</xm:f>
          </x14:formula1>
          <xm:sqref>KSY655367:KSY655390</xm:sqref>
        </x14:dataValidation>
        <x14:dataValidation type="list" allowBlank="1" showInputMessage="1" showErrorMessage="1" xr:uid="{1EF70A51-AF1D-49A0-9BB3-C963679AEE61}">
          <x14:formula1>
            <xm:f>項目!C17:$LCM$655361</xm:f>
          </x14:formula1>
          <xm:sqref>LCU655367:LCU655390</xm:sqref>
        </x14:dataValidation>
        <x14:dataValidation type="list" allowBlank="1" showInputMessage="1" showErrorMessage="1" xr:uid="{1994168A-7DEE-4845-9206-BDE9B028DBE1}">
          <x14:formula1>
            <xm:f>項目!C17:$LMI$655361</xm:f>
          </x14:formula1>
          <xm:sqref>LMQ655367:LMQ655390</xm:sqref>
        </x14:dataValidation>
        <x14:dataValidation type="list" allowBlank="1" showInputMessage="1" showErrorMessage="1" xr:uid="{8D7211E2-4111-48C4-89A4-FB1517E22E05}">
          <x14:formula1>
            <xm:f>項目!C17:$LWE$655361</xm:f>
          </x14:formula1>
          <xm:sqref>LWM655367:LWM655390</xm:sqref>
        </x14:dataValidation>
        <x14:dataValidation type="list" allowBlank="1" showInputMessage="1" showErrorMessage="1" xr:uid="{7192AF10-F08A-4AE1-99BC-79727EF304DA}">
          <x14:formula1>
            <xm:f>項目!C17:$MGA$655361</xm:f>
          </x14:formula1>
          <xm:sqref>MGI655367:MGI655390</xm:sqref>
        </x14:dataValidation>
        <x14:dataValidation type="list" allowBlank="1" showInputMessage="1" showErrorMessage="1" xr:uid="{B2AB74BE-6B35-4282-91B1-0DBB7513AD3B}">
          <x14:formula1>
            <xm:f>項目!C17:$MPW$655361</xm:f>
          </x14:formula1>
          <xm:sqref>MQE655367:MQE655390</xm:sqref>
        </x14:dataValidation>
        <x14:dataValidation type="list" allowBlank="1" showInputMessage="1" showErrorMessage="1" xr:uid="{5023EB3D-B412-4B68-A2B2-F50DFB68423A}">
          <x14:formula1>
            <xm:f>項目!C17:$MZS$655361</xm:f>
          </x14:formula1>
          <xm:sqref>NAA655367:NAA655390</xm:sqref>
        </x14:dataValidation>
        <x14:dataValidation type="list" allowBlank="1" showInputMessage="1" showErrorMessage="1" xr:uid="{7C566655-05EA-4104-8D2E-2A71C66B1565}">
          <x14:formula1>
            <xm:f>項目!C17:$NJO$655361</xm:f>
          </x14:formula1>
          <xm:sqref>NJW655367:NJW655390</xm:sqref>
        </x14:dataValidation>
        <x14:dataValidation type="list" allowBlank="1" showInputMessage="1" showErrorMessage="1" xr:uid="{720384B0-1406-41B2-8965-34FF46718E06}">
          <x14:formula1>
            <xm:f>項目!C17:$NTK$655361</xm:f>
          </x14:formula1>
          <xm:sqref>NTS655367:NTS655390</xm:sqref>
        </x14:dataValidation>
        <x14:dataValidation type="list" allowBlank="1" showInputMessage="1" showErrorMessage="1" xr:uid="{5919546E-532F-477F-B984-EBDF2E644E03}">
          <x14:formula1>
            <xm:f>項目!C17:$ODG$655361</xm:f>
          </x14:formula1>
          <xm:sqref>ODO655367:ODO655390</xm:sqref>
        </x14:dataValidation>
        <x14:dataValidation type="list" allowBlank="1" showInputMessage="1" showErrorMessage="1" xr:uid="{045CDF62-DCD8-4EED-B09E-4C96576C600E}">
          <x14:formula1>
            <xm:f>項目!C17:$ONC$655361</xm:f>
          </x14:formula1>
          <xm:sqref>ONK655367:ONK655390</xm:sqref>
        </x14:dataValidation>
        <x14:dataValidation type="list" allowBlank="1" showInputMessage="1" showErrorMessage="1" xr:uid="{4E38FCB2-F91E-4537-A00C-43CF9D1E369A}">
          <x14:formula1>
            <xm:f>項目!C17:$OWY$655361</xm:f>
          </x14:formula1>
          <xm:sqref>OXG655367:OXG655390</xm:sqref>
        </x14:dataValidation>
        <x14:dataValidation type="list" allowBlank="1" showInputMessage="1" showErrorMessage="1" xr:uid="{C66CB43B-3E87-4418-9CD3-F5D9312B51F7}">
          <x14:formula1>
            <xm:f>項目!C17:$PGU$655361</xm:f>
          </x14:formula1>
          <xm:sqref>PHC655367:PHC655390</xm:sqref>
        </x14:dataValidation>
        <x14:dataValidation type="list" allowBlank="1" showInputMessage="1" showErrorMessage="1" xr:uid="{EC2E4498-F974-4970-B2F9-9B6E9A26D4E3}">
          <x14:formula1>
            <xm:f>項目!C17:$PQQ$655361</xm:f>
          </x14:formula1>
          <xm:sqref>PQY655367:PQY655390</xm:sqref>
        </x14:dataValidation>
        <x14:dataValidation type="list" allowBlank="1" showInputMessage="1" showErrorMessage="1" xr:uid="{E28936FB-42A9-4542-89B1-CA675E2706BF}">
          <x14:formula1>
            <xm:f>項目!C17:$QAM$655361</xm:f>
          </x14:formula1>
          <xm:sqref>QAU655367:QAU655390</xm:sqref>
        </x14:dataValidation>
        <x14:dataValidation type="list" allowBlank="1" showInputMessage="1" showErrorMessage="1" xr:uid="{8F004242-FE73-4638-9744-E0FBF92C9E61}">
          <x14:formula1>
            <xm:f>項目!C17:$QKI$655361</xm:f>
          </x14:formula1>
          <xm:sqref>QKQ655367:QKQ655390</xm:sqref>
        </x14:dataValidation>
        <x14:dataValidation type="list" allowBlank="1" showInputMessage="1" showErrorMessage="1" xr:uid="{8F37611C-D2CD-482C-B372-8B21A0315F88}">
          <x14:formula1>
            <xm:f>項目!C17:$QUE$655361</xm:f>
          </x14:formula1>
          <xm:sqref>QUM655367:QUM655390</xm:sqref>
        </x14:dataValidation>
        <x14:dataValidation type="list" allowBlank="1" showInputMessage="1" showErrorMessage="1" xr:uid="{B0399905-40BB-445B-A04A-6523FBE96B13}">
          <x14:formula1>
            <xm:f>項目!C17:$REA$655361</xm:f>
          </x14:formula1>
          <xm:sqref>REI655367:REI655390</xm:sqref>
        </x14:dataValidation>
        <x14:dataValidation type="list" allowBlank="1" showInputMessage="1" showErrorMessage="1" xr:uid="{BDF9DAC9-E9ED-4BBD-BEFD-8D41CD75631B}">
          <x14:formula1>
            <xm:f>項目!C17:$RNW$655361</xm:f>
          </x14:formula1>
          <xm:sqref>ROE655367:ROE655390</xm:sqref>
        </x14:dataValidation>
        <x14:dataValidation type="list" allowBlank="1" showInputMessage="1" showErrorMessage="1" xr:uid="{4ED0EEE4-53F5-4924-AD07-1981065CF1B2}">
          <x14:formula1>
            <xm:f>項目!C17:$RXS$655361</xm:f>
          </x14:formula1>
          <xm:sqref>RYA655367:RYA655390</xm:sqref>
        </x14:dataValidation>
        <x14:dataValidation type="list" allowBlank="1" showInputMessage="1" showErrorMessage="1" xr:uid="{D7E07B05-A8A6-40DB-8692-2DAA1EF62C3D}">
          <x14:formula1>
            <xm:f>項目!C17:$SHO$655361</xm:f>
          </x14:formula1>
          <xm:sqref>SHW655367:SHW655390</xm:sqref>
        </x14:dataValidation>
        <x14:dataValidation type="list" allowBlank="1" showInputMessage="1" showErrorMessage="1" xr:uid="{7E366520-0DA2-44F1-A573-F8FAB8BCFF91}">
          <x14:formula1>
            <xm:f>項目!C17:$SRK$655361</xm:f>
          </x14:formula1>
          <xm:sqref>SRS655367:SRS655390</xm:sqref>
        </x14:dataValidation>
        <x14:dataValidation type="list" allowBlank="1" showInputMessage="1" showErrorMessage="1" xr:uid="{CE7E2312-B3B5-47A4-891E-5B43D09EEB42}">
          <x14:formula1>
            <xm:f>項目!C17:$TBG$655361</xm:f>
          </x14:formula1>
          <xm:sqref>TBO655367:TBO655390</xm:sqref>
        </x14:dataValidation>
        <x14:dataValidation type="list" allowBlank="1" showInputMessage="1" showErrorMessage="1" xr:uid="{14963233-DD44-42EE-BF8C-CCE84E3B5C1B}">
          <x14:formula1>
            <xm:f>項目!C17:$TLC$655361</xm:f>
          </x14:formula1>
          <xm:sqref>TLK655367:TLK655390</xm:sqref>
        </x14:dataValidation>
        <x14:dataValidation type="list" allowBlank="1" showInputMessage="1" showErrorMessage="1" xr:uid="{43623AE7-52A4-4B25-B64D-5E0F78759988}">
          <x14:formula1>
            <xm:f>項目!C17:$TUY$655361</xm:f>
          </x14:formula1>
          <xm:sqref>TVG655367:TVG655390</xm:sqref>
        </x14:dataValidation>
        <x14:dataValidation type="list" allowBlank="1" showInputMessage="1" showErrorMessage="1" xr:uid="{C5663839-4785-4632-9CCA-F64BB9506C84}">
          <x14:formula1>
            <xm:f>項目!C17:$UEU$655361</xm:f>
          </x14:formula1>
          <xm:sqref>UFC655367:UFC655390</xm:sqref>
        </x14:dataValidation>
        <x14:dataValidation type="list" allowBlank="1" showInputMessage="1" showErrorMessage="1" xr:uid="{350ABA48-E1BE-4BE8-BBB9-B62865CB0390}">
          <x14:formula1>
            <xm:f>項目!C17:$UOQ$655361</xm:f>
          </x14:formula1>
          <xm:sqref>UOY655367:UOY655390</xm:sqref>
        </x14:dataValidation>
        <x14:dataValidation type="list" allowBlank="1" showInputMessage="1" showErrorMessage="1" xr:uid="{AC2D52F3-E13E-4BA2-B3EC-85743DCCF7B0}">
          <x14:formula1>
            <xm:f>項目!C17:$UYM$655361</xm:f>
          </x14:formula1>
          <xm:sqref>UYU655367:UYU655390</xm:sqref>
        </x14:dataValidation>
        <x14:dataValidation type="list" allowBlank="1" showInputMessage="1" showErrorMessage="1" xr:uid="{EDC3DDF8-75F2-4732-BA01-3F00F39E6F9C}">
          <x14:formula1>
            <xm:f>項目!C17:$VII$655361</xm:f>
          </x14:formula1>
          <xm:sqref>VIQ655367:VIQ655390</xm:sqref>
        </x14:dataValidation>
        <x14:dataValidation type="list" allowBlank="1" showInputMessage="1" showErrorMessage="1" xr:uid="{D73FAD4F-1F6B-4BE8-B522-78FE8DF36084}">
          <x14:formula1>
            <xm:f>項目!C17:$VSE$655361</xm:f>
          </x14:formula1>
          <xm:sqref>VSM655367:VSM655390</xm:sqref>
        </x14:dataValidation>
        <x14:dataValidation type="list" allowBlank="1" showInputMessage="1" showErrorMessage="1" xr:uid="{3A119305-019D-4A87-A1E9-8054CEBE18AF}">
          <x14:formula1>
            <xm:f>項目!C17:$WCA$655361</xm:f>
          </x14:formula1>
          <xm:sqref>WCI655367:WCI655390</xm:sqref>
        </x14:dataValidation>
        <x14:dataValidation type="list" allowBlank="1" showInputMessage="1" showErrorMessage="1" xr:uid="{4010DADE-E9F2-4B9D-927F-703587B95F6B}">
          <x14:formula1>
            <xm:f>項目!C17:$WLW$655361</xm:f>
          </x14:formula1>
          <xm:sqref>WME655367:WME655390</xm:sqref>
        </x14:dataValidation>
        <x14:dataValidation type="list" allowBlank="1" showInputMessage="1" showErrorMessage="1" xr:uid="{2B7432E5-3A2A-4637-BE79-927C1BC785DC}">
          <x14:formula1>
            <xm:f>項目!C17:$WVS$655361</xm:f>
          </x14:formula1>
          <xm:sqref>WWA655367:WWA655390</xm:sqref>
        </x14:dataValidation>
        <x14:dataValidation type="list" allowBlank="1" showInputMessage="1" showErrorMessage="1" xr:uid="{D1608D71-ABD1-457E-BFBB-951A64A1B7A3}">
          <x14:formula1>
            <xm:f>項目!C17:$M$720897</xm:f>
          </x14:formula1>
          <xm:sqref>S720903:S720926</xm:sqref>
        </x14:dataValidation>
        <x14:dataValidation type="list" allowBlank="1" showInputMessage="1" showErrorMessage="1" xr:uid="{37B22CF2-C9B0-45BF-B7CE-01C433E91910}">
          <x14:formula1>
            <xm:f>項目!C17:$JG$720897</xm:f>
          </x14:formula1>
          <xm:sqref>JO720903:JO720926</xm:sqref>
        </x14:dataValidation>
        <x14:dataValidation type="list" allowBlank="1" showInputMessage="1" showErrorMessage="1" xr:uid="{38A56FAA-5313-4254-A268-EDB066D893D5}">
          <x14:formula1>
            <xm:f>項目!C17:$TC$720897</xm:f>
          </x14:formula1>
          <xm:sqref>TK720903:TK720926</xm:sqref>
        </x14:dataValidation>
        <x14:dataValidation type="list" allowBlank="1" showInputMessage="1" showErrorMessage="1" xr:uid="{18D58626-D0E6-4E3C-885D-00E524ED8F44}">
          <x14:formula1>
            <xm:f>項目!C17:$ACY$720897</xm:f>
          </x14:formula1>
          <xm:sqref>ADG720903:ADG720926</xm:sqref>
        </x14:dataValidation>
        <x14:dataValidation type="list" allowBlank="1" showInputMessage="1" showErrorMessage="1" xr:uid="{FD227EFB-4C3C-404B-9ACF-C086DBB3EF32}">
          <x14:formula1>
            <xm:f>項目!C17:$AMU$720897</xm:f>
          </x14:formula1>
          <xm:sqref>ANC720903:ANC720926</xm:sqref>
        </x14:dataValidation>
        <x14:dataValidation type="list" allowBlank="1" showInputMessage="1" showErrorMessage="1" xr:uid="{0DBF4974-96A7-48D6-8E30-C8F38EAF87AD}">
          <x14:formula1>
            <xm:f>項目!C17:$AWQ$720897</xm:f>
          </x14:formula1>
          <xm:sqref>AWY720903:AWY720926</xm:sqref>
        </x14:dataValidation>
        <x14:dataValidation type="list" allowBlank="1" showInputMessage="1" showErrorMessage="1" xr:uid="{E738ED74-2292-434E-9F7D-0D93CA3E826D}">
          <x14:formula1>
            <xm:f>項目!C17:$BGM$720897</xm:f>
          </x14:formula1>
          <xm:sqref>BGU720903:BGU720926</xm:sqref>
        </x14:dataValidation>
        <x14:dataValidation type="list" allowBlank="1" showInputMessage="1" showErrorMessage="1" xr:uid="{A8AACBDB-E8F9-48B3-93D3-B5FD4E52FE12}">
          <x14:formula1>
            <xm:f>項目!C17:$BQI$720897</xm:f>
          </x14:formula1>
          <xm:sqref>BQQ720903:BQQ720926</xm:sqref>
        </x14:dataValidation>
        <x14:dataValidation type="list" allowBlank="1" showInputMessage="1" showErrorMessage="1" xr:uid="{B907F4BB-F2C9-47CF-B997-A1016F36D1DA}">
          <x14:formula1>
            <xm:f>項目!C17:$CAE$720897</xm:f>
          </x14:formula1>
          <xm:sqref>CAM720903:CAM720926</xm:sqref>
        </x14:dataValidation>
        <x14:dataValidation type="list" allowBlank="1" showInputMessage="1" showErrorMessage="1" xr:uid="{97A7A3A6-1575-40F4-9EB6-F7B884AA8130}">
          <x14:formula1>
            <xm:f>項目!C17:$CKA$720897</xm:f>
          </x14:formula1>
          <xm:sqref>CKI720903:CKI720926</xm:sqref>
        </x14:dataValidation>
        <x14:dataValidation type="list" allowBlank="1" showInputMessage="1" showErrorMessage="1" xr:uid="{7CD03A7F-7315-47A2-94F5-6D839B782F03}">
          <x14:formula1>
            <xm:f>項目!C17:$CTW$720897</xm:f>
          </x14:formula1>
          <xm:sqref>CUE720903:CUE720926</xm:sqref>
        </x14:dataValidation>
        <x14:dataValidation type="list" allowBlank="1" showInputMessage="1" showErrorMessage="1" xr:uid="{04FB3846-717F-45F4-A358-082EC0632F91}">
          <x14:formula1>
            <xm:f>項目!C17:$DDS$720897</xm:f>
          </x14:formula1>
          <xm:sqref>DEA720903:DEA720926</xm:sqref>
        </x14:dataValidation>
        <x14:dataValidation type="list" allowBlank="1" showInputMessage="1" showErrorMessage="1" xr:uid="{C1263087-D8DF-4EB5-97B6-EA6228CFE8ED}">
          <x14:formula1>
            <xm:f>項目!C17:$DNO$720897</xm:f>
          </x14:formula1>
          <xm:sqref>DNW720903:DNW720926</xm:sqref>
        </x14:dataValidation>
        <x14:dataValidation type="list" allowBlank="1" showInputMessage="1" showErrorMessage="1" xr:uid="{71B7AF17-9211-4663-946C-B65C4887F842}">
          <x14:formula1>
            <xm:f>項目!C17:$DXK$720897</xm:f>
          </x14:formula1>
          <xm:sqref>DXS720903:DXS720926</xm:sqref>
        </x14:dataValidation>
        <x14:dataValidation type="list" allowBlank="1" showInputMessage="1" showErrorMessage="1" xr:uid="{8A20BD9E-23CD-4DB2-9E55-D9A662A9D165}">
          <x14:formula1>
            <xm:f>項目!C17:$EHG$720897</xm:f>
          </x14:formula1>
          <xm:sqref>EHO720903:EHO720926</xm:sqref>
        </x14:dataValidation>
        <x14:dataValidation type="list" allowBlank="1" showInputMessage="1" showErrorMessage="1" xr:uid="{C8EE7E7C-F56C-4F27-9DE6-8734058E16DD}">
          <x14:formula1>
            <xm:f>項目!C17:$ERC$720897</xm:f>
          </x14:formula1>
          <xm:sqref>ERK720903:ERK720926</xm:sqref>
        </x14:dataValidation>
        <x14:dataValidation type="list" allowBlank="1" showInputMessage="1" showErrorMessage="1" xr:uid="{220A8605-6D25-4C62-A4C6-B18915D73983}">
          <x14:formula1>
            <xm:f>項目!C17:$FAY$720897</xm:f>
          </x14:formula1>
          <xm:sqref>FBG720903:FBG720926</xm:sqref>
        </x14:dataValidation>
        <x14:dataValidation type="list" allowBlank="1" showInputMessage="1" showErrorMessage="1" xr:uid="{7E7BE86E-E18C-4833-AC80-ABA1081CC330}">
          <x14:formula1>
            <xm:f>項目!C17:$FKU$720897</xm:f>
          </x14:formula1>
          <xm:sqref>FLC720903:FLC720926</xm:sqref>
        </x14:dataValidation>
        <x14:dataValidation type="list" allowBlank="1" showInputMessage="1" showErrorMessage="1" xr:uid="{430B40C7-4D98-4DBD-8957-DB6206F771FA}">
          <x14:formula1>
            <xm:f>項目!C17:$FUQ$720897</xm:f>
          </x14:formula1>
          <xm:sqref>FUY720903:FUY720926</xm:sqref>
        </x14:dataValidation>
        <x14:dataValidation type="list" allowBlank="1" showInputMessage="1" showErrorMessage="1" xr:uid="{9233C232-270F-4DC7-8218-EDADBCFEF5C9}">
          <x14:formula1>
            <xm:f>項目!C17:$GEM$720897</xm:f>
          </x14:formula1>
          <xm:sqref>GEU720903:GEU720926</xm:sqref>
        </x14:dataValidation>
        <x14:dataValidation type="list" allowBlank="1" showInputMessage="1" showErrorMessage="1" xr:uid="{C7AAE6F4-DBC2-42EB-B246-BC139B62DDD4}">
          <x14:formula1>
            <xm:f>項目!C17:$GOI$720897</xm:f>
          </x14:formula1>
          <xm:sqref>GOQ720903:GOQ720926</xm:sqref>
        </x14:dataValidation>
        <x14:dataValidation type="list" allowBlank="1" showInputMessage="1" showErrorMessage="1" xr:uid="{8F874B05-9E59-40E8-90C1-DBCFF3BD23ED}">
          <x14:formula1>
            <xm:f>項目!C17:$GYE$720897</xm:f>
          </x14:formula1>
          <xm:sqref>GYM720903:GYM720926</xm:sqref>
        </x14:dataValidation>
        <x14:dataValidation type="list" allowBlank="1" showInputMessage="1" showErrorMessage="1" xr:uid="{FB19742C-0335-4D7E-BC58-86345D1A09E2}">
          <x14:formula1>
            <xm:f>項目!C17:$HIA$720897</xm:f>
          </x14:formula1>
          <xm:sqref>HII720903:HII720926</xm:sqref>
        </x14:dataValidation>
        <x14:dataValidation type="list" allowBlank="1" showInputMessage="1" showErrorMessage="1" xr:uid="{5C47779C-5B39-4773-A752-657E4A742E9F}">
          <x14:formula1>
            <xm:f>項目!C17:$HRW$720897</xm:f>
          </x14:formula1>
          <xm:sqref>HSE720903:HSE720926</xm:sqref>
        </x14:dataValidation>
        <x14:dataValidation type="list" allowBlank="1" showInputMessage="1" showErrorMessage="1" xr:uid="{27C4FD00-786D-4551-9213-DBE0FB5C64D4}">
          <x14:formula1>
            <xm:f>項目!C17:$IBS$720897</xm:f>
          </x14:formula1>
          <xm:sqref>ICA720903:ICA720926</xm:sqref>
        </x14:dataValidation>
        <x14:dataValidation type="list" allowBlank="1" showInputMessage="1" showErrorMessage="1" xr:uid="{22DAE7C9-C502-4531-B647-97233E981060}">
          <x14:formula1>
            <xm:f>項目!C17:$ILO$720897</xm:f>
          </x14:formula1>
          <xm:sqref>ILW720903:ILW720926</xm:sqref>
        </x14:dataValidation>
        <x14:dataValidation type="list" allowBlank="1" showInputMessage="1" showErrorMessage="1" xr:uid="{FDAB5CAF-31A7-4801-BABE-45591AB3C134}">
          <x14:formula1>
            <xm:f>項目!C17:$IVK$720897</xm:f>
          </x14:formula1>
          <xm:sqref>IVS720903:IVS720926</xm:sqref>
        </x14:dataValidation>
        <x14:dataValidation type="list" allowBlank="1" showInputMessage="1" showErrorMessage="1" xr:uid="{117F5A4B-7474-466A-A514-8BFF6C1F6120}">
          <x14:formula1>
            <xm:f>項目!C17:$JFG$720897</xm:f>
          </x14:formula1>
          <xm:sqref>JFO720903:JFO720926</xm:sqref>
        </x14:dataValidation>
        <x14:dataValidation type="list" allowBlank="1" showInputMessage="1" showErrorMessage="1" xr:uid="{45BC11AC-A297-46C0-A7CE-A16A3ABC3D09}">
          <x14:formula1>
            <xm:f>項目!C17:$JPC$720897</xm:f>
          </x14:formula1>
          <xm:sqref>JPK720903:JPK720926</xm:sqref>
        </x14:dataValidation>
        <x14:dataValidation type="list" allowBlank="1" showInputMessage="1" showErrorMessage="1" xr:uid="{2C558332-FCFE-45E3-8349-28CE219A01C8}">
          <x14:formula1>
            <xm:f>項目!C17:$JYY$720897</xm:f>
          </x14:formula1>
          <xm:sqref>JZG720903:JZG720926</xm:sqref>
        </x14:dataValidation>
        <x14:dataValidation type="list" allowBlank="1" showInputMessage="1" showErrorMessage="1" xr:uid="{27BCD558-75D7-4211-A2D1-BE95C524DE8A}">
          <x14:formula1>
            <xm:f>項目!C17:$KIU$720897</xm:f>
          </x14:formula1>
          <xm:sqref>KJC720903:KJC720926</xm:sqref>
        </x14:dataValidation>
        <x14:dataValidation type="list" allowBlank="1" showInputMessage="1" showErrorMessage="1" xr:uid="{72D08664-3066-4DAD-9413-A5E6257448DE}">
          <x14:formula1>
            <xm:f>項目!C17:$KSQ$720897</xm:f>
          </x14:formula1>
          <xm:sqref>KSY720903:KSY720926</xm:sqref>
        </x14:dataValidation>
        <x14:dataValidation type="list" allowBlank="1" showInputMessage="1" showErrorMessage="1" xr:uid="{D0B97327-6FA6-44C2-A305-555727FCBCD5}">
          <x14:formula1>
            <xm:f>項目!C17:$LCM$720897</xm:f>
          </x14:formula1>
          <xm:sqref>LCU720903:LCU720926</xm:sqref>
        </x14:dataValidation>
        <x14:dataValidation type="list" allowBlank="1" showInputMessage="1" showErrorMessage="1" xr:uid="{349D9CFF-B37D-4571-B905-07374ADA231D}">
          <x14:formula1>
            <xm:f>項目!C17:$LMI$720897</xm:f>
          </x14:formula1>
          <xm:sqref>LMQ720903:LMQ720926</xm:sqref>
        </x14:dataValidation>
        <x14:dataValidation type="list" allowBlank="1" showInputMessage="1" showErrorMessage="1" xr:uid="{2B6FFCF6-52D9-4C71-B4CE-0CAECACFD197}">
          <x14:formula1>
            <xm:f>項目!C17:$LWE$720897</xm:f>
          </x14:formula1>
          <xm:sqref>LWM720903:LWM720926</xm:sqref>
        </x14:dataValidation>
        <x14:dataValidation type="list" allowBlank="1" showInputMessage="1" showErrorMessage="1" xr:uid="{0A8FF77A-7515-496D-BEC7-AD5AD312B012}">
          <x14:formula1>
            <xm:f>項目!C17:$MGA$720897</xm:f>
          </x14:formula1>
          <xm:sqref>MGI720903:MGI720926</xm:sqref>
        </x14:dataValidation>
        <x14:dataValidation type="list" allowBlank="1" showInputMessage="1" showErrorMessage="1" xr:uid="{FE0F2A38-EAD0-4A07-88C9-6F7737D471FB}">
          <x14:formula1>
            <xm:f>項目!C17:$MPW$720897</xm:f>
          </x14:formula1>
          <xm:sqref>MQE720903:MQE720926</xm:sqref>
        </x14:dataValidation>
        <x14:dataValidation type="list" allowBlank="1" showInputMessage="1" showErrorMessage="1" xr:uid="{656C4FE8-421A-4A4A-B90F-111610455DDD}">
          <x14:formula1>
            <xm:f>項目!C17:$MZS$720897</xm:f>
          </x14:formula1>
          <xm:sqref>NAA720903:NAA720926</xm:sqref>
        </x14:dataValidation>
        <x14:dataValidation type="list" allowBlank="1" showInputMessage="1" showErrorMessage="1" xr:uid="{65D26419-57F5-4E18-8E3E-20E91DA98922}">
          <x14:formula1>
            <xm:f>項目!C17:$NJO$720897</xm:f>
          </x14:formula1>
          <xm:sqref>NJW720903:NJW720926</xm:sqref>
        </x14:dataValidation>
        <x14:dataValidation type="list" allowBlank="1" showInputMessage="1" showErrorMessage="1" xr:uid="{4DA01F14-F2C8-4F96-8C54-FCBD49BC8ECC}">
          <x14:formula1>
            <xm:f>項目!C17:$NTK$720897</xm:f>
          </x14:formula1>
          <xm:sqref>NTS720903:NTS720926</xm:sqref>
        </x14:dataValidation>
        <x14:dataValidation type="list" allowBlank="1" showInputMessage="1" showErrorMessage="1" xr:uid="{E3E2B5C4-47FB-4B9F-A5CE-82EE392E1FDE}">
          <x14:formula1>
            <xm:f>項目!C17:$ODG$720897</xm:f>
          </x14:formula1>
          <xm:sqref>ODO720903:ODO720926</xm:sqref>
        </x14:dataValidation>
        <x14:dataValidation type="list" allowBlank="1" showInputMessage="1" showErrorMessage="1" xr:uid="{B3A2E54B-176E-4B7E-8EE6-773DC6FEDD4E}">
          <x14:formula1>
            <xm:f>項目!C17:$ONC$720897</xm:f>
          </x14:formula1>
          <xm:sqref>ONK720903:ONK720926</xm:sqref>
        </x14:dataValidation>
        <x14:dataValidation type="list" allowBlank="1" showInputMessage="1" showErrorMessage="1" xr:uid="{75050CED-2085-47F1-B77B-1F59C61303F3}">
          <x14:formula1>
            <xm:f>項目!C17:$OWY$720897</xm:f>
          </x14:formula1>
          <xm:sqref>OXG720903:OXG720926</xm:sqref>
        </x14:dataValidation>
        <x14:dataValidation type="list" allowBlank="1" showInputMessage="1" showErrorMessage="1" xr:uid="{625B1D85-FEF9-4B8D-8645-913D971F54B7}">
          <x14:formula1>
            <xm:f>項目!C17:$PGU$720897</xm:f>
          </x14:formula1>
          <xm:sqref>PHC720903:PHC720926</xm:sqref>
        </x14:dataValidation>
        <x14:dataValidation type="list" allowBlank="1" showInputMessage="1" showErrorMessage="1" xr:uid="{65451603-BA2F-4B90-8DAC-CE95BFBF08BA}">
          <x14:formula1>
            <xm:f>項目!C17:$PQQ$720897</xm:f>
          </x14:formula1>
          <xm:sqref>PQY720903:PQY720926</xm:sqref>
        </x14:dataValidation>
        <x14:dataValidation type="list" allowBlank="1" showInputMessage="1" showErrorMessage="1" xr:uid="{82C3A6FE-7D2C-491A-A7FC-B48559191A9A}">
          <x14:formula1>
            <xm:f>項目!C17:$QAM$720897</xm:f>
          </x14:formula1>
          <xm:sqref>QAU720903:QAU720926</xm:sqref>
        </x14:dataValidation>
        <x14:dataValidation type="list" allowBlank="1" showInputMessage="1" showErrorMessage="1" xr:uid="{F9D03843-C96C-4EC9-BC9C-6C5B35F02869}">
          <x14:formula1>
            <xm:f>項目!C17:$QKI$720897</xm:f>
          </x14:formula1>
          <xm:sqref>QKQ720903:QKQ720926</xm:sqref>
        </x14:dataValidation>
        <x14:dataValidation type="list" allowBlank="1" showInputMessage="1" showErrorMessage="1" xr:uid="{B06DF848-6117-429A-B060-1EF630A7F19C}">
          <x14:formula1>
            <xm:f>項目!C17:$QUE$720897</xm:f>
          </x14:formula1>
          <xm:sqref>QUM720903:QUM720926</xm:sqref>
        </x14:dataValidation>
        <x14:dataValidation type="list" allowBlank="1" showInputMessage="1" showErrorMessage="1" xr:uid="{3C591DCA-DE99-4D2A-9856-C1002272AFA2}">
          <x14:formula1>
            <xm:f>項目!C17:$REA$720897</xm:f>
          </x14:formula1>
          <xm:sqref>REI720903:REI720926</xm:sqref>
        </x14:dataValidation>
        <x14:dataValidation type="list" allowBlank="1" showInputMessage="1" showErrorMessage="1" xr:uid="{8BAA36CA-54A4-4EAA-8E68-1EF78B50049F}">
          <x14:formula1>
            <xm:f>項目!C17:$RNW$720897</xm:f>
          </x14:formula1>
          <xm:sqref>ROE720903:ROE720926</xm:sqref>
        </x14:dataValidation>
        <x14:dataValidation type="list" allowBlank="1" showInputMessage="1" showErrorMessage="1" xr:uid="{1BB48A8E-043E-4EB0-AD29-9B6BF20C7E54}">
          <x14:formula1>
            <xm:f>項目!C17:$RXS$720897</xm:f>
          </x14:formula1>
          <xm:sqref>RYA720903:RYA720926</xm:sqref>
        </x14:dataValidation>
        <x14:dataValidation type="list" allowBlank="1" showInputMessage="1" showErrorMessage="1" xr:uid="{35360178-5778-45F2-990E-65B4726745EE}">
          <x14:formula1>
            <xm:f>項目!C17:$SHO$720897</xm:f>
          </x14:formula1>
          <xm:sqref>SHW720903:SHW720926</xm:sqref>
        </x14:dataValidation>
        <x14:dataValidation type="list" allowBlank="1" showInputMessage="1" showErrorMessage="1" xr:uid="{CE3340E1-A854-46E4-AA2F-06B14C85A2FF}">
          <x14:formula1>
            <xm:f>項目!C17:$SRK$720897</xm:f>
          </x14:formula1>
          <xm:sqref>SRS720903:SRS720926</xm:sqref>
        </x14:dataValidation>
        <x14:dataValidation type="list" allowBlank="1" showInputMessage="1" showErrorMessage="1" xr:uid="{7C3AD99A-3D0E-4A74-8437-63E728B7DEB0}">
          <x14:formula1>
            <xm:f>項目!C17:$TBG$720897</xm:f>
          </x14:formula1>
          <xm:sqref>TBO720903:TBO720926</xm:sqref>
        </x14:dataValidation>
        <x14:dataValidation type="list" allowBlank="1" showInputMessage="1" showErrorMessage="1" xr:uid="{6B6A9362-62D0-4FC6-A8C1-F350CE97FBB1}">
          <x14:formula1>
            <xm:f>項目!C17:$TLC$720897</xm:f>
          </x14:formula1>
          <xm:sqref>TLK720903:TLK720926</xm:sqref>
        </x14:dataValidation>
        <x14:dataValidation type="list" allowBlank="1" showInputMessage="1" showErrorMessage="1" xr:uid="{F2006A66-C014-4E00-99AE-0A3511E73E20}">
          <x14:formula1>
            <xm:f>項目!C17:$TUY$720897</xm:f>
          </x14:formula1>
          <xm:sqref>TVG720903:TVG720926</xm:sqref>
        </x14:dataValidation>
        <x14:dataValidation type="list" allowBlank="1" showInputMessage="1" showErrorMessage="1" xr:uid="{153752D9-355E-41B1-B919-91A5A34A1A99}">
          <x14:formula1>
            <xm:f>項目!C17:$UEU$720897</xm:f>
          </x14:formula1>
          <xm:sqref>UFC720903:UFC720926</xm:sqref>
        </x14:dataValidation>
        <x14:dataValidation type="list" allowBlank="1" showInputMessage="1" showErrorMessage="1" xr:uid="{461EB0F2-AF56-443F-9290-DBE586D4BF85}">
          <x14:formula1>
            <xm:f>項目!C17:$UOQ$720897</xm:f>
          </x14:formula1>
          <xm:sqref>UOY720903:UOY720926</xm:sqref>
        </x14:dataValidation>
        <x14:dataValidation type="list" allowBlank="1" showInputMessage="1" showErrorMessage="1" xr:uid="{A56D4436-DEDE-42D1-9473-543364151EE1}">
          <x14:formula1>
            <xm:f>項目!C17:$UYM$720897</xm:f>
          </x14:formula1>
          <xm:sqref>UYU720903:UYU720926</xm:sqref>
        </x14:dataValidation>
        <x14:dataValidation type="list" allowBlank="1" showInputMessage="1" showErrorMessage="1" xr:uid="{AB7F926A-5FEE-486D-A630-8404A64245A6}">
          <x14:formula1>
            <xm:f>項目!C17:$VII$720897</xm:f>
          </x14:formula1>
          <xm:sqref>VIQ720903:VIQ720926</xm:sqref>
        </x14:dataValidation>
        <x14:dataValidation type="list" allowBlank="1" showInputMessage="1" showErrorMessage="1" xr:uid="{13D9EF03-67BE-4844-A61A-84721D3A7E2C}">
          <x14:formula1>
            <xm:f>項目!C17:$VSE$720897</xm:f>
          </x14:formula1>
          <xm:sqref>VSM720903:VSM720926</xm:sqref>
        </x14:dataValidation>
        <x14:dataValidation type="list" allowBlank="1" showInputMessage="1" showErrorMessage="1" xr:uid="{96953B5A-6017-4EF5-8E8C-7360919FB977}">
          <x14:formula1>
            <xm:f>項目!C17:$WCA$720897</xm:f>
          </x14:formula1>
          <xm:sqref>WCI720903:WCI720926</xm:sqref>
        </x14:dataValidation>
        <x14:dataValidation type="list" allowBlank="1" showInputMessage="1" showErrorMessage="1" xr:uid="{0E565F52-53B6-4F5C-9939-C8C3DD04C2A1}">
          <x14:formula1>
            <xm:f>項目!C17:$WLW$720897</xm:f>
          </x14:formula1>
          <xm:sqref>WME720903:WME720926</xm:sqref>
        </x14:dataValidation>
        <x14:dataValidation type="list" allowBlank="1" showInputMessage="1" showErrorMessage="1" xr:uid="{21130AFE-14E7-4115-B381-4021B0C62491}">
          <x14:formula1>
            <xm:f>項目!C17:$WVS$720897</xm:f>
          </x14:formula1>
          <xm:sqref>WWA720903:WWA720926</xm:sqref>
        </x14:dataValidation>
        <x14:dataValidation type="list" allowBlank="1" showInputMessage="1" showErrorMessage="1" xr:uid="{FFA5D0C3-3F2A-45F2-9413-977092B65760}">
          <x14:formula1>
            <xm:f>項目!C17:$M$786433</xm:f>
          </x14:formula1>
          <xm:sqref>S786439:S786462</xm:sqref>
        </x14:dataValidation>
        <x14:dataValidation type="list" allowBlank="1" showInputMessage="1" showErrorMessage="1" xr:uid="{8CA34509-398B-4D9C-8A1F-5ED29F3530C7}">
          <x14:formula1>
            <xm:f>項目!C17:$JG$786433</xm:f>
          </x14:formula1>
          <xm:sqref>JO786439:JO786462</xm:sqref>
        </x14:dataValidation>
        <x14:dataValidation type="list" allowBlank="1" showInputMessage="1" showErrorMessage="1" xr:uid="{2A69F45D-ACCF-4AF4-A42C-ABBF42ECC040}">
          <x14:formula1>
            <xm:f>項目!C17:$TC$786433</xm:f>
          </x14:formula1>
          <xm:sqref>TK786439:TK786462</xm:sqref>
        </x14:dataValidation>
        <x14:dataValidation type="list" allowBlank="1" showInputMessage="1" showErrorMessage="1" xr:uid="{7BBA4C7D-9334-482F-8CCC-D3B1807EA2BC}">
          <x14:formula1>
            <xm:f>項目!C17:$ACY$786433</xm:f>
          </x14:formula1>
          <xm:sqref>ADG786439:ADG786462</xm:sqref>
        </x14:dataValidation>
        <x14:dataValidation type="list" allowBlank="1" showInputMessage="1" showErrorMessage="1" xr:uid="{5FECA497-BB66-4485-896C-E35C0021AE89}">
          <x14:formula1>
            <xm:f>項目!C17:$AMU$786433</xm:f>
          </x14:formula1>
          <xm:sqref>ANC786439:ANC786462</xm:sqref>
        </x14:dataValidation>
        <x14:dataValidation type="list" allowBlank="1" showInputMessage="1" showErrorMessage="1" xr:uid="{8320426D-98D5-4873-95CD-CB9D47588CF5}">
          <x14:formula1>
            <xm:f>項目!C17:$AWQ$786433</xm:f>
          </x14:formula1>
          <xm:sqref>AWY786439:AWY786462</xm:sqref>
        </x14:dataValidation>
        <x14:dataValidation type="list" allowBlank="1" showInputMessage="1" showErrorMessage="1" xr:uid="{24CDE1BF-BDA6-4954-A879-FD3F83403C38}">
          <x14:formula1>
            <xm:f>項目!C17:$BGM$786433</xm:f>
          </x14:formula1>
          <xm:sqref>BGU786439:BGU786462</xm:sqref>
        </x14:dataValidation>
        <x14:dataValidation type="list" allowBlank="1" showInputMessage="1" showErrorMessage="1" xr:uid="{F305C7BB-17C1-447E-AD5C-306C9DB940E4}">
          <x14:formula1>
            <xm:f>項目!C17:$BQI$786433</xm:f>
          </x14:formula1>
          <xm:sqref>BQQ786439:BQQ786462</xm:sqref>
        </x14:dataValidation>
        <x14:dataValidation type="list" allowBlank="1" showInputMessage="1" showErrorMessage="1" xr:uid="{951195F7-58E0-4B21-85FA-6B2CD3FF567B}">
          <x14:formula1>
            <xm:f>項目!C17:$CAE$786433</xm:f>
          </x14:formula1>
          <xm:sqref>CAM786439:CAM786462</xm:sqref>
        </x14:dataValidation>
        <x14:dataValidation type="list" allowBlank="1" showInputMessage="1" showErrorMessage="1" xr:uid="{615581C2-306E-4A99-8B5A-046E82A97067}">
          <x14:formula1>
            <xm:f>項目!C17:$CKA$786433</xm:f>
          </x14:formula1>
          <xm:sqref>CKI786439:CKI786462</xm:sqref>
        </x14:dataValidation>
        <x14:dataValidation type="list" allowBlank="1" showInputMessage="1" showErrorMessage="1" xr:uid="{F6A3198D-55A7-491C-829E-3148C9EF36F9}">
          <x14:formula1>
            <xm:f>項目!C17:$CTW$786433</xm:f>
          </x14:formula1>
          <xm:sqref>CUE786439:CUE786462</xm:sqref>
        </x14:dataValidation>
        <x14:dataValidation type="list" allowBlank="1" showInputMessage="1" showErrorMessage="1" xr:uid="{9E4C37E3-26D9-4F78-AA73-4569C87C75D1}">
          <x14:formula1>
            <xm:f>項目!C17:$DDS$786433</xm:f>
          </x14:formula1>
          <xm:sqref>DEA786439:DEA786462</xm:sqref>
        </x14:dataValidation>
        <x14:dataValidation type="list" allowBlank="1" showInputMessage="1" showErrorMessage="1" xr:uid="{87600E14-A4E0-4B9C-B90A-EDCB6558E4EB}">
          <x14:formula1>
            <xm:f>項目!C17:$DNO$786433</xm:f>
          </x14:formula1>
          <xm:sqref>DNW786439:DNW786462</xm:sqref>
        </x14:dataValidation>
        <x14:dataValidation type="list" allowBlank="1" showInputMessage="1" showErrorMessage="1" xr:uid="{CE5E8D1F-DE57-4C82-9BFE-FF90255A72CE}">
          <x14:formula1>
            <xm:f>項目!C17:$DXK$786433</xm:f>
          </x14:formula1>
          <xm:sqref>DXS786439:DXS786462</xm:sqref>
        </x14:dataValidation>
        <x14:dataValidation type="list" allowBlank="1" showInputMessage="1" showErrorMessage="1" xr:uid="{6D407A96-99E9-4CA3-905A-C91B32E9D990}">
          <x14:formula1>
            <xm:f>項目!C17:$EHG$786433</xm:f>
          </x14:formula1>
          <xm:sqref>EHO786439:EHO786462</xm:sqref>
        </x14:dataValidation>
        <x14:dataValidation type="list" allowBlank="1" showInputMessage="1" showErrorMessage="1" xr:uid="{97E65F5C-651B-4158-8662-BEBC0425259E}">
          <x14:formula1>
            <xm:f>項目!C17:$ERC$786433</xm:f>
          </x14:formula1>
          <xm:sqref>ERK786439:ERK786462</xm:sqref>
        </x14:dataValidation>
        <x14:dataValidation type="list" allowBlank="1" showInputMessage="1" showErrorMessage="1" xr:uid="{8BA4AE29-9E42-4BC7-A5DF-6C0C66E931EE}">
          <x14:formula1>
            <xm:f>項目!C17:$FAY$786433</xm:f>
          </x14:formula1>
          <xm:sqref>FBG786439:FBG786462</xm:sqref>
        </x14:dataValidation>
        <x14:dataValidation type="list" allowBlank="1" showInputMessage="1" showErrorMessage="1" xr:uid="{EEF4D869-F5EE-4025-AFA3-BE0C9E6520D4}">
          <x14:formula1>
            <xm:f>項目!C17:$FKU$786433</xm:f>
          </x14:formula1>
          <xm:sqref>FLC786439:FLC786462</xm:sqref>
        </x14:dataValidation>
        <x14:dataValidation type="list" allowBlank="1" showInputMessage="1" showErrorMessage="1" xr:uid="{D3340E1B-24E4-4B59-9DF4-EFEA371BA158}">
          <x14:formula1>
            <xm:f>項目!C17:$FUQ$786433</xm:f>
          </x14:formula1>
          <xm:sqref>FUY786439:FUY786462</xm:sqref>
        </x14:dataValidation>
        <x14:dataValidation type="list" allowBlank="1" showInputMessage="1" showErrorMessage="1" xr:uid="{74237BA6-274F-4FD6-8F6E-F78C5AAE7DEA}">
          <x14:formula1>
            <xm:f>項目!C17:$GEM$786433</xm:f>
          </x14:formula1>
          <xm:sqref>GEU786439:GEU786462</xm:sqref>
        </x14:dataValidation>
        <x14:dataValidation type="list" allowBlank="1" showInputMessage="1" showErrorMessage="1" xr:uid="{1696D0FF-64B5-49D8-ABA2-3ED3564C9641}">
          <x14:formula1>
            <xm:f>項目!C17:$GOI$786433</xm:f>
          </x14:formula1>
          <xm:sqref>GOQ786439:GOQ786462</xm:sqref>
        </x14:dataValidation>
        <x14:dataValidation type="list" allowBlank="1" showInputMessage="1" showErrorMessage="1" xr:uid="{241DEFC3-67B8-45F4-ACB7-CFA1458D84D6}">
          <x14:formula1>
            <xm:f>項目!C17:$GYE$786433</xm:f>
          </x14:formula1>
          <xm:sqref>GYM786439:GYM786462</xm:sqref>
        </x14:dataValidation>
        <x14:dataValidation type="list" allowBlank="1" showInputMessage="1" showErrorMessage="1" xr:uid="{696C321A-01CB-4C64-89BD-F7ED511CA153}">
          <x14:formula1>
            <xm:f>項目!C17:$HIA$786433</xm:f>
          </x14:formula1>
          <xm:sqref>HII786439:HII786462</xm:sqref>
        </x14:dataValidation>
        <x14:dataValidation type="list" allowBlank="1" showInputMessage="1" showErrorMessage="1" xr:uid="{52A7D350-4699-4523-8E2B-F51A564984DF}">
          <x14:formula1>
            <xm:f>項目!C17:$HRW$786433</xm:f>
          </x14:formula1>
          <xm:sqref>HSE786439:HSE786462</xm:sqref>
        </x14:dataValidation>
        <x14:dataValidation type="list" allowBlank="1" showInputMessage="1" showErrorMessage="1" xr:uid="{D31CAB8B-8E8F-492D-93FA-66A4BD1BD24B}">
          <x14:formula1>
            <xm:f>項目!C17:$IBS$786433</xm:f>
          </x14:formula1>
          <xm:sqref>ICA786439:ICA786462</xm:sqref>
        </x14:dataValidation>
        <x14:dataValidation type="list" allowBlank="1" showInputMessage="1" showErrorMessage="1" xr:uid="{14DB2D11-844D-47AF-928B-EA73EBA43A5A}">
          <x14:formula1>
            <xm:f>項目!C17:$ILO$786433</xm:f>
          </x14:formula1>
          <xm:sqref>ILW786439:ILW786462</xm:sqref>
        </x14:dataValidation>
        <x14:dataValidation type="list" allowBlank="1" showInputMessage="1" showErrorMessage="1" xr:uid="{F508B25B-04BB-40CD-9972-27A3FE725663}">
          <x14:formula1>
            <xm:f>項目!C17:$IVK$786433</xm:f>
          </x14:formula1>
          <xm:sqref>IVS786439:IVS786462</xm:sqref>
        </x14:dataValidation>
        <x14:dataValidation type="list" allowBlank="1" showInputMessage="1" showErrorMessage="1" xr:uid="{16F5A794-9F11-45E2-B7D2-1550C274B143}">
          <x14:formula1>
            <xm:f>項目!C17:$JFG$786433</xm:f>
          </x14:formula1>
          <xm:sqref>JFO786439:JFO786462</xm:sqref>
        </x14:dataValidation>
        <x14:dataValidation type="list" allowBlank="1" showInputMessage="1" showErrorMessage="1" xr:uid="{6D50E6F5-8796-4682-BD02-4E6C5CFDA4EB}">
          <x14:formula1>
            <xm:f>項目!C17:$JPC$786433</xm:f>
          </x14:formula1>
          <xm:sqref>JPK786439:JPK786462</xm:sqref>
        </x14:dataValidation>
        <x14:dataValidation type="list" allowBlank="1" showInputMessage="1" showErrorMessage="1" xr:uid="{5A0C9F22-E571-4133-95B8-8FFCDEED164E}">
          <x14:formula1>
            <xm:f>項目!C17:$JYY$786433</xm:f>
          </x14:formula1>
          <xm:sqref>JZG786439:JZG786462</xm:sqref>
        </x14:dataValidation>
        <x14:dataValidation type="list" allowBlank="1" showInputMessage="1" showErrorMessage="1" xr:uid="{EC973D08-1057-4A5B-B54C-D25739C04D86}">
          <x14:formula1>
            <xm:f>項目!C17:$KIU$786433</xm:f>
          </x14:formula1>
          <xm:sqref>KJC786439:KJC786462</xm:sqref>
        </x14:dataValidation>
        <x14:dataValidation type="list" allowBlank="1" showInputMessage="1" showErrorMessage="1" xr:uid="{A0D7E1D3-4FBE-4414-96F8-78B555CAD546}">
          <x14:formula1>
            <xm:f>項目!C17:$KSQ$786433</xm:f>
          </x14:formula1>
          <xm:sqref>KSY786439:KSY786462</xm:sqref>
        </x14:dataValidation>
        <x14:dataValidation type="list" allowBlank="1" showInputMessage="1" showErrorMessage="1" xr:uid="{C612F130-E60B-46DB-AEDF-355B0C1DE78F}">
          <x14:formula1>
            <xm:f>項目!C17:$LCM$786433</xm:f>
          </x14:formula1>
          <xm:sqref>LCU786439:LCU786462</xm:sqref>
        </x14:dataValidation>
        <x14:dataValidation type="list" allowBlank="1" showInputMessage="1" showErrorMessage="1" xr:uid="{24D2C43F-115E-4AD6-8395-8BD88C66D76B}">
          <x14:formula1>
            <xm:f>項目!C17:$LMI$786433</xm:f>
          </x14:formula1>
          <xm:sqref>LMQ786439:LMQ786462</xm:sqref>
        </x14:dataValidation>
        <x14:dataValidation type="list" allowBlank="1" showInputMessage="1" showErrorMessage="1" xr:uid="{D0B8B9CA-E86B-4A10-B204-E71EF9E6A006}">
          <x14:formula1>
            <xm:f>項目!C17:$LWE$786433</xm:f>
          </x14:formula1>
          <xm:sqref>LWM786439:LWM786462</xm:sqref>
        </x14:dataValidation>
        <x14:dataValidation type="list" allowBlank="1" showInputMessage="1" showErrorMessage="1" xr:uid="{3255BFAB-8EFD-4851-8114-CF51BE9AFBEC}">
          <x14:formula1>
            <xm:f>項目!C17:$MGA$786433</xm:f>
          </x14:formula1>
          <xm:sqref>MGI786439:MGI786462</xm:sqref>
        </x14:dataValidation>
        <x14:dataValidation type="list" allowBlank="1" showInputMessage="1" showErrorMessage="1" xr:uid="{2CA337B3-F977-4F47-8521-CEE1F78485A4}">
          <x14:formula1>
            <xm:f>項目!C17:$MPW$786433</xm:f>
          </x14:formula1>
          <xm:sqref>MQE786439:MQE786462</xm:sqref>
        </x14:dataValidation>
        <x14:dataValidation type="list" allowBlank="1" showInputMessage="1" showErrorMessage="1" xr:uid="{763BF050-8FF4-4D74-B65A-E6CA3A26FE80}">
          <x14:formula1>
            <xm:f>項目!C17:$MZS$786433</xm:f>
          </x14:formula1>
          <xm:sqref>NAA786439:NAA786462</xm:sqref>
        </x14:dataValidation>
        <x14:dataValidation type="list" allowBlank="1" showInputMessage="1" showErrorMessage="1" xr:uid="{E918BC5E-749C-4BAA-93D5-82848450AAF0}">
          <x14:formula1>
            <xm:f>項目!C17:$NJO$786433</xm:f>
          </x14:formula1>
          <xm:sqref>NJW786439:NJW786462</xm:sqref>
        </x14:dataValidation>
        <x14:dataValidation type="list" allowBlank="1" showInputMessage="1" showErrorMessage="1" xr:uid="{D3AAC8CF-E2A6-47E4-B3BE-43B98ED4DF96}">
          <x14:formula1>
            <xm:f>項目!C17:$NTK$786433</xm:f>
          </x14:formula1>
          <xm:sqref>NTS786439:NTS786462</xm:sqref>
        </x14:dataValidation>
        <x14:dataValidation type="list" allowBlank="1" showInputMessage="1" showErrorMessage="1" xr:uid="{98E9D0D0-5FD0-4A60-90FD-C3DB239B8F42}">
          <x14:formula1>
            <xm:f>項目!C17:$ODG$786433</xm:f>
          </x14:formula1>
          <xm:sqref>ODO786439:ODO786462</xm:sqref>
        </x14:dataValidation>
        <x14:dataValidation type="list" allowBlank="1" showInputMessage="1" showErrorMessage="1" xr:uid="{BD9C8F03-132E-483C-9FB3-8C0BDDDC8960}">
          <x14:formula1>
            <xm:f>項目!C17:$ONC$786433</xm:f>
          </x14:formula1>
          <xm:sqref>ONK786439:ONK786462</xm:sqref>
        </x14:dataValidation>
        <x14:dataValidation type="list" allowBlank="1" showInputMessage="1" showErrorMessage="1" xr:uid="{56D1BDCF-6D2B-4877-85B9-6E40946AFE4F}">
          <x14:formula1>
            <xm:f>項目!C17:$OWY$786433</xm:f>
          </x14:formula1>
          <xm:sqref>OXG786439:OXG786462</xm:sqref>
        </x14:dataValidation>
        <x14:dataValidation type="list" allowBlank="1" showInputMessage="1" showErrorMessage="1" xr:uid="{62E64B11-FB59-40CF-9D17-724BC5EC5921}">
          <x14:formula1>
            <xm:f>項目!C17:$PGU$786433</xm:f>
          </x14:formula1>
          <xm:sqref>PHC786439:PHC786462</xm:sqref>
        </x14:dataValidation>
        <x14:dataValidation type="list" allowBlank="1" showInputMessage="1" showErrorMessage="1" xr:uid="{1E732BD6-DD1F-404C-B2CC-277748F5D6F6}">
          <x14:formula1>
            <xm:f>項目!C17:$PQQ$786433</xm:f>
          </x14:formula1>
          <xm:sqref>PQY786439:PQY786462</xm:sqref>
        </x14:dataValidation>
        <x14:dataValidation type="list" allowBlank="1" showInputMessage="1" showErrorMessage="1" xr:uid="{358A2DD0-296F-4DA2-9448-7F4F304DB1F4}">
          <x14:formula1>
            <xm:f>項目!C17:$QAM$786433</xm:f>
          </x14:formula1>
          <xm:sqref>QAU786439:QAU786462</xm:sqref>
        </x14:dataValidation>
        <x14:dataValidation type="list" allowBlank="1" showInputMessage="1" showErrorMessage="1" xr:uid="{968EB3C1-8193-4F71-AC05-E98874862749}">
          <x14:formula1>
            <xm:f>項目!C17:$QKI$786433</xm:f>
          </x14:formula1>
          <xm:sqref>QKQ786439:QKQ786462</xm:sqref>
        </x14:dataValidation>
        <x14:dataValidation type="list" allowBlank="1" showInputMessage="1" showErrorMessage="1" xr:uid="{013E1C1B-664F-49A5-B10C-010959C0DF97}">
          <x14:formula1>
            <xm:f>項目!C17:$QUE$786433</xm:f>
          </x14:formula1>
          <xm:sqref>QUM786439:QUM786462</xm:sqref>
        </x14:dataValidation>
        <x14:dataValidation type="list" allowBlank="1" showInputMessage="1" showErrorMessage="1" xr:uid="{ABC8CC13-724A-4EFF-8543-DCA3CBB120BB}">
          <x14:formula1>
            <xm:f>項目!C17:$REA$786433</xm:f>
          </x14:formula1>
          <xm:sqref>REI786439:REI786462</xm:sqref>
        </x14:dataValidation>
        <x14:dataValidation type="list" allowBlank="1" showInputMessage="1" showErrorMessage="1" xr:uid="{D525662B-3518-4CB3-B4CD-346DF25E45A7}">
          <x14:formula1>
            <xm:f>項目!C17:$RNW$786433</xm:f>
          </x14:formula1>
          <xm:sqref>ROE786439:ROE786462</xm:sqref>
        </x14:dataValidation>
        <x14:dataValidation type="list" allowBlank="1" showInputMessage="1" showErrorMessage="1" xr:uid="{59F33B16-D5CB-402F-8BA0-C40A39B372BC}">
          <x14:formula1>
            <xm:f>項目!C17:$RXS$786433</xm:f>
          </x14:formula1>
          <xm:sqref>RYA786439:RYA786462</xm:sqref>
        </x14:dataValidation>
        <x14:dataValidation type="list" allowBlank="1" showInputMessage="1" showErrorMessage="1" xr:uid="{44214D08-D3A1-4306-BA5C-61F7A3E6B4E3}">
          <x14:formula1>
            <xm:f>項目!C17:$SHO$786433</xm:f>
          </x14:formula1>
          <xm:sqref>SHW786439:SHW786462</xm:sqref>
        </x14:dataValidation>
        <x14:dataValidation type="list" allowBlank="1" showInputMessage="1" showErrorMessage="1" xr:uid="{BEACE58C-69F6-434C-8366-52FDC546F050}">
          <x14:formula1>
            <xm:f>項目!C17:$SRK$786433</xm:f>
          </x14:formula1>
          <xm:sqref>SRS786439:SRS786462</xm:sqref>
        </x14:dataValidation>
        <x14:dataValidation type="list" allowBlank="1" showInputMessage="1" showErrorMessage="1" xr:uid="{7325B729-D5F1-4ACE-A790-776F46EAE719}">
          <x14:formula1>
            <xm:f>項目!C17:$TBG$786433</xm:f>
          </x14:formula1>
          <xm:sqref>TBO786439:TBO786462</xm:sqref>
        </x14:dataValidation>
        <x14:dataValidation type="list" allowBlank="1" showInputMessage="1" showErrorMessage="1" xr:uid="{C5F528CC-948C-4167-8460-8F71404BA836}">
          <x14:formula1>
            <xm:f>項目!C17:$TLC$786433</xm:f>
          </x14:formula1>
          <xm:sqref>TLK786439:TLK786462</xm:sqref>
        </x14:dataValidation>
        <x14:dataValidation type="list" allowBlank="1" showInputMessage="1" showErrorMessage="1" xr:uid="{35E0A42E-CDC8-40E8-8877-CE06D49B61E6}">
          <x14:formula1>
            <xm:f>項目!C17:$TUY$786433</xm:f>
          </x14:formula1>
          <xm:sqref>TVG786439:TVG786462</xm:sqref>
        </x14:dataValidation>
        <x14:dataValidation type="list" allowBlank="1" showInputMessage="1" showErrorMessage="1" xr:uid="{0DD467DC-6958-4429-948F-B25EEECD9854}">
          <x14:formula1>
            <xm:f>項目!C17:$UEU$786433</xm:f>
          </x14:formula1>
          <xm:sqref>UFC786439:UFC786462</xm:sqref>
        </x14:dataValidation>
        <x14:dataValidation type="list" allowBlank="1" showInputMessage="1" showErrorMessage="1" xr:uid="{B8A4B3EB-E9CA-4490-A974-D6B088C9C7C9}">
          <x14:formula1>
            <xm:f>項目!C17:$UOQ$786433</xm:f>
          </x14:formula1>
          <xm:sqref>UOY786439:UOY786462</xm:sqref>
        </x14:dataValidation>
        <x14:dataValidation type="list" allowBlank="1" showInputMessage="1" showErrorMessage="1" xr:uid="{9810760E-FE54-403B-805F-FF9791CA62B1}">
          <x14:formula1>
            <xm:f>項目!C17:$UYM$786433</xm:f>
          </x14:formula1>
          <xm:sqref>UYU786439:UYU786462</xm:sqref>
        </x14:dataValidation>
        <x14:dataValidation type="list" allowBlank="1" showInputMessage="1" showErrorMessage="1" xr:uid="{D6A51F40-5199-42B7-8D09-9F88D197606B}">
          <x14:formula1>
            <xm:f>項目!C17:$VII$786433</xm:f>
          </x14:formula1>
          <xm:sqref>VIQ786439:VIQ786462</xm:sqref>
        </x14:dataValidation>
        <x14:dataValidation type="list" allowBlank="1" showInputMessage="1" showErrorMessage="1" xr:uid="{EB83A93E-ECB6-42E3-B3D6-CAE17129C7B5}">
          <x14:formula1>
            <xm:f>項目!C17:$VSE$786433</xm:f>
          </x14:formula1>
          <xm:sqref>VSM786439:VSM786462</xm:sqref>
        </x14:dataValidation>
        <x14:dataValidation type="list" allowBlank="1" showInputMessage="1" showErrorMessage="1" xr:uid="{46AB8218-8EE5-4C43-B638-BB03E7DF2630}">
          <x14:formula1>
            <xm:f>項目!C17:$WCA$786433</xm:f>
          </x14:formula1>
          <xm:sqref>WCI786439:WCI786462</xm:sqref>
        </x14:dataValidation>
        <x14:dataValidation type="list" allowBlank="1" showInputMessage="1" showErrorMessage="1" xr:uid="{6E94759E-F16C-4A32-9275-0121FCA84FDB}">
          <x14:formula1>
            <xm:f>項目!C17:$WLW$786433</xm:f>
          </x14:formula1>
          <xm:sqref>WME786439:WME786462</xm:sqref>
        </x14:dataValidation>
        <x14:dataValidation type="list" allowBlank="1" showInputMessage="1" showErrorMessage="1" xr:uid="{D9288DC2-C521-42B3-864B-747BAE18EE21}">
          <x14:formula1>
            <xm:f>項目!C17:$WVS$786433</xm:f>
          </x14:formula1>
          <xm:sqref>WWA786439:WWA786462</xm:sqref>
        </x14:dataValidation>
        <x14:dataValidation type="list" allowBlank="1" showInputMessage="1" showErrorMessage="1" xr:uid="{6AD6F73B-5726-420D-9448-CD547CDADD0F}">
          <x14:formula1>
            <xm:f>項目!C17:$M$851969</xm:f>
          </x14:formula1>
          <xm:sqref>S851975:S851998</xm:sqref>
        </x14:dataValidation>
        <x14:dataValidation type="list" allowBlank="1" showInputMessage="1" showErrorMessage="1" xr:uid="{6DBB0D03-E0E5-41F8-8074-B34E4F1E469A}">
          <x14:formula1>
            <xm:f>項目!C17:$JG$851969</xm:f>
          </x14:formula1>
          <xm:sqref>JO851975:JO851998</xm:sqref>
        </x14:dataValidation>
        <x14:dataValidation type="list" allowBlank="1" showInputMessage="1" showErrorMessage="1" xr:uid="{0ADA3345-0052-4053-AD93-5BCB27F0F50D}">
          <x14:formula1>
            <xm:f>項目!C17:$TC$851969</xm:f>
          </x14:formula1>
          <xm:sqref>TK851975:TK851998</xm:sqref>
        </x14:dataValidation>
        <x14:dataValidation type="list" allowBlank="1" showInputMessage="1" showErrorMessage="1" xr:uid="{304616A5-F585-4507-B227-49CD47988BCF}">
          <x14:formula1>
            <xm:f>項目!C17:$ACY$851969</xm:f>
          </x14:formula1>
          <xm:sqref>ADG851975:ADG851998</xm:sqref>
        </x14:dataValidation>
        <x14:dataValidation type="list" allowBlank="1" showInputMessage="1" showErrorMessage="1" xr:uid="{FD21772B-AE99-49F1-B8DA-D2F486B159AF}">
          <x14:formula1>
            <xm:f>項目!C17:$AMU$851969</xm:f>
          </x14:formula1>
          <xm:sqref>ANC851975:ANC851998</xm:sqref>
        </x14:dataValidation>
        <x14:dataValidation type="list" allowBlank="1" showInputMessage="1" showErrorMessage="1" xr:uid="{6ABBA7F1-C4A0-410F-B84C-A9D11B1FB5E8}">
          <x14:formula1>
            <xm:f>項目!C17:$AWQ$851969</xm:f>
          </x14:formula1>
          <xm:sqref>AWY851975:AWY851998</xm:sqref>
        </x14:dataValidation>
        <x14:dataValidation type="list" allowBlank="1" showInputMessage="1" showErrorMessage="1" xr:uid="{9D28FC53-93A9-4F20-BDCF-BD4C8557DF74}">
          <x14:formula1>
            <xm:f>項目!C17:$BGM$851969</xm:f>
          </x14:formula1>
          <xm:sqref>BGU851975:BGU851998</xm:sqref>
        </x14:dataValidation>
        <x14:dataValidation type="list" allowBlank="1" showInputMessage="1" showErrorMessage="1" xr:uid="{22341AB3-DDDC-4DAA-91D9-B83DCD627063}">
          <x14:formula1>
            <xm:f>項目!C17:$BQI$851969</xm:f>
          </x14:formula1>
          <xm:sqref>BQQ851975:BQQ851998</xm:sqref>
        </x14:dataValidation>
        <x14:dataValidation type="list" allowBlank="1" showInputMessage="1" showErrorMessage="1" xr:uid="{5BBFA0C2-0284-451F-81AA-E85E1369B369}">
          <x14:formula1>
            <xm:f>項目!C17:$CAE$851969</xm:f>
          </x14:formula1>
          <xm:sqref>CAM851975:CAM851998</xm:sqref>
        </x14:dataValidation>
        <x14:dataValidation type="list" allowBlank="1" showInputMessage="1" showErrorMessage="1" xr:uid="{BF3CAB9C-E2CE-4871-B7DD-BFF3F553F000}">
          <x14:formula1>
            <xm:f>項目!C17:$CKA$851969</xm:f>
          </x14:formula1>
          <xm:sqref>CKI851975:CKI851998</xm:sqref>
        </x14:dataValidation>
        <x14:dataValidation type="list" allowBlank="1" showInputMessage="1" showErrorMessage="1" xr:uid="{11751BF3-A7EB-45D1-8FB2-3568C0766E97}">
          <x14:formula1>
            <xm:f>項目!C17:$CTW$851969</xm:f>
          </x14:formula1>
          <xm:sqref>CUE851975:CUE851998</xm:sqref>
        </x14:dataValidation>
        <x14:dataValidation type="list" allowBlank="1" showInputMessage="1" showErrorMessage="1" xr:uid="{16587474-5B49-4028-A5B8-5066045C0FE8}">
          <x14:formula1>
            <xm:f>項目!C17:$DDS$851969</xm:f>
          </x14:formula1>
          <xm:sqref>DEA851975:DEA851998</xm:sqref>
        </x14:dataValidation>
        <x14:dataValidation type="list" allowBlank="1" showInputMessage="1" showErrorMessage="1" xr:uid="{BC7BF60A-CE76-461E-9A8D-1F1B74327B18}">
          <x14:formula1>
            <xm:f>項目!C17:$DNO$851969</xm:f>
          </x14:formula1>
          <xm:sqref>DNW851975:DNW851998</xm:sqref>
        </x14:dataValidation>
        <x14:dataValidation type="list" allowBlank="1" showInputMessage="1" showErrorMessage="1" xr:uid="{6EEAE73F-394B-4E74-94A0-A92990D288D5}">
          <x14:formula1>
            <xm:f>項目!C17:$DXK$851969</xm:f>
          </x14:formula1>
          <xm:sqref>DXS851975:DXS851998</xm:sqref>
        </x14:dataValidation>
        <x14:dataValidation type="list" allowBlank="1" showInputMessage="1" showErrorMessage="1" xr:uid="{0F938F07-4962-4A47-B830-6AA150732460}">
          <x14:formula1>
            <xm:f>項目!C17:$EHG$851969</xm:f>
          </x14:formula1>
          <xm:sqref>EHO851975:EHO851998</xm:sqref>
        </x14:dataValidation>
        <x14:dataValidation type="list" allowBlank="1" showInputMessage="1" showErrorMessage="1" xr:uid="{5F513E31-463A-4D34-B50D-248442094A3B}">
          <x14:formula1>
            <xm:f>項目!C17:$ERC$851969</xm:f>
          </x14:formula1>
          <xm:sqref>ERK851975:ERK851998</xm:sqref>
        </x14:dataValidation>
        <x14:dataValidation type="list" allowBlank="1" showInputMessage="1" showErrorMessage="1" xr:uid="{CA2B0D95-53E1-4C59-B454-3D122275AA7F}">
          <x14:formula1>
            <xm:f>項目!C17:$FAY$851969</xm:f>
          </x14:formula1>
          <xm:sqref>FBG851975:FBG851998</xm:sqref>
        </x14:dataValidation>
        <x14:dataValidation type="list" allowBlank="1" showInputMessage="1" showErrorMessage="1" xr:uid="{1F41574B-73E0-4F1C-86E2-F0906483463B}">
          <x14:formula1>
            <xm:f>項目!C17:$FKU$851969</xm:f>
          </x14:formula1>
          <xm:sqref>FLC851975:FLC851998</xm:sqref>
        </x14:dataValidation>
        <x14:dataValidation type="list" allowBlank="1" showInputMessage="1" showErrorMessage="1" xr:uid="{3C1914AA-FA4E-4EA8-B918-C509D9835370}">
          <x14:formula1>
            <xm:f>項目!C17:$FUQ$851969</xm:f>
          </x14:formula1>
          <xm:sqref>FUY851975:FUY851998</xm:sqref>
        </x14:dataValidation>
        <x14:dataValidation type="list" allowBlank="1" showInputMessage="1" showErrorMessage="1" xr:uid="{D0CE0958-00FA-4388-97C1-B1A1020EAD5C}">
          <x14:formula1>
            <xm:f>項目!C17:$GEM$851969</xm:f>
          </x14:formula1>
          <xm:sqref>GEU851975:GEU851998</xm:sqref>
        </x14:dataValidation>
        <x14:dataValidation type="list" allowBlank="1" showInputMessage="1" showErrorMessage="1" xr:uid="{EFBE73E8-06B3-47DD-B300-C8670EB2705E}">
          <x14:formula1>
            <xm:f>項目!C17:$GOI$851969</xm:f>
          </x14:formula1>
          <xm:sqref>GOQ851975:GOQ851998</xm:sqref>
        </x14:dataValidation>
        <x14:dataValidation type="list" allowBlank="1" showInputMessage="1" showErrorMessage="1" xr:uid="{B4A98448-2236-4D36-B336-F5F3CB5B613D}">
          <x14:formula1>
            <xm:f>項目!C17:$GYE$851969</xm:f>
          </x14:formula1>
          <xm:sqref>GYM851975:GYM851998</xm:sqref>
        </x14:dataValidation>
        <x14:dataValidation type="list" allowBlank="1" showInputMessage="1" showErrorMessage="1" xr:uid="{F9065DC8-D3FD-420F-8A11-AF3CC1DADB19}">
          <x14:formula1>
            <xm:f>項目!C17:$HIA$851969</xm:f>
          </x14:formula1>
          <xm:sqref>HII851975:HII851998</xm:sqref>
        </x14:dataValidation>
        <x14:dataValidation type="list" allowBlank="1" showInputMessage="1" showErrorMessage="1" xr:uid="{5315ED21-FB5C-451A-BF71-7BA3601F14B4}">
          <x14:formula1>
            <xm:f>項目!C17:$HRW$851969</xm:f>
          </x14:formula1>
          <xm:sqref>HSE851975:HSE851998</xm:sqref>
        </x14:dataValidation>
        <x14:dataValidation type="list" allowBlank="1" showInputMessage="1" showErrorMessage="1" xr:uid="{F9826389-F079-463E-A126-42FB693322ED}">
          <x14:formula1>
            <xm:f>項目!C17:$IBS$851969</xm:f>
          </x14:formula1>
          <xm:sqref>ICA851975:ICA851998</xm:sqref>
        </x14:dataValidation>
        <x14:dataValidation type="list" allowBlank="1" showInputMessage="1" showErrorMessage="1" xr:uid="{1481A5A9-8C41-4654-B794-B9BF19F41D23}">
          <x14:formula1>
            <xm:f>項目!C17:$ILO$851969</xm:f>
          </x14:formula1>
          <xm:sqref>ILW851975:ILW851998</xm:sqref>
        </x14:dataValidation>
        <x14:dataValidation type="list" allowBlank="1" showInputMessage="1" showErrorMessage="1" xr:uid="{E7009722-C6F1-48F4-9AF7-A62BAF66A0F9}">
          <x14:formula1>
            <xm:f>項目!C17:$IVK$851969</xm:f>
          </x14:formula1>
          <xm:sqref>IVS851975:IVS851998</xm:sqref>
        </x14:dataValidation>
        <x14:dataValidation type="list" allowBlank="1" showInputMessage="1" showErrorMessage="1" xr:uid="{12F9A22F-5039-40EA-B2F8-5BD5ED13A2CF}">
          <x14:formula1>
            <xm:f>項目!C17:$JFG$851969</xm:f>
          </x14:formula1>
          <xm:sqref>JFO851975:JFO851998</xm:sqref>
        </x14:dataValidation>
        <x14:dataValidation type="list" allowBlank="1" showInputMessage="1" showErrorMessage="1" xr:uid="{03537D43-A74D-452A-935A-6AE05FCA86A3}">
          <x14:formula1>
            <xm:f>項目!C17:$JPC$851969</xm:f>
          </x14:formula1>
          <xm:sqref>JPK851975:JPK851998</xm:sqref>
        </x14:dataValidation>
        <x14:dataValidation type="list" allowBlank="1" showInputMessage="1" showErrorMessage="1" xr:uid="{0AFBB4A4-952D-4A84-8A4C-F5579FA50028}">
          <x14:formula1>
            <xm:f>項目!C17:$JYY$851969</xm:f>
          </x14:formula1>
          <xm:sqref>JZG851975:JZG851998</xm:sqref>
        </x14:dataValidation>
        <x14:dataValidation type="list" allowBlank="1" showInputMessage="1" showErrorMessage="1" xr:uid="{A4C6D5CF-056C-4B21-95B0-D635B0E342C8}">
          <x14:formula1>
            <xm:f>項目!C17:$KIU$851969</xm:f>
          </x14:formula1>
          <xm:sqref>KJC851975:KJC851998</xm:sqref>
        </x14:dataValidation>
        <x14:dataValidation type="list" allowBlank="1" showInputMessage="1" showErrorMessage="1" xr:uid="{71612A40-4868-4A4C-A86A-7C816581E544}">
          <x14:formula1>
            <xm:f>項目!C17:$KSQ$851969</xm:f>
          </x14:formula1>
          <xm:sqref>KSY851975:KSY851998</xm:sqref>
        </x14:dataValidation>
        <x14:dataValidation type="list" allowBlank="1" showInputMessage="1" showErrorMessage="1" xr:uid="{96369240-C49E-4140-B98C-3D45B2313845}">
          <x14:formula1>
            <xm:f>項目!C17:$LCM$851969</xm:f>
          </x14:formula1>
          <xm:sqref>LCU851975:LCU851998</xm:sqref>
        </x14:dataValidation>
        <x14:dataValidation type="list" allowBlank="1" showInputMessage="1" showErrorMessage="1" xr:uid="{7271A385-4C61-49C8-B8F0-CE01FB48F6AE}">
          <x14:formula1>
            <xm:f>項目!C17:$LMI$851969</xm:f>
          </x14:formula1>
          <xm:sqref>LMQ851975:LMQ851998</xm:sqref>
        </x14:dataValidation>
        <x14:dataValidation type="list" allowBlank="1" showInputMessage="1" showErrorMessage="1" xr:uid="{3BB5AC33-625F-472D-B6E8-C2A04B9BD242}">
          <x14:formula1>
            <xm:f>項目!C17:$LWE$851969</xm:f>
          </x14:formula1>
          <xm:sqref>LWM851975:LWM851998</xm:sqref>
        </x14:dataValidation>
        <x14:dataValidation type="list" allowBlank="1" showInputMessage="1" showErrorMessage="1" xr:uid="{31A8BD9E-89AF-4E00-9967-5562C434C3EF}">
          <x14:formula1>
            <xm:f>項目!C17:$MGA$851969</xm:f>
          </x14:formula1>
          <xm:sqref>MGI851975:MGI851998</xm:sqref>
        </x14:dataValidation>
        <x14:dataValidation type="list" allowBlank="1" showInputMessage="1" showErrorMessage="1" xr:uid="{437567F1-DEF0-47DE-8FC6-85241CBD1AD2}">
          <x14:formula1>
            <xm:f>項目!C17:$MPW$851969</xm:f>
          </x14:formula1>
          <xm:sqref>MQE851975:MQE851998</xm:sqref>
        </x14:dataValidation>
        <x14:dataValidation type="list" allowBlank="1" showInputMessage="1" showErrorMessage="1" xr:uid="{29B3247C-879A-4FB3-9215-052920E0D1E6}">
          <x14:formula1>
            <xm:f>項目!C17:$MZS$851969</xm:f>
          </x14:formula1>
          <xm:sqref>NAA851975:NAA851998</xm:sqref>
        </x14:dataValidation>
        <x14:dataValidation type="list" allowBlank="1" showInputMessage="1" showErrorMessage="1" xr:uid="{C28E91B8-0F15-4299-B6F5-D45E3CC01E7D}">
          <x14:formula1>
            <xm:f>項目!C17:$NJO$851969</xm:f>
          </x14:formula1>
          <xm:sqref>NJW851975:NJW851998</xm:sqref>
        </x14:dataValidation>
        <x14:dataValidation type="list" allowBlank="1" showInputMessage="1" showErrorMessage="1" xr:uid="{01269DBD-0AB0-4E17-9A80-BFBBBE270AB5}">
          <x14:formula1>
            <xm:f>項目!C17:$NTK$851969</xm:f>
          </x14:formula1>
          <xm:sqref>NTS851975:NTS851998</xm:sqref>
        </x14:dataValidation>
        <x14:dataValidation type="list" allowBlank="1" showInputMessage="1" showErrorMessage="1" xr:uid="{C9F6EF91-6F61-4DF8-BA8F-C1EC2E037A75}">
          <x14:formula1>
            <xm:f>項目!C17:$ODG$851969</xm:f>
          </x14:formula1>
          <xm:sqref>ODO851975:ODO851998</xm:sqref>
        </x14:dataValidation>
        <x14:dataValidation type="list" allowBlank="1" showInputMessage="1" showErrorMessage="1" xr:uid="{5F23830B-6489-48E8-917B-219C59536E9C}">
          <x14:formula1>
            <xm:f>項目!C17:$ONC$851969</xm:f>
          </x14:formula1>
          <xm:sqref>ONK851975:ONK851998</xm:sqref>
        </x14:dataValidation>
        <x14:dataValidation type="list" allowBlank="1" showInputMessage="1" showErrorMessage="1" xr:uid="{ACBD1651-6718-4552-AB06-AC3461535EDC}">
          <x14:formula1>
            <xm:f>項目!C17:$OWY$851969</xm:f>
          </x14:formula1>
          <xm:sqref>OXG851975:OXG851998</xm:sqref>
        </x14:dataValidation>
        <x14:dataValidation type="list" allowBlank="1" showInputMessage="1" showErrorMessage="1" xr:uid="{58F26634-B834-4C15-819B-22CE47AFE6D1}">
          <x14:formula1>
            <xm:f>項目!C17:$PGU$851969</xm:f>
          </x14:formula1>
          <xm:sqref>PHC851975:PHC851998</xm:sqref>
        </x14:dataValidation>
        <x14:dataValidation type="list" allowBlank="1" showInputMessage="1" showErrorMessage="1" xr:uid="{BEF4B535-7014-49DD-8357-2538EA9A3D86}">
          <x14:formula1>
            <xm:f>項目!C17:$PQQ$851969</xm:f>
          </x14:formula1>
          <xm:sqref>PQY851975:PQY851998</xm:sqref>
        </x14:dataValidation>
        <x14:dataValidation type="list" allowBlank="1" showInputMessage="1" showErrorMessage="1" xr:uid="{11482350-F2DE-4CCE-B51C-2654128CDF2B}">
          <x14:formula1>
            <xm:f>項目!C17:$QAM$851969</xm:f>
          </x14:formula1>
          <xm:sqref>QAU851975:QAU851998</xm:sqref>
        </x14:dataValidation>
        <x14:dataValidation type="list" allowBlank="1" showInputMessage="1" showErrorMessage="1" xr:uid="{CCB8E2A9-FEE8-400C-8757-26CDF1F52B4E}">
          <x14:formula1>
            <xm:f>項目!C17:$QKI$851969</xm:f>
          </x14:formula1>
          <xm:sqref>QKQ851975:QKQ851998</xm:sqref>
        </x14:dataValidation>
        <x14:dataValidation type="list" allowBlank="1" showInputMessage="1" showErrorMessage="1" xr:uid="{367E9263-4259-4460-8F0E-6F3B8DFC7145}">
          <x14:formula1>
            <xm:f>項目!C17:$QUE$851969</xm:f>
          </x14:formula1>
          <xm:sqref>QUM851975:QUM851998</xm:sqref>
        </x14:dataValidation>
        <x14:dataValidation type="list" allowBlank="1" showInputMessage="1" showErrorMessage="1" xr:uid="{68EC7804-5CB9-445B-B5FA-0A619AAA1B0F}">
          <x14:formula1>
            <xm:f>項目!C17:$REA$851969</xm:f>
          </x14:formula1>
          <xm:sqref>REI851975:REI851998</xm:sqref>
        </x14:dataValidation>
        <x14:dataValidation type="list" allowBlank="1" showInputMessage="1" showErrorMessage="1" xr:uid="{4E44851E-49B1-4AF9-B541-9FF270FCB82D}">
          <x14:formula1>
            <xm:f>項目!C17:$RNW$851969</xm:f>
          </x14:formula1>
          <xm:sqref>ROE851975:ROE851998</xm:sqref>
        </x14:dataValidation>
        <x14:dataValidation type="list" allowBlank="1" showInputMessage="1" showErrorMessage="1" xr:uid="{B3BBFFED-1EEE-42ED-B2C7-8208A8DA85FE}">
          <x14:formula1>
            <xm:f>項目!C17:$RXS$851969</xm:f>
          </x14:formula1>
          <xm:sqref>RYA851975:RYA851998</xm:sqref>
        </x14:dataValidation>
        <x14:dataValidation type="list" allowBlank="1" showInputMessage="1" showErrorMessage="1" xr:uid="{13CEE076-938D-4754-B0C0-0F1CDB9E54D4}">
          <x14:formula1>
            <xm:f>項目!C17:$SHO$851969</xm:f>
          </x14:formula1>
          <xm:sqref>SHW851975:SHW851998</xm:sqref>
        </x14:dataValidation>
        <x14:dataValidation type="list" allowBlank="1" showInputMessage="1" showErrorMessage="1" xr:uid="{6A5D5A11-64B4-40EB-84BC-9BE421383D13}">
          <x14:formula1>
            <xm:f>項目!C17:$SRK$851969</xm:f>
          </x14:formula1>
          <xm:sqref>SRS851975:SRS851998</xm:sqref>
        </x14:dataValidation>
        <x14:dataValidation type="list" allowBlank="1" showInputMessage="1" showErrorMessage="1" xr:uid="{3B12D328-50D0-498A-AB96-864F031B3C75}">
          <x14:formula1>
            <xm:f>項目!C17:$TBG$851969</xm:f>
          </x14:formula1>
          <xm:sqref>TBO851975:TBO851998</xm:sqref>
        </x14:dataValidation>
        <x14:dataValidation type="list" allowBlank="1" showInputMessage="1" showErrorMessage="1" xr:uid="{4CE44972-C7A1-4DA0-9779-CE310B21643D}">
          <x14:formula1>
            <xm:f>項目!C17:$TLC$851969</xm:f>
          </x14:formula1>
          <xm:sqref>TLK851975:TLK851998</xm:sqref>
        </x14:dataValidation>
        <x14:dataValidation type="list" allowBlank="1" showInputMessage="1" showErrorMessage="1" xr:uid="{2BAA90E4-43CC-4757-9C94-A9DF34EEA2C8}">
          <x14:formula1>
            <xm:f>項目!C17:$TUY$851969</xm:f>
          </x14:formula1>
          <xm:sqref>TVG851975:TVG851998</xm:sqref>
        </x14:dataValidation>
        <x14:dataValidation type="list" allowBlank="1" showInputMessage="1" showErrorMessage="1" xr:uid="{F8CCCD09-9581-4FAB-A401-BD5F718E8646}">
          <x14:formula1>
            <xm:f>項目!C17:$UEU$851969</xm:f>
          </x14:formula1>
          <xm:sqref>UFC851975:UFC851998</xm:sqref>
        </x14:dataValidation>
        <x14:dataValidation type="list" allowBlank="1" showInputMessage="1" showErrorMessage="1" xr:uid="{16C664AF-4855-4DC0-81BE-8FFD37A145F2}">
          <x14:formula1>
            <xm:f>項目!C17:$UOQ$851969</xm:f>
          </x14:formula1>
          <xm:sqref>UOY851975:UOY851998</xm:sqref>
        </x14:dataValidation>
        <x14:dataValidation type="list" allowBlank="1" showInputMessage="1" showErrorMessage="1" xr:uid="{F017AFD8-DB92-41E9-AF6D-2BDD8A073FF1}">
          <x14:formula1>
            <xm:f>項目!C17:$UYM$851969</xm:f>
          </x14:formula1>
          <xm:sqref>UYU851975:UYU851998</xm:sqref>
        </x14:dataValidation>
        <x14:dataValidation type="list" allowBlank="1" showInputMessage="1" showErrorMessage="1" xr:uid="{80C0E31A-47EC-4CDD-8539-C9644DC035F7}">
          <x14:formula1>
            <xm:f>項目!C17:$VII$851969</xm:f>
          </x14:formula1>
          <xm:sqref>VIQ851975:VIQ851998</xm:sqref>
        </x14:dataValidation>
        <x14:dataValidation type="list" allowBlank="1" showInputMessage="1" showErrorMessage="1" xr:uid="{56843352-9BB9-43C5-9B4A-E33E45575F49}">
          <x14:formula1>
            <xm:f>項目!C17:$VSE$851969</xm:f>
          </x14:formula1>
          <xm:sqref>VSM851975:VSM851998</xm:sqref>
        </x14:dataValidation>
        <x14:dataValidation type="list" allowBlank="1" showInputMessage="1" showErrorMessage="1" xr:uid="{38AD5FDA-C327-4617-B982-5A060DFDC6A2}">
          <x14:formula1>
            <xm:f>項目!C17:$WCA$851969</xm:f>
          </x14:formula1>
          <xm:sqref>WCI851975:WCI851998</xm:sqref>
        </x14:dataValidation>
        <x14:dataValidation type="list" allowBlank="1" showInputMessage="1" showErrorMessage="1" xr:uid="{5DE9A0A7-FEED-4E5F-B22A-1BB292D7C9BD}">
          <x14:formula1>
            <xm:f>項目!C17:$WLW$851969</xm:f>
          </x14:formula1>
          <xm:sqref>WME851975:WME851998</xm:sqref>
        </x14:dataValidation>
        <x14:dataValidation type="list" allowBlank="1" showInputMessage="1" showErrorMessage="1" xr:uid="{24FF0AFB-D831-42E7-9025-F4FB15D641AE}">
          <x14:formula1>
            <xm:f>項目!C17:$WVS$851969</xm:f>
          </x14:formula1>
          <xm:sqref>WWA851975:WWA851998</xm:sqref>
        </x14:dataValidation>
        <x14:dataValidation type="list" allowBlank="1" showInputMessage="1" showErrorMessage="1" xr:uid="{9B4BA6F9-8B30-468D-9BD4-AD62898411F9}">
          <x14:formula1>
            <xm:f>項目!C17:$M$917505</xm:f>
          </x14:formula1>
          <xm:sqref>S917511:S917534</xm:sqref>
        </x14:dataValidation>
        <x14:dataValidation type="list" allowBlank="1" showInputMessage="1" showErrorMessage="1" xr:uid="{577F6E76-43EE-457B-AEB9-72C5CEEAFC92}">
          <x14:formula1>
            <xm:f>項目!C17:$JG$917505</xm:f>
          </x14:formula1>
          <xm:sqref>JO917511:JO917534</xm:sqref>
        </x14:dataValidation>
        <x14:dataValidation type="list" allowBlank="1" showInputMessage="1" showErrorMessage="1" xr:uid="{09C40256-F693-4A00-BBD4-C970E9181776}">
          <x14:formula1>
            <xm:f>項目!C17:$TC$917505</xm:f>
          </x14:formula1>
          <xm:sqref>TK917511:TK917534</xm:sqref>
        </x14:dataValidation>
        <x14:dataValidation type="list" allowBlank="1" showInputMessage="1" showErrorMessage="1" xr:uid="{FEFE5321-B55E-4768-92C8-1197AF2E5BD1}">
          <x14:formula1>
            <xm:f>項目!C17:$ACY$917505</xm:f>
          </x14:formula1>
          <xm:sqref>ADG917511:ADG917534</xm:sqref>
        </x14:dataValidation>
        <x14:dataValidation type="list" allowBlank="1" showInputMessage="1" showErrorMessage="1" xr:uid="{82F2ADA2-6C7D-48D0-95C1-F43656EBBF7F}">
          <x14:formula1>
            <xm:f>項目!C17:$AMU$917505</xm:f>
          </x14:formula1>
          <xm:sqref>ANC917511:ANC917534</xm:sqref>
        </x14:dataValidation>
        <x14:dataValidation type="list" allowBlank="1" showInputMessage="1" showErrorMessage="1" xr:uid="{6D3063DA-C18E-403A-B9FB-7B5696A3C7D8}">
          <x14:formula1>
            <xm:f>項目!C17:$AWQ$917505</xm:f>
          </x14:formula1>
          <xm:sqref>AWY917511:AWY917534</xm:sqref>
        </x14:dataValidation>
        <x14:dataValidation type="list" allowBlank="1" showInputMessage="1" showErrorMessage="1" xr:uid="{4ED2113B-CF68-4F86-8B21-3BC9FA0F9DF0}">
          <x14:formula1>
            <xm:f>項目!C17:$BGM$917505</xm:f>
          </x14:formula1>
          <xm:sqref>BGU917511:BGU917534</xm:sqref>
        </x14:dataValidation>
        <x14:dataValidation type="list" allowBlank="1" showInputMessage="1" showErrorMessage="1" xr:uid="{154C0BFB-1B0D-430F-BE39-9E13B5C945C5}">
          <x14:formula1>
            <xm:f>項目!C17:$BQI$917505</xm:f>
          </x14:formula1>
          <xm:sqref>BQQ917511:BQQ917534</xm:sqref>
        </x14:dataValidation>
        <x14:dataValidation type="list" allowBlank="1" showInputMessage="1" showErrorMessage="1" xr:uid="{D94B1D97-B7B4-4637-85D8-8D20CBF1FEE6}">
          <x14:formula1>
            <xm:f>項目!C17:$CAE$917505</xm:f>
          </x14:formula1>
          <xm:sqref>CAM917511:CAM917534</xm:sqref>
        </x14:dataValidation>
        <x14:dataValidation type="list" allowBlank="1" showInputMessage="1" showErrorMessage="1" xr:uid="{EE92BC2F-671B-4086-8BC1-C99C8EC9BE54}">
          <x14:formula1>
            <xm:f>項目!C17:$CKA$917505</xm:f>
          </x14:formula1>
          <xm:sqref>CKI917511:CKI917534</xm:sqref>
        </x14:dataValidation>
        <x14:dataValidation type="list" allowBlank="1" showInputMessage="1" showErrorMessage="1" xr:uid="{9835B470-4C76-4790-BD3A-C1F4E5B8A6AE}">
          <x14:formula1>
            <xm:f>項目!C17:$CTW$917505</xm:f>
          </x14:formula1>
          <xm:sqref>CUE917511:CUE917534</xm:sqref>
        </x14:dataValidation>
        <x14:dataValidation type="list" allowBlank="1" showInputMessage="1" showErrorMessage="1" xr:uid="{0424AB46-8D0D-4242-8513-6AFB166D29B2}">
          <x14:formula1>
            <xm:f>項目!C17:$DDS$917505</xm:f>
          </x14:formula1>
          <xm:sqref>DEA917511:DEA917534</xm:sqref>
        </x14:dataValidation>
        <x14:dataValidation type="list" allowBlank="1" showInputMessage="1" showErrorMessage="1" xr:uid="{939F5BEB-CAFF-4EC1-937E-CDD4724C2A85}">
          <x14:formula1>
            <xm:f>項目!C17:$DNO$917505</xm:f>
          </x14:formula1>
          <xm:sqref>DNW917511:DNW917534</xm:sqref>
        </x14:dataValidation>
        <x14:dataValidation type="list" allowBlank="1" showInputMessage="1" showErrorMessage="1" xr:uid="{282AF753-4AA1-408B-BC99-DEBEEF07A879}">
          <x14:formula1>
            <xm:f>項目!C17:$DXK$917505</xm:f>
          </x14:formula1>
          <xm:sqref>DXS917511:DXS917534</xm:sqref>
        </x14:dataValidation>
        <x14:dataValidation type="list" allowBlank="1" showInputMessage="1" showErrorMessage="1" xr:uid="{C08DC73E-8A6E-4BEF-90A9-F1D942AB3FA8}">
          <x14:formula1>
            <xm:f>項目!C17:$EHG$917505</xm:f>
          </x14:formula1>
          <xm:sqref>EHO917511:EHO917534</xm:sqref>
        </x14:dataValidation>
        <x14:dataValidation type="list" allowBlank="1" showInputMessage="1" showErrorMessage="1" xr:uid="{57C3FDE8-7A19-4F79-8A41-400702771D6C}">
          <x14:formula1>
            <xm:f>項目!C17:$ERC$917505</xm:f>
          </x14:formula1>
          <xm:sqref>ERK917511:ERK917534</xm:sqref>
        </x14:dataValidation>
        <x14:dataValidation type="list" allowBlank="1" showInputMessage="1" showErrorMessage="1" xr:uid="{9C17095E-C9A3-4C32-A209-A55104BD13B2}">
          <x14:formula1>
            <xm:f>項目!C17:$FAY$917505</xm:f>
          </x14:formula1>
          <xm:sqref>FBG917511:FBG917534</xm:sqref>
        </x14:dataValidation>
        <x14:dataValidation type="list" allowBlank="1" showInputMessage="1" showErrorMessage="1" xr:uid="{0C99A740-CF6F-45B8-8E59-1696F1B2A68E}">
          <x14:formula1>
            <xm:f>項目!C17:$FKU$917505</xm:f>
          </x14:formula1>
          <xm:sqref>FLC917511:FLC917534</xm:sqref>
        </x14:dataValidation>
        <x14:dataValidation type="list" allowBlank="1" showInputMessage="1" showErrorMessage="1" xr:uid="{AC8B2233-5C41-45FB-9942-06F4920D71CB}">
          <x14:formula1>
            <xm:f>項目!C17:$FUQ$917505</xm:f>
          </x14:formula1>
          <xm:sqref>FUY917511:FUY917534</xm:sqref>
        </x14:dataValidation>
        <x14:dataValidation type="list" allowBlank="1" showInputMessage="1" showErrorMessage="1" xr:uid="{A5A48698-8F4D-4524-A64F-6F563F38B6F5}">
          <x14:formula1>
            <xm:f>項目!C17:$GEM$917505</xm:f>
          </x14:formula1>
          <xm:sqref>GEU917511:GEU917534</xm:sqref>
        </x14:dataValidation>
        <x14:dataValidation type="list" allowBlank="1" showInputMessage="1" showErrorMessage="1" xr:uid="{3B966D68-8FC7-4876-81C1-0BBD06347A6E}">
          <x14:formula1>
            <xm:f>項目!C17:$GOI$917505</xm:f>
          </x14:formula1>
          <xm:sqref>GOQ917511:GOQ917534</xm:sqref>
        </x14:dataValidation>
        <x14:dataValidation type="list" allowBlank="1" showInputMessage="1" showErrorMessage="1" xr:uid="{E92BE912-CEAF-4F7B-A41D-8D4861E51F86}">
          <x14:formula1>
            <xm:f>項目!C17:$GYE$917505</xm:f>
          </x14:formula1>
          <xm:sqref>GYM917511:GYM917534</xm:sqref>
        </x14:dataValidation>
        <x14:dataValidation type="list" allowBlank="1" showInputMessage="1" showErrorMessage="1" xr:uid="{2EE8D930-0832-4891-863C-3E5B0B109BAF}">
          <x14:formula1>
            <xm:f>項目!C17:$HIA$917505</xm:f>
          </x14:formula1>
          <xm:sqref>HII917511:HII917534</xm:sqref>
        </x14:dataValidation>
        <x14:dataValidation type="list" allowBlank="1" showInputMessage="1" showErrorMessage="1" xr:uid="{22F65EF2-5911-470D-9F93-CB8885FF97F4}">
          <x14:formula1>
            <xm:f>項目!C17:$HRW$917505</xm:f>
          </x14:formula1>
          <xm:sqref>HSE917511:HSE917534</xm:sqref>
        </x14:dataValidation>
        <x14:dataValidation type="list" allowBlank="1" showInputMessage="1" showErrorMessage="1" xr:uid="{E86F5FA9-E70E-4DD3-BE5E-BFCD1F70738D}">
          <x14:formula1>
            <xm:f>項目!C17:$IBS$917505</xm:f>
          </x14:formula1>
          <xm:sqref>ICA917511:ICA917534</xm:sqref>
        </x14:dataValidation>
        <x14:dataValidation type="list" allowBlank="1" showInputMessage="1" showErrorMessage="1" xr:uid="{A8C5CBD6-36CF-4045-90F4-4E3C3CAA0F0E}">
          <x14:formula1>
            <xm:f>項目!C17:$ILO$917505</xm:f>
          </x14:formula1>
          <xm:sqref>ILW917511:ILW917534</xm:sqref>
        </x14:dataValidation>
        <x14:dataValidation type="list" allowBlank="1" showInputMessage="1" showErrorMessage="1" xr:uid="{8E079B73-EC09-4641-A92B-009888485D06}">
          <x14:formula1>
            <xm:f>項目!C17:$IVK$917505</xm:f>
          </x14:formula1>
          <xm:sqref>IVS917511:IVS917534</xm:sqref>
        </x14:dataValidation>
        <x14:dataValidation type="list" allowBlank="1" showInputMessage="1" showErrorMessage="1" xr:uid="{38D85632-E117-486B-AFB5-D555934B9CB6}">
          <x14:formula1>
            <xm:f>項目!C17:$JFG$917505</xm:f>
          </x14:formula1>
          <xm:sqref>JFO917511:JFO917534</xm:sqref>
        </x14:dataValidation>
        <x14:dataValidation type="list" allowBlank="1" showInputMessage="1" showErrorMessage="1" xr:uid="{E8362D7E-A37A-44FF-AD72-52EDF426F268}">
          <x14:formula1>
            <xm:f>項目!C17:$JPC$917505</xm:f>
          </x14:formula1>
          <xm:sqref>JPK917511:JPK917534</xm:sqref>
        </x14:dataValidation>
        <x14:dataValidation type="list" allowBlank="1" showInputMessage="1" showErrorMessage="1" xr:uid="{6ECDDFD7-2FF0-4122-98F3-650BDF47B451}">
          <x14:formula1>
            <xm:f>項目!C17:$JYY$917505</xm:f>
          </x14:formula1>
          <xm:sqref>JZG917511:JZG917534</xm:sqref>
        </x14:dataValidation>
        <x14:dataValidation type="list" allowBlank="1" showInputMessage="1" showErrorMessage="1" xr:uid="{B43582F4-3E03-46AC-9C8D-1A4816B030C3}">
          <x14:formula1>
            <xm:f>項目!C17:$KIU$917505</xm:f>
          </x14:formula1>
          <xm:sqref>KJC917511:KJC917534</xm:sqref>
        </x14:dataValidation>
        <x14:dataValidation type="list" allowBlank="1" showInputMessage="1" showErrorMessage="1" xr:uid="{85B37A9B-B490-45BC-BC03-CB7D5DF8586F}">
          <x14:formula1>
            <xm:f>項目!C17:$KSQ$917505</xm:f>
          </x14:formula1>
          <xm:sqref>KSY917511:KSY917534</xm:sqref>
        </x14:dataValidation>
        <x14:dataValidation type="list" allowBlank="1" showInputMessage="1" showErrorMessage="1" xr:uid="{6A8DEBA9-30D0-4216-873F-28AE332CCCD9}">
          <x14:formula1>
            <xm:f>項目!C17:$LCM$917505</xm:f>
          </x14:formula1>
          <xm:sqref>LCU917511:LCU917534</xm:sqref>
        </x14:dataValidation>
        <x14:dataValidation type="list" allowBlank="1" showInputMessage="1" showErrorMessage="1" xr:uid="{B23BF582-AADB-4A61-AF81-FEA825FD195D}">
          <x14:formula1>
            <xm:f>項目!C17:$LMI$917505</xm:f>
          </x14:formula1>
          <xm:sqref>LMQ917511:LMQ917534</xm:sqref>
        </x14:dataValidation>
        <x14:dataValidation type="list" allowBlank="1" showInputMessage="1" showErrorMessage="1" xr:uid="{B7E031F2-7485-4980-A97F-2C010801CBD1}">
          <x14:formula1>
            <xm:f>項目!C17:$LWE$917505</xm:f>
          </x14:formula1>
          <xm:sqref>LWM917511:LWM917534</xm:sqref>
        </x14:dataValidation>
        <x14:dataValidation type="list" allowBlank="1" showInputMessage="1" showErrorMessage="1" xr:uid="{3CCBB64C-8338-42AB-B294-1EB2EEC49C4D}">
          <x14:formula1>
            <xm:f>項目!C17:$MGA$917505</xm:f>
          </x14:formula1>
          <xm:sqref>MGI917511:MGI917534</xm:sqref>
        </x14:dataValidation>
        <x14:dataValidation type="list" allowBlank="1" showInputMessage="1" showErrorMessage="1" xr:uid="{AF874E44-8799-4CFD-86A6-ABBFC1089C86}">
          <x14:formula1>
            <xm:f>項目!C17:$MPW$917505</xm:f>
          </x14:formula1>
          <xm:sqref>MQE917511:MQE917534</xm:sqref>
        </x14:dataValidation>
        <x14:dataValidation type="list" allowBlank="1" showInputMessage="1" showErrorMessage="1" xr:uid="{1A7B3C9B-26A4-4F81-9396-68502B634C7B}">
          <x14:formula1>
            <xm:f>項目!C17:$MZS$917505</xm:f>
          </x14:formula1>
          <xm:sqref>NAA917511:NAA917534</xm:sqref>
        </x14:dataValidation>
        <x14:dataValidation type="list" allowBlank="1" showInputMessage="1" showErrorMessage="1" xr:uid="{614BD638-0B94-447E-8E86-6DD1D087D5CB}">
          <x14:formula1>
            <xm:f>項目!C17:$NJO$917505</xm:f>
          </x14:formula1>
          <xm:sqref>NJW917511:NJW917534</xm:sqref>
        </x14:dataValidation>
        <x14:dataValidation type="list" allowBlank="1" showInputMessage="1" showErrorMessage="1" xr:uid="{D069C7A4-B387-4717-97D5-68E6137513FA}">
          <x14:formula1>
            <xm:f>項目!C17:$NTK$917505</xm:f>
          </x14:formula1>
          <xm:sqref>NTS917511:NTS917534</xm:sqref>
        </x14:dataValidation>
        <x14:dataValidation type="list" allowBlank="1" showInputMessage="1" showErrorMessage="1" xr:uid="{553771D2-DEB8-406C-965C-E88FE689E6E9}">
          <x14:formula1>
            <xm:f>項目!C17:$ODG$917505</xm:f>
          </x14:formula1>
          <xm:sqref>ODO917511:ODO917534</xm:sqref>
        </x14:dataValidation>
        <x14:dataValidation type="list" allowBlank="1" showInputMessage="1" showErrorMessage="1" xr:uid="{179DC8FE-9371-4EB4-925B-1B9487D790D0}">
          <x14:formula1>
            <xm:f>項目!C17:$ONC$917505</xm:f>
          </x14:formula1>
          <xm:sqref>ONK917511:ONK917534</xm:sqref>
        </x14:dataValidation>
        <x14:dataValidation type="list" allowBlank="1" showInputMessage="1" showErrorMessage="1" xr:uid="{5E181A6A-9B76-42AF-89F0-AE174F29A5BE}">
          <x14:formula1>
            <xm:f>項目!C17:$OWY$917505</xm:f>
          </x14:formula1>
          <xm:sqref>OXG917511:OXG917534</xm:sqref>
        </x14:dataValidation>
        <x14:dataValidation type="list" allowBlank="1" showInputMessage="1" showErrorMessage="1" xr:uid="{4C090415-E855-4BD5-B04B-D9CCEE25A923}">
          <x14:formula1>
            <xm:f>項目!C17:$PGU$917505</xm:f>
          </x14:formula1>
          <xm:sqref>PHC917511:PHC917534</xm:sqref>
        </x14:dataValidation>
        <x14:dataValidation type="list" allowBlank="1" showInputMessage="1" showErrorMessage="1" xr:uid="{7276215B-C18D-43B5-B0DB-65E8DC87ABAB}">
          <x14:formula1>
            <xm:f>項目!C17:$PQQ$917505</xm:f>
          </x14:formula1>
          <xm:sqref>PQY917511:PQY917534</xm:sqref>
        </x14:dataValidation>
        <x14:dataValidation type="list" allowBlank="1" showInputMessage="1" showErrorMessage="1" xr:uid="{A71A3480-7F31-4AD5-8D64-D9718AAD25E1}">
          <x14:formula1>
            <xm:f>項目!C17:$QAM$917505</xm:f>
          </x14:formula1>
          <xm:sqref>QAU917511:QAU917534</xm:sqref>
        </x14:dataValidation>
        <x14:dataValidation type="list" allowBlank="1" showInputMessage="1" showErrorMessage="1" xr:uid="{6AC046B5-151B-457E-8182-9D741ECBB211}">
          <x14:formula1>
            <xm:f>項目!C17:$QKI$917505</xm:f>
          </x14:formula1>
          <xm:sqref>QKQ917511:QKQ917534</xm:sqref>
        </x14:dataValidation>
        <x14:dataValidation type="list" allowBlank="1" showInputMessage="1" showErrorMessage="1" xr:uid="{F66D8C74-501B-4D56-9F4A-CB18FF710BF8}">
          <x14:formula1>
            <xm:f>項目!C17:$QUE$917505</xm:f>
          </x14:formula1>
          <xm:sqref>QUM917511:QUM917534</xm:sqref>
        </x14:dataValidation>
        <x14:dataValidation type="list" allowBlank="1" showInputMessage="1" showErrorMessage="1" xr:uid="{9C0CA701-B86C-4281-A18C-0EF14AA0AE6F}">
          <x14:formula1>
            <xm:f>項目!C17:$REA$917505</xm:f>
          </x14:formula1>
          <xm:sqref>REI917511:REI917534</xm:sqref>
        </x14:dataValidation>
        <x14:dataValidation type="list" allowBlank="1" showInputMessage="1" showErrorMessage="1" xr:uid="{EC84C0EE-3FED-44B9-8D90-D891B2BB3954}">
          <x14:formula1>
            <xm:f>項目!C17:$RNW$917505</xm:f>
          </x14:formula1>
          <xm:sqref>ROE917511:ROE917534</xm:sqref>
        </x14:dataValidation>
        <x14:dataValidation type="list" allowBlank="1" showInputMessage="1" showErrorMessage="1" xr:uid="{9A8F1FAC-6D44-4830-8050-21A6C3A3A1BC}">
          <x14:formula1>
            <xm:f>項目!C17:$RXS$917505</xm:f>
          </x14:formula1>
          <xm:sqref>RYA917511:RYA917534</xm:sqref>
        </x14:dataValidation>
        <x14:dataValidation type="list" allowBlank="1" showInputMessage="1" showErrorMessage="1" xr:uid="{527685D5-B7A0-4D03-83A3-2EAE42BD1E7D}">
          <x14:formula1>
            <xm:f>項目!C17:$SHO$917505</xm:f>
          </x14:formula1>
          <xm:sqref>SHW917511:SHW917534</xm:sqref>
        </x14:dataValidation>
        <x14:dataValidation type="list" allowBlank="1" showInputMessage="1" showErrorMessage="1" xr:uid="{59EE9C0A-1F3C-4911-9DC4-6817B605E9B7}">
          <x14:formula1>
            <xm:f>項目!C17:$SRK$917505</xm:f>
          </x14:formula1>
          <xm:sqref>SRS917511:SRS917534</xm:sqref>
        </x14:dataValidation>
        <x14:dataValidation type="list" allowBlank="1" showInputMessage="1" showErrorMessage="1" xr:uid="{BA257F8F-6C90-416F-B67A-F80407111C4D}">
          <x14:formula1>
            <xm:f>項目!C17:$TBG$917505</xm:f>
          </x14:formula1>
          <xm:sqref>TBO917511:TBO917534</xm:sqref>
        </x14:dataValidation>
        <x14:dataValidation type="list" allowBlank="1" showInputMessage="1" showErrorMessage="1" xr:uid="{F7BACB21-773B-40F0-AB6E-A5149A62C085}">
          <x14:formula1>
            <xm:f>項目!C17:$TLC$917505</xm:f>
          </x14:formula1>
          <xm:sqref>TLK917511:TLK917534</xm:sqref>
        </x14:dataValidation>
        <x14:dataValidation type="list" allowBlank="1" showInputMessage="1" showErrorMessage="1" xr:uid="{D78031AE-B0D6-4F13-B693-61EF159F1128}">
          <x14:formula1>
            <xm:f>項目!C17:$TUY$917505</xm:f>
          </x14:formula1>
          <xm:sqref>TVG917511:TVG917534</xm:sqref>
        </x14:dataValidation>
        <x14:dataValidation type="list" allowBlank="1" showInputMessage="1" showErrorMessage="1" xr:uid="{76CB61CA-86AA-4FAD-8832-DCC58553531A}">
          <x14:formula1>
            <xm:f>項目!C17:$UEU$917505</xm:f>
          </x14:formula1>
          <xm:sqref>UFC917511:UFC917534</xm:sqref>
        </x14:dataValidation>
        <x14:dataValidation type="list" allowBlank="1" showInputMessage="1" showErrorMessage="1" xr:uid="{1A4BC161-FC41-4E05-A683-002A8B223AFF}">
          <x14:formula1>
            <xm:f>項目!C17:$UOQ$917505</xm:f>
          </x14:formula1>
          <xm:sqref>UOY917511:UOY917534</xm:sqref>
        </x14:dataValidation>
        <x14:dataValidation type="list" allowBlank="1" showInputMessage="1" showErrorMessage="1" xr:uid="{83D118D2-A37C-4C46-9D79-DD1215E943DC}">
          <x14:formula1>
            <xm:f>項目!C17:$UYM$917505</xm:f>
          </x14:formula1>
          <xm:sqref>UYU917511:UYU917534</xm:sqref>
        </x14:dataValidation>
        <x14:dataValidation type="list" allowBlank="1" showInputMessage="1" showErrorMessage="1" xr:uid="{14EE521E-2789-45B0-9825-50A4FC5C561C}">
          <x14:formula1>
            <xm:f>項目!C17:$VII$917505</xm:f>
          </x14:formula1>
          <xm:sqref>VIQ917511:VIQ917534</xm:sqref>
        </x14:dataValidation>
        <x14:dataValidation type="list" allowBlank="1" showInputMessage="1" showErrorMessage="1" xr:uid="{A9E8FDD7-8FD8-40EC-96FD-14B865A84234}">
          <x14:formula1>
            <xm:f>項目!C17:$VSE$917505</xm:f>
          </x14:formula1>
          <xm:sqref>VSM917511:VSM917534</xm:sqref>
        </x14:dataValidation>
        <x14:dataValidation type="list" allowBlank="1" showInputMessage="1" showErrorMessage="1" xr:uid="{61CEB66E-D99C-4839-8820-95D64931E36D}">
          <x14:formula1>
            <xm:f>項目!C17:$WCA$917505</xm:f>
          </x14:formula1>
          <xm:sqref>WCI917511:WCI917534</xm:sqref>
        </x14:dataValidation>
        <x14:dataValidation type="list" allowBlank="1" showInputMessage="1" showErrorMessage="1" xr:uid="{D0F0A9A3-0AE8-47B9-B39B-5F5738974BC6}">
          <x14:formula1>
            <xm:f>項目!C17:$WLW$917505</xm:f>
          </x14:formula1>
          <xm:sqref>WME917511:WME917534</xm:sqref>
        </x14:dataValidation>
        <x14:dataValidation type="list" allowBlank="1" showInputMessage="1" showErrorMessage="1" xr:uid="{5804965C-BDA8-4501-BBF8-7266D3455CD9}">
          <x14:formula1>
            <xm:f>項目!C17:$WVS$917505</xm:f>
          </x14:formula1>
          <xm:sqref>WWA917511:WWA917534</xm:sqref>
        </x14:dataValidation>
        <x14:dataValidation type="list" allowBlank="1" showInputMessage="1" showErrorMessage="1" xr:uid="{B187099C-4811-4C06-AEB6-07AD1C446580}">
          <x14:formula1>
            <xm:f>項目!C17:$M$983041</xm:f>
          </x14:formula1>
          <xm:sqref>S983047:S983070</xm:sqref>
        </x14:dataValidation>
        <x14:dataValidation type="list" allowBlank="1" showInputMessage="1" showErrorMessage="1" xr:uid="{5D939E70-FC2A-4EFB-B17C-C5D7DA6885BD}">
          <x14:formula1>
            <xm:f>項目!C17:$JG$983041</xm:f>
          </x14:formula1>
          <xm:sqref>JO983047:JO983070</xm:sqref>
        </x14:dataValidation>
        <x14:dataValidation type="list" allowBlank="1" showInputMessage="1" showErrorMessage="1" xr:uid="{BBC49637-5D18-4E4E-9414-3A00D4AAF9BC}">
          <x14:formula1>
            <xm:f>項目!C17:$TC$983041</xm:f>
          </x14:formula1>
          <xm:sqref>TK983047:TK983070</xm:sqref>
        </x14:dataValidation>
        <x14:dataValidation type="list" allowBlank="1" showInputMessage="1" showErrorMessage="1" xr:uid="{1E0B9F13-2AE7-4EC5-A5B7-CA708C9644E8}">
          <x14:formula1>
            <xm:f>項目!C17:$ACY$983041</xm:f>
          </x14:formula1>
          <xm:sqref>ADG983047:ADG983070</xm:sqref>
        </x14:dataValidation>
        <x14:dataValidation type="list" allowBlank="1" showInputMessage="1" showErrorMessage="1" xr:uid="{98EB4CEF-D89F-46D4-B5BF-717EFECD9EEA}">
          <x14:formula1>
            <xm:f>項目!C17:$AMU$983041</xm:f>
          </x14:formula1>
          <xm:sqref>ANC983047:ANC983070</xm:sqref>
        </x14:dataValidation>
        <x14:dataValidation type="list" allowBlank="1" showInputMessage="1" showErrorMessage="1" xr:uid="{1FA8A0C5-3EA8-40D0-8D33-E0B2FA6A7336}">
          <x14:formula1>
            <xm:f>項目!C17:$AWQ$983041</xm:f>
          </x14:formula1>
          <xm:sqref>AWY983047:AWY983070</xm:sqref>
        </x14:dataValidation>
        <x14:dataValidation type="list" allowBlank="1" showInputMessage="1" showErrorMessage="1" xr:uid="{B7C2927F-9A68-4E57-B576-302C9BB5BF5E}">
          <x14:formula1>
            <xm:f>項目!C17:$BGM$983041</xm:f>
          </x14:formula1>
          <xm:sqref>BGU983047:BGU983070</xm:sqref>
        </x14:dataValidation>
        <x14:dataValidation type="list" allowBlank="1" showInputMessage="1" showErrorMessage="1" xr:uid="{74036112-C706-42E7-8F43-ED556BFC9AF9}">
          <x14:formula1>
            <xm:f>項目!C17:$BQI$983041</xm:f>
          </x14:formula1>
          <xm:sqref>BQQ983047:BQQ983070</xm:sqref>
        </x14:dataValidation>
        <x14:dataValidation type="list" allowBlank="1" showInputMessage="1" showErrorMessage="1" xr:uid="{5F7AD78B-89C2-4E01-B40E-B56A0C9D97AB}">
          <x14:formula1>
            <xm:f>項目!C17:$CAE$983041</xm:f>
          </x14:formula1>
          <xm:sqref>CAM983047:CAM983070</xm:sqref>
        </x14:dataValidation>
        <x14:dataValidation type="list" allowBlank="1" showInputMessage="1" showErrorMessage="1" xr:uid="{AA20FBC3-6D92-4C12-8CC0-FA331A48B5A1}">
          <x14:formula1>
            <xm:f>項目!C17:$CKA$983041</xm:f>
          </x14:formula1>
          <xm:sqref>CKI983047:CKI983070</xm:sqref>
        </x14:dataValidation>
        <x14:dataValidation type="list" allowBlank="1" showInputMessage="1" showErrorMessage="1" xr:uid="{CD8987CD-500C-4DD3-8B17-EED5CC89C117}">
          <x14:formula1>
            <xm:f>項目!C17:$CTW$983041</xm:f>
          </x14:formula1>
          <xm:sqref>CUE983047:CUE983070</xm:sqref>
        </x14:dataValidation>
        <x14:dataValidation type="list" allowBlank="1" showInputMessage="1" showErrorMessage="1" xr:uid="{12539AAE-2E72-45D7-9D07-BC2FB7D0F111}">
          <x14:formula1>
            <xm:f>項目!C17:$DDS$983041</xm:f>
          </x14:formula1>
          <xm:sqref>DEA983047:DEA983070</xm:sqref>
        </x14:dataValidation>
        <x14:dataValidation type="list" allowBlank="1" showInputMessage="1" showErrorMessage="1" xr:uid="{3AF36438-83A1-41D1-AF84-D07DA5CDB007}">
          <x14:formula1>
            <xm:f>項目!C17:$DNO$983041</xm:f>
          </x14:formula1>
          <xm:sqref>DNW983047:DNW983070</xm:sqref>
        </x14:dataValidation>
        <x14:dataValidation type="list" allowBlank="1" showInputMessage="1" showErrorMessage="1" xr:uid="{6036F823-ED19-4ED9-AEC4-C9EC34622B21}">
          <x14:formula1>
            <xm:f>項目!C17:$DXK$983041</xm:f>
          </x14:formula1>
          <xm:sqref>DXS983047:DXS983070</xm:sqref>
        </x14:dataValidation>
        <x14:dataValidation type="list" allowBlank="1" showInputMessage="1" showErrorMessage="1" xr:uid="{053D728D-1E1F-4463-A1E5-63A31745D5BC}">
          <x14:formula1>
            <xm:f>項目!C17:$EHG$983041</xm:f>
          </x14:formula1>
          <xm:sqref>EHO983047:EHO983070</xm:sqref>
        </x14:dataValidation>
        <x14:dataValidation type="list" allowBlank="1" showInputMessage="1" showErrorMessage="1" xr:uid="{89BF409C-B3F1-4033-ABF8-86AB921A7120}">
          <x14:formula1>
            <xm:f>項目!C17:$ERC$983041</xm:f>
          </x14:formula1>
          <xm:sqref>ERK983047:ERK983070</xm:sqref>
        </x14:dataValidation>
        <x14:dataValidation type="list" allowBlank="1" showInputMessage="1" showErrorMessage="1" xr:uid="{90FD4C94-A50C-4642-84E8-E3E7CC61A67A}">
          <x14:formula1>
            <xm:f>項目!C17:$FAY$983041</xm:f>
          </x14:formula1>
          <xm:sqref>FBG983047:FBG983070</xm:sqref>
        </x14:dataValidation>
        <x14:dataValidation type="list" allowBlank="1" showInputMessage="1" showErrorMessage="1" xr:uid="{5789507B-37AD-40A4-9193-B9031585ED94}">
          <x14:formula1>
            <xm:f>項目!C17:$FKU$983041</xm:f>
          </x14:formula1>
          <xm:sqref>FLC983047:FLC983070</xm:sqref>
        </x14:dataValidation>
        <x14:dataValidation type="list" allowBlank="1" showInputMessage="1" showErrorMessage="1" xr:uid="{371CFF61-8D03-4383-A9FB-7F691159B746}">
          <x14:formula1>
            <xm:f>項目!C17:$FUQ$983041</xm:f>
          </x14:formula1>
          <xm:sqref>FUY983047:FUY983070</xm:sqref>
        </x14:dataValidation>
        <x14:dataValidation type="list" allowBlank="1" showInputMessage="1" showErrorMessage="1" xr:uid="{925AC160-6C44-4466-99F0-D29B3EC257DC}">
          <x14:formula1>
            <xm:f>項目!C17:$GEM$983041</xm:f>
          </x14:formula1>
          <xm:sqref>GEU983047:GEU983070</xm:sqref>
        </x14:dataValidation>
        <x14:dataValidation type="list" allowBlank="1" showInputMessage="1" showErrorMessage="1" xr:uid="{95F7AE0A-40AB-400C-8274-540875AD7BE1}">
          <x14:formula1>
            <xm:f>項目!C17:$GOI$983041</xm:f>
          </x14:formula1>
          <xm:sqref>GOQ983047:GOQ983070</xm:sqref>
        </x14:dataValidation>
        <x14:dataValidation type="list" allowBlank="1" showInputMessage="1" showErrorMessage="1" xr:uid="{CC9212A2-3C29-4BB2-ADF2-6F67D874AD95}">
          <x14:formula1>
            <xm:f>項目!C17:$GYE$983041</xm:f>
          </x14:formula1>
          <xm:sqref>GYM983047:GYM983070</xm:sqref>
        </x14:dataValidation>
        <x14:dataValidation type="list" allowBlank="1" showInputMessage="1" showErrorMessage="1" xr:uid="{C6371E41-215D-4447-B6E3-254305B05F32}">
          <x14:formula1>
            <xm:f>項目!C17:$HIA$983041</xm:f>
          </x14:formula1>
          <xm:sqref>HII983047:HII983070</xm:sqref>
        </x14:dataValidation>
        <x14:dataValidation type="list" allowBlank="1" showInputMessage="1" showErrorMessage="1" xr:uid="{EDFA260B-4344-47D0-AA66-CF39DAC6FE08}">
          <x14:formula1>
            <xm:f>項目!C17:$HRW$983041</xm:f>
          </x14:formula1>
          <xm:sqref>HSE983047:HSE983070</xm:sqref>
        </x14:dataValidation>
        <x14:dataValidation type="list" allowBlank="1" showInputMessage="1" showErrorMessage="1" xr:uid="{C6B2E83B-35D8-47CE-8A10-4414BB972D01}">
          <x14:formula1>
            <xm:f>項目!C17:$IBS$983041</xm:f>
          </x14:formula1>
          <xm:sqref>ICA983047:ICA983070</xm:sqref>
        </x14:dataValidation>
        <x14:dataValidation type="list" allowBlank="1" showInputMessage="1" showErrorMessage="1" xr:uid="{8AF6BEE9-25D2-48F9-9F08-79601EDE33F3}">
          <x14:formula1>
            <xm:f>項目!C17:$ILO$983041</xm:f>
          </x14:formula1>
          <xm:sqref>ILW983047:ILW983070</xm:sqref>
        </x14:dataValidation>
        <x14:dataValidation type="list" allowBlank="1" showInputMessage="1" showErrorMessage="1" xr:uid="{00ECA52C-D0F1-4F4D-8F1D-6E773E69BC5F}">
          <x14:formula1>
            <xm:f>項目!C17:$IVK$983041</xm:f>
          </x14:formula1>
          <xm:sqref>IVS983047:IVS983070</xm:sqref>
        </x14:dataValidation>
        <x14:dataValidation type="list" allowBlank="1" showInputMessage="1" showErrorMessage="1" xr:uid="{596568F1-6DEE-4D4A-B743-019C6E560A2B}">
          <x14:formula1>
            <xm:f>項目!C17:$JFG$983041</xm:f>
          </x14:formula1>
          <xm:sqref>JFO983047:JFO983070</xm:sqref>
        </x14:dataValidation>
        <x14:dataValidation type="list" allowBlank="1" showInputMessage="1" showErrorMessage="1" xr:uid="{AE09425F-60EB-42E6-9BBD-2E96DC70622B}">
          <x14:formula1>
            <xm:f>項目!C17:$JPC$983041</xm:f>
          </x14:formula1>
          <xm:sqref>JPK983047:JPK983070</xm:sqref>
        </x14:dataValidation>
        <x14:dataValidation type="list" allowBlank="1" showInputMessage="1" showErrorMessage="1" xr:uid="{E26FC683-74C3-44B7-A464-98996B1F115E}">
          <x14:formula1>
            <xm:f>項目!C17:$JYY$983041</xm:f>
          </x14:formula1>
          <xm:sqref>JZG983047:JZG983070</xm:sqref>
        </x14:dataValidation>
        <x14:dataValidation type="list" allowBlank="1" showInputMessage="1" showErrorMessage="1" xr:uid="{5FAD2974-E748-4ACB-A722-EF3FC8E3BF58}">
          <x14:formula1>
            <xm:f>項目!C17:$KIU$983041</xm:f>
          </x14:formula1>
          <xm:sqref>KJC983047:KJC983070</xm:sqref>
        </x14:dataValidation>
        <x14:dataValidation type="list" allowBlank="1" showInputMessage="1" showErrorMessage="1" xr:uid="{AB0C9599-83BD-4132-92AC-B9A4F8DEA9D4}">
          <x14:formula1>
            <xm:f>項目!C17:$KSQ$983041</xm:f>
          </x14:formula1>
          <xm:sqref>KSY983047:KSY983070</xm:sqref>
        </x14:dataValidation>
        <x14:dataValidation type="list" allowBlank="1" showInputMessage="1" showErrorMessage="1" xr:uid="{2671BB46-ED05-42C0-99EF-FE56A99D767C}">
          <x14:formula1>
            <xm:f>項目!C17:$LCM$983041</xm:f>
          </x14:formula1>
          <xm:sqref>LCU983047:LCU983070</xm:sqref>
        </x14:dataValidation>
        <x14:dataValidation type="list" allowBlank="1" showInputMessage="1" showErrorMessage="1" xr:uid="{D37ABC45-C78B-4F19-B9BE-7695291EA0E0}">
          <x14:formula1>
            <xm:f>項目!C17:$LMI$983041</xm:f>
          </x14:formula1>
          <xm:sqref>LMQ983047:LMQ983070</xm:sqref>
        </x14:dataValidation>
        <x14:dataValidation type="list" allowBlank="1" showInputMessage="1" showErrorMessage="1" xr:uid="{C539AF71-CF1B-43E1-A62B-983C56CB5681}">
          <x14:formula1>
            <xm:f>項目!C17:$LWE$983041</xm:f>
          </x14:formula1>
          <xm:sqref>LWM983047:LWM983070</xm:sqref>
        </x14:dataValidation>
        <x14:dataValidation type="list" allowBlank="1" showInputMessage="1" showErrorMessage="1" xr:uid="{5E5AF85B-D7FC-493D-BCE3-C169A7513681}">
          <x14:formula1>
            <xm:f>項目!C17:$MGA$983041</xm:f>
          </x14:formula1>
          <xm:sqref>MGI983047:MGI983070</xm:sqref>
        </x14:dataValidation>
        <x14:dataValidation type="list" allowBlank="1" showInputMessage="1" showErrorMessage="1" xr:uid="{2E8E1F74-B87D-42ED-80F6-22602EA49691}">
          <x14:formula1>
            <xm:f>項目!C17:$MPW$983041</xm:f>
          </x14:formula1>
          <xm:sqref>MQE983047:MQE983070</xm:sqref>
        </x14:dataValidation>
        <x14:dataValidation type="list" allowBlank="1" showInputMessage="1" showErrorMessage="1" xr:uid="{2C59E3C7-FD97-4792-8313-6302DDBB009F}">
          <x14:formula1>
            <xm:f>項目!C17:$MZS$983041</xm:f>
          </x14:formula1>
          <xm:sqref>NAA983047:NAA983070</xm:sqref>
        </x14:dataValidation>
        <x14:dataValidation type="list" allowBlank="1" showInputMessage="1" showErrorMessage="1" xr:uid="{C0D11EC8-C044-4E7C-8437-994C9331B53A}">
          <x14:formula1>
            <xm:f>項目!C17:$NJO$983041</xm:f>
          </x14:formula1>
          <xm:sqref>NJW983047:NJW983070</xm:sqref>
        </x14:dataValidation>
        <x14:dataValidation type="list" allowBlank="1" showInputMessage="1" showErrorMessage="1" xr:uid="{95647F5F-BC33-419C-B235-1B0A552851AF}">
          <x14:formula1>
            <xm:f>項目!C17:$NTK$983041</xm:f>
          </x14:formula1>
          <xm:sqref>NTS983047:NTS983070</xm:sqref>
        </x14:dataValidation>
        <x14:dataValidation type="list" allowBlank="1" showInputMessage="1" showErrorMessage="1" xr:uid="{AF206821-6A50-4EA0-B430-4CBB5EA73CA1}">
          <x14:formula1>
            <xm:f>項目!C17:$ODG$983041</xm:f>
          </x14:formula1>
          <xm:sqref>ODO983047:ODO983070</xm:sqref>
        </x14:dataValidation>
        <x14:dataValidation type="list" allowBlank="1" showInputMessage="1" showErrorMessage="1" xr:uid="{BD5C595C-BB28-4AF3-A3CE-9731E4A7B5DC}">
          <x14:formula1>
            <xm:f>項目!C17:$ONC$983041</xm:f>
          </x14:formula1>
          <xm:sqref>ONK983047:ONK983070</xm:sqref>
        </x14:dataValidation>
        <x14:dataValidation type="list" allowBlank="1" showInputMessage="1" showErrorMessage="1" xr:uid="{795AE2ED-9C39-494B-8876-A837AE01993F}">
          <x14:formula1>
            <xm:f>項目!C17:$OWY$983041</xm:f>
          </x14:formula1>
          <xm:sqref>OXG983047:OXG983070</xm:sqref>
        </x14:dataValidation>
        <x14:dataValidation type="list" allowBlank="1" showInputMessage="1" showErrorMessage="1" xr:uid="{9C7A32B7-E0E9-410E-AE61-9FF8C90E0336}">
          <x14:formula1>
            <xm:f>項目!C17:$PGU$983041</xm:f>
          </x14:formula1>
          <xm:sqref>PHC983047:PHC983070</xm:sqref>
        </x14:dataValidation>
        <x14:dataValidation type="list" allowBlank="1" showInputMessage="1" showErrorMessage="1" xr:uid="{03AB7EB7-A5F2-43FD-A863-8FBBB7D1951E}">
          <x14:formula1>
            <xm:f>項目!C17:$PQQ$983041</xm:f>
          </x14:formula1>
          <xm:sqref>PQY983047:PQY983070</xm:sqref>
        </x14:dataValidation>
        <x14:dataValidation type="list" allowBlank="1" showInputMessage="1" showErrorMessage="1" xr:uid="{D536E8E8-011A-4D4B-B064-39A400F40301}">
          <x14:formula1>
            <xm:f>項目!C17:$QAM$983041</xm:f>
          </x14:formula1>
          <xm:sqref>QAU983047:QAU983070</xm:sqref>
        </x14:dataValidation>
        <x14:dataValidation type="list" allowBlank="1" showInputMessage="1" showErrorMessage="1" xr:uid="{5E67F669-E428-4ECF-B7ED-0022099ADA4F}">
          <x14:formula1>
            <xm:f>項目!C17:$QKI$983041</xm:f>
          </x14:formula1>
          <xm:sqref>QKQ983047:QKQ983070</xm:sqref>
        </x14:dataValidation>
        <x14:dataValidation type="list" allowBlank="1" showInputMessage="1" showErrorMessage="1" xr:uid="{306831BF-F018-4200-9876-C2610AFAADDB}">
          <x14:formula1>
            <xm:f>項目!C17:$QUE$983041</xm:f>
          </x14:formula1>
          <xm:sqref>QUM983047:QUM983070</xm:sqref>
        </x14:dataValidation>
        <x14:dataValidation type="list" allowBlank="1" showInputMessage="1" showErrorMessage="1" xr:uid="{35A109FB-2CB1-4FE4-84E0-931AB84A78A2}">
          <x14:formula1>
            <xm:f>項目!C17:$REA$983041</xm:f>
          </x14:formula1>
          <xm:sqref>REI983047:REI983070</xm:sqref>
        </x14:dataValidation>
        <x14:dataValidation type="list" allowBlank="1" showInputMessage="1" showErrorMessage="1" xr:uid="{94480744-8ADC-46D8-B2E4-EB640C6A8B6E}">
          <x14:formula1>
            <xm:f>項目!C17:$RNW$983041</xm:f>
          </x14:formula1>
          <xm:sqref>ROE983047:ROE983070</xm:sqref>
        </x14:dataValidation>
        <x14:dataValidation type="list" allowBlank="1" showInputMessage="1" showErrorMessage="1" xr:uid="{C8ADE1A0-FE69-4BAC-AE59-1EF0A87F8A14}">
          <x14:formula1>
            <xm:f>項目!C17:$RXS$983041</xm:f>
          </x14:formula1>
          <xm:sqref>RYA983047:RYA983070</xm:sqref>
        </x14:dataValidation>
        <x14:dataValidation type="list" allowBlank="1" showInputMessage="1" showErrorMessage="1" xr:uid="{B32C3349-8C8B-4D6B-86D1-4472F53A5C3E}">
          <x14:formula1>
            <xm:f>項目!C17:$SHO$983041</xm:f>
          </x14:formula1>
          <xm:sqref>SHW983047:SHW983070</xm:sqref>
        </x14:dataValidation>
        <x14:dataValidation type="list" allowBlank="1" showInputMessage="1" showErrorMessage="1" xr:uid="{215B9104-B543-4C29-BA9A-FE52B26BABBC}">
          <x14:formula1>
            <xm:f>項目!C17:$SRK$983041</xm:f>
          </x14:formula1>
          <xm:sqref>SRS983047:SRS983070</xm:sqref>
        </x14:dataValidation>
        <x14:dataValidation type="list" allowBlank="1" showInputMessage="1" showErrorMessage="1" xr:uid="{5B703A14-03DB-4BA0-813E-7EB8A8B39E45}">
          <x14:formula1>
            <xm:f>項目!C17:$TBG$983041</xm:f>
          </x14:formula1>
          <xm:sqref>TBO983047:TBO983070</xm:sqref>
        </x14:dataValidation>
        <x14:dataValidation type="list" allowBlank="1" showInputMessage="1" showErrorMessage="1" xr:uid="{513F45D6-F541-451F-8C45-92EEA281DD03}">
          <x14:formula1>
            <xm:f>項目!C17:$TLC$983041</xm:f>
          </x14:formula1>
          <xm:sqref>TLK983047:TLK983070</xm:sqref>
        </x14:dataValidation>
        <x14:dataValidation type="list" allowBlank="1" showInputMessage="1" showErrorMessage="1" xr:uid="{DEFDF914-9726-44B1-951F-FB494FA7B193}">
          <x14:formula1>
            <xm:f>項目!C17:$TUY$983041</xm:f>
          </x14:formula1>
          <xm:sqref>TVG983047:TVG983070</xm:sqref>
        </x14:dataValidation>
        <x14:dataValidation type="list" allowBlank="1" showInputMessage="1" showErrorMessage="1" xr:uid="{84EB1732-C114-481A-A8B9-AC5B91B878DF}">
          <x14:formula1>
            <xm:f>項目!C17:$UEU$983041</xm:f>
          </x14:formula1>
          <xm:sqref>UFC983047:UFC983070</xm:sqref>
        </x14:dataValidation>
        <x14:dataValidation type="list" allowBlank="1" showInputMessage="1" showErrorMessage="1" xr:uid="{6E50B006-2830-498E-BC99-14D8FC0C5469}">
          <x14:formula1>
            <xm:f>項目!C17:$UOQ$983041</xm:f>
          </x14:formula1>
          <xm:sqref>UOY983047:UOY983070</xm:sqref>
        </x14:dataValidation>
        <x14:dataValidation type="list" allowBlank="1" showInputMessage="1" showErrorMessage="1" xr:uid="{E128877C-5EFA-4CE2-9579-2A8A0FDAB775}">
          <x14:formula1>
            <xm:f>項目!C17:$UYM$983041</xm:f>
          </x14:formula1>
          <xm:sqref>UYU983047:UYU983070</xm:sqref>
        </x14:dataValidation>
        <x14:dataValidation type="list" allowBlank="1" showInputMessage="1" showErrorMessage="1" xr:uid="{8E2AE88B-C399-440A-81AD-9947B3A6B300}">
          <x14:formula1>
            <xm:f>項目!C17:$VII$983041</xm:f>
          </x14:formula1>
          <xm:sqref>VIQ983047:VIQ983070</xm:sqref>
        </x14:dataValidation>
        <x14:dataValidation type="list" allowBlank="1" showInputMessage="1" showErrorMessage="1" xr:uid="{67746DF2-0735-4FD7-9AC9-C2397DA3678F}">
          <x14:formula1>
            <xm:f>項目!C17:$VSE$983041</xm:f>
          </x14:formula1>
          <xm:sqref>VSM983047:VSM983070</xm:sqref>
        </x14:dataValidation>
        <x14:dataValidation type="list" allowBlank="1" showInputMessage="1" showErrorMessage="1" xr:uid="{A18629A5-5798-41EA-90C3-F41AFE4750DB}">
          <x14:formula1>
            <xm:f>項目!C17:$WCA$983041</xm:f>
          </x14:formula1>
          <xm:sqref>WCI983047:WCI983070</xm:sqref>
        </x14:dataValidation>
        <x14:dataValidation type="list" allowBlank="1" showInputMessage="1" showErrorMessage="1" xr:uid="{83401F1B-56EF-4D52-A9F1-28DD3451A567}">
          <x14:formula1>
            <xm:f>項目!C17:$WLW$983041</xm:f>
          </x14:formula1>
          <xm:sqref>WME983047:WME983070</xm:sqref>
        </x14:dataValidation>
        <x14:dataValidation type="list" allowBlank="1" showInputMessage="1" showErrorMessage="1" xr:uid="{1BA64D2A-E86D-4A6D-A2B4-0E558F8984E0}">
          <x14:formula1>
            <xm:f>項目!C17:$WVS$983041</xm:f>
          </x14:formula1>
          <xm:sqref>WWA983047:WWA983070</xm:sqref>
        </x14:dataValidation>
        <x14:dataValidation type="list" allowBlank="1" showInputMessage="1" showErrorMessage="1" xr:uid="{0EAA70D2-7D93-4810-AAB7-2C170D0A859E}">
          <x14:formula1>
            <xm:f>項目!C17:$P$65537</xm:f>
          </x14:formula1>
          <xm:sqref>W65543:W65566</xm:sqref>
        </x14:dataValidation>
        <x14:dataValidation type="list" allowBlank="1" showInputMessage="1" showErrorMessage="1" xr:uid="{D42B491C-2E16-4E06-9AD6-BAB67049DCA9}">
          <x14:formula1>
            <xm:f>項目!C17:$JK$65537</xm:f>
          </x14:formula1>
          <xm:sqref>JS65543:JS65566</xm:sqref>
        </x14:dataValidation>
        <x14:dataValidation type="list" allowBlank="1" showInputMessage="1" showErrorMessage="1" xr:uid="{692910DA-5CE0-434A-8ADC-FC8F7813BEDD}">
          <x14:formula1>
            <xm:f>項目!C17:$TG$65537</xm:f>
          </x14:formula1>
          <xm:sqref>TO65543:TO65566</xm:sqref>
        </x14:dataValidation>
        <x14:dataValidation type="list" allowBlank="1" showInputMessage="1" showErrorMessage="1" xr:uid="{CF352DA0-9406-4E80-8959-5CF80FF41FA4}">
          <x14:formula1>
            <xm:f>項目!C17:$ADC$65537</xm:f>
          </x14:formula1>
          <xm:sqref>ADK65543:ADK65566</xm:sqref>
        </x14:dataValidation>
        <x14:dataValidation type="list" allowBlank="1" showInputMessage="1" showErrorMessage="1" xr:uid="{76D33040-C477-4642-A3CE-5EB72EB9DBB5}">
          <x14:formula1>
            <xm:f>項目!C17:$AMY$65537</xm:f>
          </x14:formula1>
          <xm:sqref>ANG65543:ANG65566</xm:sqref>
        </x14:dataValidation>
        <x14:dataValidation type="list" allowBlank="1" showInputMessage="1" showErrorMessage="1" xr:uid="{D27901D3-60B5-427F-A8EF-23086354F8DB}">
          <x14:formula1>
            <xm:f>項目!C17:$AWU$65537</xm:f>
          </x14:formula1>
          <xm:sqref>AXC65543:AXC65566</xm:sqref>
        </x14:dataValidation>
        <x14:dataValidation type="list" allowBlank="1" showInputMessage="1" showErrorMessage="1" xr:uid="{9587B1A2-44D6-4D78-8937-AD880E2DF7CA}">
          <x14:formula1>
            <xm:f>項目!C17:$BGQ$65537</xm:f>
          </x14:formula1>
          <xm:sqref>BGY65543:BGY65566</xm:sqref>
        </x14:dataValidation>
        <x14:dataValidation type="list" allowBlank="1" showInputMessage="1" showErrorMessage="1" xr:uid="{8B92AA25-F3E2-4447-85BD-33A3F44CD3E2}">
          <x14:formula1>
            <xm:f>項目!C17:$BQM$65537</xm:f>
          </x14:formula1>
          <xm:sqref>BQU65543:BQU65566</xm:sqref>
        </x14:dataValidation>
        <x14:dataValidation type="list" allowBlank="1" showInputMessage="1" showErrorMessage="1" xr:uid="{FD45A8B6-2322-447D-A77A-0079ADCAC785}">
          <x14:formula1>
            <xm:f>項目!C17:$CAI$65537</xm:f>
          </x14:formula1>
          <xm:sqref>CAQ65543:CAQ65566</xm:sqref>
        </x14:dataValidation>
        <x14:dataValidation type="list" allowBlank="1" showInputMessage="1" showErrorMessage="1" xr:uid="{E306F7F9-6529-4248-A826-4510C450EEF3}">
          <x14:formula1>
            <xm:f>項目!C17:$CKE$65537</xm:f>
          </x14:formula1>
          <xm:sqref>CKM65543:CKM65566</xm:sqref>
        </x14:dataValidation>
        <x14:dataValidation type="list" allowBlank="1" showInputMessage="1" showErrorMessage="1" xr:uid="{D6E709AC-BA12-4CC2-86E9-E7B9EEBCE321}">
          <x14:formula1>
            <xm:f>項目!C17:$CUA$65537</xm:f>
          </x14:formula1>
          <xm:sqref>CUI65543:CUI65566</xm:sqref>
        </x14:dataValidation>
        <x14:dataValidation type="list" allowBlank="1" showInputMessage="1" showErrorMessage="1" xr:uid="{AA6D681F-C3DB-4CF2-85A2-81A576F2E618}">
          <x14:formula1>
            <xm:f>項目!C17:$DDW$65537</xm:f>
          </x14:formula1>
          <xm:sqref>DEE65543:DEE65566</xm:sqref>
        </x14:dataValidation>
        <x14:dataValidation type="list" allowBlank="1" showInputMessage="1" showErrorMessage="1" xr:uid="{C0406FA6-395A-40F0-8CEE-6D0A48D519B9}">
          <x14:formula1>
            <xm:f>項目!C17:$DNS$65537</xm:f>
          </x14:formula1>
          <xm:sqref>DOA65543:DOA65566</xm:sqref>
        </x14:dataValidation>
        <x14:dataValidation type="list" allowBlank="1" showInputMessage="1" showErrorMessage="1" xr:uid="{BF7F8347-8355-4D73-96EE-1398604D9CDD}">
          <x14:formula1>
            <xm:f>項目!C17:$DXO$65537</xm:f>
          </x14:formula1>
          <xm:sqref>DXW65543:DXW65566</xm:sqref>
        </x14:dataValidation>
        <x14:dataValidation type="list" allowBlank="1" showInputMessage="1" showErrorMessage="1" xr:uid="{851D2440-055E-4609-A6D4-C9DB47F89330}">
          <x14:formula1>
            <xm:f>項目!C17:$EHK$65537</xm:f>
          </x14:formula1>
          <xm:sqref>EHS65543:EHS65566</xm:sqref>
        </x14:dataValidation>
        <x14:dataValidation type="list" allowBlank="1" showInputMessage="1" showErrorMessage="1" xr:uid="{53A3CFE1-3A75-4C46-A9B2-0BB1D1605BE7}">
          <x14:formula1>
            <xm:f>項目!C17:$ERG$65537</xm:f>
          </x14:formula1>
          <xm:sqref>ERO65543:ERO65566</xm:sqref>
        </x14:dataValidation>
        <x14:dataValidation type="list" allowBlank="1" showInputMessage="1" showErrorMessage="1" xr:uid="{C05BCDF4-BFF3-4E5C-84C7-449EA7A51619}">
          <x14:formula1>
            <xm:f>項目!C17:$FBC$65537</xm:f>
          </x14:formula1>
          <xm:sqref>FBK65543:FBK65566</xm:sqref>
        </x14:dataValidation>
        <x14:dataValidation type="list" allowBlank="1" showInputMessage="1" showErrorMessage="1" xr:uid="{69F1575C-1026-442D-B5A6-6A33DFB6DD7A}">
          <x14:formula1>
            <xm:f>項目!C17:$FKY$65537</xm:f>
          </x14:formula1>
          <xm:sqref>FLG65543:FLG65566</xm:sqref>
        </x14:dataValidation>
        <x14:dataValidation type="list" allowBlank="1" showInputMessage="1" showErrorMessage="1" xr:uid="{876FE465-B4FE-49DB-9BF0-81F924779A62}">
          <x14:formula1>
            <xm:f>項目!C17:$FUU$65537</xm:f>
          </x14:formula1>
          <xm:sqref>FVC65543:FVC65566</xm:sqref>
        </x14:dataValidation>
        <x14:dataValidation type="list" allowBlank="1" showInputMessage="1" showErrorMessage="1" xr:uid="{45CA6621-BA38-4BA1-BA62-40093D2F6CC1}">
          <x14:formula1>
            <xm:f>項目!C17:$GEQ$65537</xm:f>
          </x14:formula1>
          <xm:sqref>GEY65543:GEY65566</xm:sqref>
        </x14:dataValidation>
        <x14:dataValidation type="list" allowBlank="1" showInputMessage="1" showErrorMessage="1" xr:uid="{F5E5D011-082C-49C5-8D41-499F6EADE630}">
          <x14:formula1>
            <xm:f>項目!C17:$GOM$65537</xm:f>
          </x14:formula1>
          <xm:sqref>GOU65543:GOU65566</xm:sqref>
        </x14:dataValidation>
        <x14:dataValidation type="list" allowBlank="1" showInputMessage="1" showErrorMessage="1" xr:uid="{D0A90A6A-2460-45B5-AC36-72D92A4568F7}">
          <x14:formula1>
            <xm:f>項目!C17:$GYI$65537</xm:f>
          </x14:formula1>
          <xm:sqref>GYQ65543:GYQ65566</xm:sqref>
        </x14:dataValidation>
        <x14:dataValidation type="list" allowBlank="1" showInputMessage="1" showErrorMessage="1" xr:uid="{89093583-7046-4188-9548-3C82766F1F4A}">
          <x14:formula1>
            <xm:f>項目!C17:$HIE$65537</xm:f>
          </x14:formula1>
          <xm:sqref>HIM65543:HIM65566</xm:sqref>
        </x14:dataValidation>
        <x14:dataValidation type="list" allowBlank="1" showInputMessage="1" showErrorMessage="1" xr:uid="{90E4A0D0-58C2-44B4-96F6-5F7BB7019F9A}">
          <x14:formula1>
            <xm:f>項目!C17:$HSA$65537</xm:f>
          </x14:formula1>
          <xm:sqref>HSI65543:HSI65566</xm:sqref>
        </x14:dataValidation>
        <x14:dataValidation type="list" allowBlank="1" showInputMessage="1" showErrorMessage="1" xr:uid="{D1B6BFDB-50E5-4B07-B3AC-CDA5E1CBCCC8}">
          <x14:formula1>
            <xm:f>項目!C17:$IBW$65537</xm:f>
          </x14:formula1>
          <xm:sqref>ICE65543:ICE65566</xm:sqref>
        </x14:dataValidation>
        <x14:dataValidation type="list" allowBlank="1" showInputMessage="1" showErrorMessage="1" xr:uid="{00721832-5683-4BC7-BD94-55F11756090E}">
          <x14:formula1>
            <xm:f>項目!C17:$ILS$65537</xm:f>
          </x14:formula1>
          <xm:sqref>IMA65543:IMA65566</xm:sqref>
        </x14:dataValidation>
        <x14:dataValidation type="list" allowBlank="1" showInputMessage="1" showErrorMessage="1" xr:uid="{37189E1F-37C3-4663-9A5B-A44B7DF02D48}">
          <x14:formula1>
            <xm:f>項目!C17:$IVO$65537</xm:f>
          </x14:formula1>
          <xm:sqref>IVW65543:IVW65566</xm:sqref>
        </x14:dataValidation>
        <x14:dataValidation type="list" allowBlank="1" showInputMessage="1" showErrorMessage="1" xr:uid="{E43CAA32-9CBC-4DC6-8766-4D0D930151DF}">
          <x14:formula1>
            <xm:f>項目!C17:$JFK$65537</xm:f>
          </x14:formula1>
          <xm:sqref>JFS65543:JFS65566</xm:sqref>
        </x14:dataValidation>
        <x14:dataValidation type="list" allowBlank="1" showInputMessage="1" showErrorMessage="1" xr:uid="{24384181-8808-4AC7-8F17-C5C1B9C55B6E}">
          <x14:formula1>
            <xm:f>項目!C17:$JPG$65537</xm:f>
          </x14:formula1>
          <xm:sqref>JPO65543:JPO65566</xm:sqref>
        </x14:dataValidation>
        <x14:dataValidation type="list" allowBlank="1" showInputMessage="1" showErrorMessage="1" xr:uid="{DAC47B3C-2DAD-434A-A756-7C80E218C0DC}">
          <x14:formula1>
            <xm:f>項目!C17:$JZC$65537</xm:f>
          </x14:formula1>
          <xm:sqref>JZK65543:JZK65566</xm:sqref>
        </x14:dataValidation>
        <x14:dataValidation type="list" allowBlank="1" showInputMessage="1" showErrorMessage="1" xr:uid="{22BFBF95-54E1-4423-8E9E-D9C50B776921}">
          <x14:formula1>
            <xm:f>項目!C17:$KIY$65537</xm:f>
          </x14:formula1>
          <xm:sqref>KJG65543:KJG65566</xm:sqref>
        </x14:dataValidation>
        <x14:dataValidation type="list" allowBlank="1" showInputMessage="1" showErrorMessage="1" xr:uid="{D14036F5-BC81-42E4-A1F7-9609A09573F0}">
          <x14:formula1>
            <xm:f>項目!C17:$KSU$65537</xm:f>
          </x14:formula1>
          <xm:sqref>KTC65543:KTC65566</xm:sqref>
        </x14:dataValidation>
        <x14:dataValidation type="list" allowBlank="1" showInputMessage="1" showErrorMessage="1" xr:uid="{26DA12E0-56CC-4305-B36E-38CC9406A058}">
          <x14:formula1>
            <xm:f>項目!C17:$LCQ$65537</xm:f>
          </x14:formula1>
          <xm:sqref>LCY65543:LCY65566</xm:sqref>
        </x14:dataValidation>
        <x14:dataValidation type="list" allowBlank="1" showInputMessage="1" showErrorMessage="1" xr:uid="{8F53BDE7-0B81-4945-B66E-D7EEE06B435B}">
          <x14:formula1>
            <xm:f>項目!C17:$LMM$65537</xm:f>
          </x14:formula1>
          <xm:sqref>LMU65543:LMU65566</xm:sqref>
        </x14:dataValidation>
        <x14:dataValidation type="list" allowBlank="1" showInputMessage="1" showErrorMessage="1" xr:uid="{09BC8AD8-78C5-4C4C-931D-CF1A10FD5A73}">
          <x14:formula1>
            <xm:f>項目!C17:$LWI$65537</xm:f>
          </x14:formula1>
          <xm:sqref>LWQ65543:LWQ65566</xm:sqref>
        </x14:dataValidation>
        <x14:dataValidation type="list" allowBlank="1" showInputMessage="1" showErrorMessage="1" xr:uid="{A4156EB6-5B99-4109-BEAB-909C1C486A03}">
          <x14:formula1>
            <xm:f>項目!C17:$MGE$65537</xm:f>
          </x14:formula1>
          <xm:sqref>MGM65543:MGM65566</xm:sqref>
        </x14:dataValidation>
        <x14:dataValidation type="list" allowBlank="1" showInputMessage="1" showErrorMessage="1" xr:uid="{634CD1C1-0610-438B-B0E0-F991694423E0}">
          <x14:formula1>
            <xm:f>項目!C17:$MQA$65537</xm:f>
          </x14:formula1>
          <xm:sqref>MQI65543:MQI65566</xm:sqref>
        </x14:dataValidation>
        <x14:dataValidation type="list" allowBlank="1" showInputMessage="1" showErrorMessage="1" xr:uid="{ACF08A24-8E3B-483D-A8D4-56904F417DB1}">
          <x14:formula1>
            <xm:f>項目!C17:$MZW$65537</xm:f>
          </x14:formula1>
          <xm:sqref>NAE65543:NAE65566</xm:sqref>
        </x14:dataValidation>
        <x14:dataValidation type="list" allowBlank="1" showInputMessage="1" showErrorMessage="1" xr:uid="{1A73B944-5791-4A3D-A037-1462706B5001}">
          <x14:formula1>
            <xm:f>項目!C17:$NJS$65537</xm:f>
          </x14:formula1>
          <xm:sqref>NKA65543:NKA65566</xm:sqref>
        </x14:dataValidation>
        <x14:dataValidation type="list" allowBlank="1" showInputMessage="1" showErrorMessage="1" xr:uid="{2F01D015-4B72-41D9-8EF3-0CE5E8A99CA2}">
          <x14:formula1>
            <xm:f>項目!C17:$NTO$65537</xm:f>
          </x14:formula1>
          <xm:sqref>NTW65543:NTW65566</xm:sqref>
        </x14:dataValidation>
        <x14:dataValidation type="list" allowBlank="1" showInputMessage="1" showErrorMessage="1" xr:uid="{74873D3E-DAAB-48DD-80E7-3C58F1C37B80}">
          <x14:formula1>
            <xm:f>項目!C17:$ODK$65537</xm:f>
          </x14:formula1>
          <xm:sqref>ODS65543:ODS65566</xm:sqref>
        </x14:dataValidation>
        <x14:dataValidation type="list" allowBlank="1" showInputMessage="1" showErrorMessage="1" xr:uid="{D33ADED1-5203-4160-99DD-E81233BEB251}">
          <x14:formula1>
            <xm:f>項目!C17:$ONG$65537</xm:f>
          </x14:formula1>
          <xm:sqref>ONO65543:ONO65566</xm:sqref>
        </x14:dataValidation>
        <x14:dataValidation type="list" allowBlank="1" showInputMessage="1" showErrorMessage="1" xr:uid="{B854DA16-621E-4A8F-8FB3-2EF930E98E92}">
          <x14:formula1>
            <xm:f>項目!C17:$OXC$65537</xm:f>
          </x14:formula1>
          <xm:sqref>OXK65543:OXK65566</xm:sqref>
        </x14:dataValidation>
        <x14:dataValidation type="list" allowBlank="1" showInputMessage="1" showErrorMessage="1" xr:uid="{779D86BF-89F9-464C-89BF-7F083445FB9E}">
          <x14:formula1>
            <xm:f>項目!C17:$PGY$65537</xm:f>
          </x14:formula1>
          <xm:sqref>PHG65543:PHG65566</xm:sqref>
        </x14:dataValidation>
        <x14:dataValidation type="list" allowBlank="1" showInputMessage="1" showErrorMessage="1" xr:uid="{78D83742-92EA-41F2-9D11-2EBAED7646F7}">
          <x14:formula1>
            <xm:f>項目!C17:$PQU$65537</xm:f>
          </x14:formula1>
          <xm:sqref>PRC65543:PRC65566</xm:sqref>
        </x14:dataValidation>
        <x14:dataValidation type="list" allowBlank="1" showInputMessage="1" showErrorMessage="1" xr:uid="{09D26CFA-128E-4AD4-B6C6-94E716E3DCBF}">
          <x14:formula1>
            <xm:f>項目!C17:$QAQ$65537</xm:f>
          </x14:formula1>
          <xm:sqref>QAY65543:QAY65566</xm:sqref>
        </x14:dataValidation>
        <x14:dataValidation type="list" allowBlank="1" showInputMessage="1" showErrorMessage="1" xr:uid="{D1242C1D-E7A3-4A3E-91BC-93E4351DC10B}">
          <x14:formula1>
            <xm:f>項目!C17:$QKM$65537</xm:f>
          </x14:formula1>
          <xm:sqref>QKU65543:QKU65566</xm:sqref>
        </x14:dataValidation>
        <x14:dataValidation type="list" allowBlank="1" showInputMessage="1" showErrorMessage="1" xr:uid="{63CA842C-3E13-4467-8D16-D7318781F719}">
          <x14:formula1>
            <xm:f>項目!C17:$QUI$65537</xm:f>
          </x14:formula1>
          <xm:sqref>QUQ65543:QUQ65566</xm:sqref>
        </x14:dataValidation>
        <x14:dataValidation type="list" allowBlank="1" showInputMessage="1" showErrorMessage="1" xr:uid="{8B98FD19-375E-4F14-A0EB-59709C1723F2}">
          <x14:formula1>
            <xm:f>項目!C17:$REE$65537</xm:f>
          </x14:formula1>
          <xm:sqref>REM65543:REM65566</xm:sqref>
        </x14:dataValidation>
        <x14:dataValidation type="list" allowBlank="1" showInputMessage="1" showErrorMessage="1" xr:uid="{2AE32696-083A-4B73-92A7-FE3EBBA159AB}">
          <x14:formula1>
            <xm:f>項目!C17:$ROA$65537</xm:f>
          </x14:formula1>
          <xm:sqref>ROI65543:ROI65566</xm:sqref>
        </x14:dataValidation>
        <x14:dataValidation type="list" allowBlank="1" showInputMessage="1" showErrorMessage="1" xr:uid="{22EF5A5A-6468-4536-B133-BA5CECE21842}">
          <x14:formula1>
            <xm:f>項目!C17:$RXW$65537</xm:f>
          </x14:formula1>
          <xm:sqref>RYE65543:RYE65566</xm:sqref>
        </x14:dataValidation>
        <x14:dataValidation type="list" allowBlank="1" showInputMessage="1" showErrorMessage="1" xr:uid="{D0263A37-51F4-4AF1-8551-313EBE20DA1D}">
          <x14:formula1>
            <xm:f>項目!C17:$SHS$65537</xm:f>
          </x14:formula1>
          <xm:sqref>SIA65543:SIA65566</xm:sqref>
        </x14:dataValidation>
        <x14:dataValidation type="list" allowBlank="1" showInputMessage="1" showErrorMessage="1" xr:uid="{B58B8557-76B3-48BC-AA67-0D10D820692F}">
          <x14:formula1>
            <xm:f>項目!C17:$SRO$65537</xm:f>
          </x14:formula1>
          <xm:sqref>SRW65543:SRW65566</xm:sqref>
        </x14:dataValidation>
        <x14:dataValidation type="list" allowBlank="1" showInputMessage="1" showErrorMessage="1" xr:uid="{711CB928-0998-4DF4-98F0-A7D72A283C2B}">
          <x14:formula1>
            <xm:f>項目!C17:$TBK$65537</xm:f>
          </x14:formula1>
          <xm:sqref>TBS65543:TBS65566</xm:sqref>
        </x14:dataValidation>
        <x14:dataValidation type="list" allowBlank="1" showInputMessage="1" showErrorMessage="1" xr:uid="{F4341460-34BF-4B01-8C3B-7BF02EA2323B}">
          <x14:formula1>
            <xm:f>項目!C17:$TLG$65537</xm:f>
          </x14:formula1>
          <xm:sqref>TLO65543:TLO65566</xm:sqref>
        </x14:dataValidation>
        <x14:dataValidation type="list" allowBlank="1" showInputMessage="1" showErrorMessage="1" xr:uid="{2798418A-E301-48C5-BC90-837474F66301}">
          <x14:formula1>
            <xm:f>項目!C17:$TVC$65537</xm:f>
          </x14:formula1>
          <xm:sqref>TVK65543:TVK65566</xm:sqref>
        </x14:dataValidation>
        <x14:dataValidation type="list" allowBlank="1" showInputMessage="1" showErrorMessage="1" xr:uid="{D9FD64AA-42E2-412A-AE58-7417B9C7D618}">
          <x14:formula1>
            <xm:f>項目!C17:$UEY$65537</xm:f>
          </x14:formula1>
          <xm:sqref>UFG65543:UFG65566</xm:sqref>
        </x14:dataValidation>
        <x14:dataValidation type="list" allowBlank="1" showInputMessage="1" showErrorMessage="1" xr:uid="{EC8414ED-394C-4AF2-92C1-30343F08D1C1}">
          <x14:formula1>
            <xm:f>項目!C17:$UOU$65537</xm:f>
          </x14:formula1>
          <xm:sqref>UPC65543:UPC65566</xm:sqref>
        </x14:dataValidation>
        <x14:dataValidation type="list" allowBlank="1" showInputMessage="1" showErrorMessage="1" xr:uid="{959218E9-80CC-468A-925C-60968EFD2A2F}">
          <x14:formula1>
            <xm:f>項目!C17:$UYQ$65537</xm:f>
          </x14:formula1>
          <xm:sqref>UYY65543:UYY65566</xm:sqref>
        </x14:dataValidation>
        <x14:dataValidation type="list" allowBlank="1" showInputMessage="1" showErrorMessage="1" xr:uid="{A720E2B0-6B17-4518-95AD-F54F5CB21443}">
          <x14:formula1>
            <xm:f>項目!C17:$VIM$65537</xm:f>
          </x14:formula1>
          <xm:sqref>VIU65543:VIU65566</xm:sqref>
        </x14:dataValidation>
        <x14:dataValidation type="list" allowBlank="1" showInputMessage="1" showErrorMessage="1" xr:uid="{9698EB29-D056-4EF5-BABB-62AF4C5AE574}">
          <x14:formula1>
            <xm:f>項目!C17:$VSI$65537</xm:f>
          </x14:formula1>
          <xm:sqref>VSQ65543:VSQ65566</xm:sqref>
        </x14:dataValidation>
        <x14:dataValidation type="list" allowBlank="1" showInputMessage="1" showErrorMessage="1" xr:uid="{251CD8E0-EC52-44CC-8587-7673A35AF989}">
          <x14:formula1>
            <xm:f>項目!C17:$WCE$65537</xm:f>
          </x14:formula1>
          <xm:sqref>WCM65543:WCM65566</xm:sqref>
        </x14:dataValidation>
        <x14:dataValidation type="list" allowBlank="1" showInputMessage="1" showErrorMessage="1" xr:uid="{DCC626CE-AADF-4839-9C2D-20839607251C}">
          <x14:formula1>
            <xm:f>項目!C17:$WMA$65537</xm:f>
          </x14:formula1>
          <xm:sqref>WMI65543:WMI65566</xm:sqref>
        </x14:dataValidation>
        <x14:dataValidation type="list" allowBlank="1" showInputMessage="1" showErrorMessage="1" xr:uid="{E6099E2A-0672-40D9-96E7-6AF7D84A2B20}">
          <x14:formula1>
            <xm:f>項目!C17:$WVW$65537</xm:f>
          </x14:formula1>
          <xm:sqref>WWE65543:WWE65566</xm:sqref>
        </x14:dataValidation>
        <x14:dataValidation type="list" allowBlank="1" showInputMessage="1" showErrorMessage="1" xr:uid="{AEBD2A24-0AF1-4441-A5D8-5AC67E06A6B5}">
          <x14:formula1>
            <xm:f>項目!C17:$P$131073</xm:f>
          </x14:formula1>
          <xm:sqref>W131079:W131102</xm:sqref>
        </x14:dataValidation>
        <x14:dataValidation type="list" allowBlank="1" showInputMessage="1" showErrorMessage="1" xr:uid="{4EA2F97B-F179-43F4-801B-2DC516C02640}">
          <x14:formula1>
            <xm:f>項目!C17:$JK$131073</xm:f>
          </x14:formula1>
          <xm:sqref>JS131079:JS131102</xm:sqref>
        </x14:dataValidation>
        <x14:dataValidation type="list" allowBlank="1" showInputMessage="1" showErrorMessage="1" xr:uid="{905E0DDD-1993-4BC4-B026-CB12CB4AF344}">
          <x14:formula1>
            <xm:f>項目!C17:$TG$131073</xm:f>
          </x14:formula1>
          <xm:sqref>TO131079:TO131102</xm:sqref>
        </x14:dataValidation>
        <x14:dataValidation type="list" allowBlank="1" showInputMessage="1" showErrorMessage="1" xr:uid="{F85DA1C4-DE60-4270-A238-6CD101277CA2}">
          <x14:formula1>
            <xm:f>項目!C17:$ADC$131073</xm:f>
          </x14:formula1>
          <xm:sqref>ADK131079:ADK131102</xm:sqref>
        </x14:dataValidation>
        <x14:dataValidation type="list" allowBlank="1" showInputMessage="1" showErrorMessage="1" xr:uid="{BCF71BFE-C67F-4B68-8DD5-6BFB89BC56DB}">
          <x14:formula1>
            <xm:f>項目!C17:$AMY$131073</xm:f>
          </x14:formula1>
          <xm:sqref>ANG131079:ANG131102</xm:sqref>
        </x14:dataValidation>
        <x14:dataValidation type="list" allowBlank="1" showInputMessage="1" showErrorMessage="1" xr:uid="{9D172A59-B9EA-4A32-929A-0F5FE52E2538}">
          <x14:formula1>
            <xm:f>項目!C17:$AWU$131073</xm:f>
          </x14:formula1>
          <xm:sqref>AXC131079:AXC131102</xm:sqref>
        </x14:dataValidation>
        <x14:dataValidation type="list" allowBlank="1" showInputMessage="1" showErrorMessage="1" xr:uid="{C0A029F8-B4EF-4A01-87CF-51DB0F5FC995}">
          <x14:formula1>
            <xm:f>項目!C17:$BGQ$131073</xm:f>
          </x14:formula1>
          <xm:sqref>BGY131079:BGY131102</xm:sqref>
        </x14:dataValidation>
        <x14:dataValidation type="list" allowBlank="1" showInputMessage="1" showErrorMessage="1" xr:uid="{AFD87EE8-27E2-4444-B25E-BD801C93AB48}">
          <x14:formula1>
            <xm:f>項目!C17:$BQM$131073</xm:f>
          </x14:formula1>
          <xm:sqref>BQU131079:BQU131102</xm:sqref>
        </x14:dataValidation>
        <x14:dataValidation type="list" allowBlank="1" showInputMessage="1" showErrorMessage="1" xr:uid="{B4316812-8A83-442C-93B3-1714187F5435}">
          <x14:formula1>
            <xm:f>項目!C17:$CAI$131073</xm:f>
          </x14:formula1>
          <xm:sqref>CAQ131079:CAQ131102</xm:sqref>
        </x14:dataValidation>
        <x14:dataValidation type="list" allowBlank="1" showInputMessage="1" showErrorMessage="1" xr:uid="{05E61C62-E9A6-466E-86E7-A717561F285C}">
          <x14:formula1>
            <xm:f>項目!C17:$CKE$131073</xm:f>
          </x14:formula1>
          <xm:sqref>CKM131079:CKM131102</xm:sqref>
        </x14:dataValidation>
        <x14:dataValidation type="list" allowBlank="1" showInputMessage="1" showErrorMessage="1" xr:uid="{F62E447E-CC05-4355-ACAA-01EC773715F5}">
          <x14:formula1>
            <xm:f>項目!C17:$CUA$131073</xm:f>
          </x14:formula1>
          <xm:sqref>CUI131079:CUI131102</xm:sqref>
        </x14:dataValidation>
        <x14:dataValidation type="list" allowBlank="1" showInputMessage="1" showErrorMessage="1" xr:uid="{480F05E5-E0E4-4DA7-B033-BF4EB8629424}">
          <x14:formula1>
            <xm:f>項目!C17:$DDW$131073</xm:f>
          </x14:formula1>
          <xm:sqref>DEE131079:DEE131102</xm:sqref>
        </x14:dataValidation>
        <x14:dataValidation type="list" allowBlank="1" showInputMessage="1" showErrorMessage="1" xr:uid="{C932F535-F9B2-4CEF-A4FF-FF078F494C84}">
          <x14:formula1>
            <xm:f>項目!C17:$DNS$131073</xm:f>
          </x14:formula1>
          <xm:sqref>DOA131079:DOA131102</xm:sqref>
        </x14:dataValidation>
        <x14:dataValidation type="list" allowBlank="1" showInputMessage="1" showErrorMessage="1" xr:uid="{79FED5B7-758F-42D7-8E4A-43C55BA23AE3}">
          <x14:formula1>
            <xm:f>項目!C17:$DXO$131073</xm:f>
          </x14:formula1>
          <xm:sqref>DXW131079:DXW131102</xm:sqref>
        </x14:dataValidation>
        <x14:dataValidation type="list" allowBlank="1" showInputMessage="1" showErrorMessage="1" xr:uid="{F2DEADD4-CE26-4984-B6FA-D5B83B0B32DB}">
          <x14:formula1>
            <xm:f>項目!C17:$EHK$131073</xm:f>
          </x14:formula1>
          <xm:sqref>EHS131079:EHS131102</xm:sqref>
        </x14:dataValidation>
        <x14:dataValidation type="list" allowBlank="1" showInputMessage="1" showErrorMessage="1" xr:uid="{F37ED05C-1F88-4D7F-931F-19CEBD27F015}">
          <x14:formula1>
            <xm:f>項目!C17:$ERG$131073</xm:f>
          </x14:formula1>
          <xm:sqref>ERO131079:ERO131102</xm:sqref>
        </x14:dataValidation>
        <x14:dataValidation type="list" allowBlank="1" showInputMessage="1" showErrorMessage="1" xr:uid="{770C8C73-E826-4416-8EB8-0D378911AB50}">
          <x14:formula1>
            <xm:f>項目!C17:$FBC$131073</xm:f>
          </x14:formula1>
          <xm:sqref>FBK131079:FBK131102</xm:sqref>
        </x14:dataValidation>
        <x14:dataValidation type="list" allowBlank="1" showInputMessage="1" showErrorMessage="1" xr:uid="{4C72AD6F-C18F-4033-8250-0BBF56BE87EB}">
          <x14:formula1>
            <xm:f>項目!C17:$FKY$131073</xm:f>
          </x14:formula1>
          <xm:sqref>FLG131079:FLG131102</xm:sqref>
        </x14:dataValidation>
        <x14:dataValidation type="list" allowBlank="1" showInputMessage="1" showErrorMessage="1" xr:uid="{70BEB6E8-9693-47A9-AEDD-F55246660360}">
          <x14:formula1>
            <xm:f>項目!C17:$FUU$131073</xm:f>
          </x14:formula1>
          <xm:sqref>FVC131079:FVC131102</xm:sqref>
        </x14:dataValidation>
        <x14:dataValidation type="list" allowBlank="1" showInputMessage="1" showErrorMessage="1" xr:uid="{08278E91-9D2A-421F-A9C3-E38110F66ABA}">
          <x14:formula1>
            <xm:f>項目!C17:$GEQ$131073</xm:f>
          </x14:formula1>
          <xm:sqref>GEY131079:GEY131102</xm:sqref>
        </x14:dataValidation>
        <x14:dataValidation type="list" allowBlank="1" showInputMessage="1" showErrorMessage="1" xr:uid="{F91BF16E-E3DD-4D95-82F4-CB2683823AE6}">
          <x14:formula1>
            <xm:f>項目!C17:$GOM$131073</xm:f>
          </x14:formula1>
          <xm:sqref>GOU131079:GOU131102</xm:sqref>
        </x14:dataValidation>
        <x14:dataValidation type="list" allowBlank="1" showInputMessage="1" showErrorMessage="1" xr:uid="{8D6EDD65-1533-4D85-A643-A41092299086}">
          <x14:formula1>
            <xm:f>項目!C17:$GYI$131073</xm:f>
          </x14:formula1>
          <xm:sqref>GYQ131079:GYQ131102</xm:sqref>
        </x14:dataValidation>
        <x14:dataValidation type="list" allowBlank="1" showInputMessage="1" showErrorMessage="1" xr:uid="{3CF8EEC5-65F5-4F97-9302-57BF78C403AD}">
          <x14:formula1>
            <xm:f>項目!C17:$HIE$131073</xm:f>
          </x14:formula1>
          <xm:sqref>HIM131079:HIM131102</xm:sqref>
        </x14:dataValidation>
        <x14:dataValidation type="list" allowBlank="1" showInputMessage="1" showErrorMessage="1" xr:uid="{617E4235-2378-4A85-AA0D-0EC74B390AF7}">
          <x14:formula1>
            <xm:f>項目!C17:$HSA$131073</xm:f>
          </x14:formula1>
          <xm:sqref>HSI131079:HSI131102</xm:sqref>
        </x14:dataValidation>
        <x14:dataValidation type="list" allowBlank="1" showInputMessage="1" showErrorMessage="1" xr:uid="{F7992F43-4F01-44DB-A427-78C9067829DE}">
          <x14:formula1>
            <xm:f>項目!C17:$IBW$131073</xm:f>
          </x14:formula1>
          <xm:sqref>ICE131079:ICE131102</xm:sqref>
        </x14:dataValidation>
        <x14:dataValidation type="list" allowBlank="1" showInputMessage="1" showErrorMessage="1" xr:uid="{4CC64FEF-8D1E-4ED6-B643-FD5264FC5935}">
          <x14:formula1>
            <xm:f>項目!C17:$ILS$131073</xm:f>
          </x14:formula1>
          <xm:sqref>IMA131079:IMA131102</xm:sqref>
        </x14:dataValidation>
        <x14:dataValidation type="list" allowBlank="1" showInputMessage="1" showErrorMessage="1" xr:uid="{209DBC1B-C7F0-4D90-B923-CB191376CE9A}">
          <x14:formula1>
            <xm:f>項目!C17:$IVO$131073</xm:f>
          </x14:formula1>
          <xm:sqref>IVW131079:IVW131102</xm:sqref>
        </x14:dataValidation>
        <x14:dataValidation type="list" allowBlank="1" showInputMessage="1" showErrorMessage="1" xr:uid="{B254FC48-6D46-420B-A147-75DA4E0D0203}">
          <x14:formula1>
            <xm:f>項目!C17:$JFK$131073</xm:f>
          </x14:formula1>
          <xm:sqref>JFS131079:JFS131102</xm:sqref>
        </x14:dataValidation>
        <x14:dataValidation type="list" allowBlank="1" showInputMessage="1" showErrorMessage="1" xr:uid="{1F9AA092-DE73-47B2-AEFF-1598BB7DEA8F}">
          <x14:formula1>
            <xm:f>項目!C17:$JPG$131073</xm:f>
          </x14:formula1>
          <xm:sqref>JPO131079:JPO131102</xm:sqref>
        </x14:dataValidation>
        <x14:dataValidation type="list" allowBlank="1" showInputMessage="1" showErrorMessage="1" xr:uid="{82F35387-9FEC-4E0B-AA88-787A44232AC0}">
          <x14:formula1>
            <xm:f>項目!C17:$JZC$131073</xm:f>
          </x14:formula1>
          <xm:sqref>JZK131079:JZK131102</xm:sqref>
        </x14:dataValidation>
        <x14:dataValidation type="list" allowBlank="1" showInputMessage="1" showErrorMessage="1" xr:uid="{511D5A3E-4B9D-4012-BA39-378137E1FCE3}">
          <x14:formula1>
            <xm:f>項目!C17:$KIY$131073</xm:f>
          </x14:formula1>
          <xm:sqref>KJG131079:KJG131102</xm:sqref>
        </x14:dataValidation>
        <x14:dataValidation type="list" allowBlank="1" showInputMessage="1" showErrorMessage="1" xr:uid="{CD5F5C06-73A9-4868-AC1A-25987FEA1394}">
          <x14:formula1>
            <xm:f>項目!C17:$KSU$131073</xm:f>
          </x14:formula1>
          <xm:sqref>KTC131079:KTC131102</xm:sqref>
        </x14:dataValidation>
        <x14:dataValidation type="list" allowBlank="1" showInputMessage="1" showErrorMessage="1" xr:uid="{978C91B2-3E85-48D5-8FDD-853DADB81C3A}">
          <x14:formula1>
            <xm:f>項目!C17:$LCQ$131073</xm:f>
          </x14:formula1>
          <xm:sqref>LCY131079:LCY131102</xm:sqref>
        </x14:dataValidation>
        <x14:dataValidation type="list" allowBlank="1" showInputMessage="1" showErrorMessage="1" xr:uid="{43AABC21-03F0-402B-8B1B-4AC1DA73E35C}">
          <x14:formula1>
            <xm:f>項目!C17:$LMM$131073</xm:f>
          </x14:formula1>
          <xm:sqref>LMU131079:LMU131102</xm:sqref>
        </x14:dataValidation>
        <x14:dataValidation type="list" allowBlank="1" showInputMessage="1" showErrorMessage="1" xr:uid="{58E0C77C-7588-45A6-9A1A-B705F229437A}">
          <x14:formula1>
            <xm:f>項目!C17:$LWI$131073</xm:f>
          </x14:formula1>
          <xm:sqref>LWQ131079:LWQ131102</xm:sqref>
        </x14:dataValidation>
        <x14:dataValidation type="list" allowBlank="1" showInputMessage="1" showErrorMessage="1" xr:uid="{12DBD3FA-BC00-49A8-AC4A-97CD9B620C9F}">
          <x14:formula1>
            <xm:f>項目!C17:$MGE$131073</xm:f>
          </x14:formula1>
          <xm:sqref>MGM131079:MGM131102</xm:sqref>
        </x14:dataValidation>
        <x14:dataValidation type="list" allowBlank="1" showInputMessage="1" showErrorMessage="1" xr:uid="{518C4645-2E61-43A2-BC1C-3042BC2789E1}">
          <x14:formula1>
            <xm:f>項目!C17:$MQA$131073</xm:f>
          </x14:formula1>
          <xm:sqref>MQI131079:MQI131102</xm:sqref>
        </x14:dataValidation>
        <x14:dataValidation type="list" allowBlank="1" showInputMessage="1" showErrorMessage="1" xr:uid="{BBF789C6-B756-4E79-A626-9F62B91595FE}">
          <x14:formula1>
            <xm:f>項目!C17:$MZW$131073</xm:f>
          </x14:formula1>
          <xm:sqref>NAE131079:NAE131102</xm:sqref>
        </x14:dataValidation>
        <x14:dataValidation type="list" allowBlank="1" showInputMessage="1" showErrorMessage="1" xr:uid="{84A41506-2137-4B46-8F09-A2CD37DA4299}">
          <x14:formula1>
            <xm:f>項目!C17:$NJS$131073</xm:f>
          </x14:formula1>
          <xm:sqref>NKA131079:NKA131102</xm:sqref>
        </x14:dataValidation>
        <x14:dataValidation type="list" allowBlank="1" showInputMessage="1" showErrorMessage="1" xr:uid="{86467122-D00A-48E4-A935-6F023F93FD61}">
          <x14:formula1>
            <xm:f>項目!C17:$NTO$131073</xm:f>
          </x14:formula1>
          <xm:sqref>NTW131079:NTW131102</xm:sqref>
        </x14:dataValidation>
        <x14:dataValidation type="list" allowBlank="1" showInputMessage="1" showErrorMessage="1" xr:uid="{F54BDF1E-B9A1-4B19-8B75-E23D005BA702}">
          <x14:formula1>
            <xm:f>項目!C17:$ODK$131073</xm:f>
          </x14:formula1>
          <xm:sqref>ODS131079:ODS131102</xm:sqref>
        </x14:dataValidation>
        <x14:dataValidation type="list" allowBlank="1" showInputMessage="1" showErrorMessage="1" xr:uid="{4565CF00-27AA-45D7-803D-98EC14E2BE70}">
          <x14:formula1>
            <xm:f>項目!C17:$ONG$131073</xm:f>
          </x14:formula1>
          <xm:sqref>ONO131079:ONO131102</xm:sqref>
        </x14:dataValidation>
        <x14:dataValidation type="list" allowBlank="1" showInputMessage="1" showErrorMessage="1" xr:uid="{99A51F4D-9227-4F94-ACEA-F9C4C0888421}">
          <x14:formula1>
            <xm:f>項目!C17:$OXC$131073</xm:f>
          </x14:formula1>
          <xm:sqref>OXK131079:OXK131102</xm:sqref>
        </x14:dataValidation>
        <x14:dataValidation type="list" allowBlank="1" showInputMessage="1" showErrorMessage="1" xr:uid="{7C7DB849-15CE-4FF6-B0E5-0D4E26888F15}">
          <x14:formula1>
            <xm:f>項目!C17:$PGY$131073</xm:f>
          </x14:formula1>
          <xm:sqref>PHG131079:PHG131102</xm:sqref>
        </x14:dataValidation>
        <x14:dataValidation type="list" allowBlank="1" showInputMessage="1" showErrorMessage="1" xr:uid="{7859E461-436D-48C3-B1BA-6CBEE0529E63}">
          <x14:formula1>
            <xm:f>項目!C17:$PQU$131073</xm:f>
          </x14:formula1>
          <xm:sqref>PRC131079:PRC131102</xm:sqref>
        </x14:dataValidation>
        <x14:dataValidation type="list" allowBlank="1" showInputMessage="1" showErrorMessage="1" xr:uid="{3D7B55E7-8E03-4D42-BDB9-8868D08A030D}">
          <x14:formula1>
            <xm:f>項目!C17:$QAQ$131073</xm:f>
          </x14:formula1>
          <xm:sqref>QAY131079:QAY131102</xm:sqref>
        </x14:dataValidation>
        <x14:dataValidation type="list" allowBlank="1" showInputMessage="1" showErrorMessage="1" xr:uid="{BC609EA3-A814-4477-BE71-13C049ED2DA3}">
          <x14:formula1>
            <xm:f>項目!C17:$QKM$131073</xm:f>
          </x14:formula1>
          <xm:sqref>QKU131079:QKU131102</xm:sqref>
        </x14:dataValidation>
        <x14:dataValidation type="list" allowBlank="1" showInputMessage="1" showErrorMessage="1" xr:uid="{38A5C22C-6C33-4115-A25C-81BA3F89BD3D}">
          <x14:formula1>
            <xm:f>項目!C17:$QUI$131073</xm:f>
          </x14:formula1>
          <xm:sqref>QUQ131079:QUQ131102</xm:sqref>
        </x14:dataValidation>
        <x14:dataValidation type="list" allowBlank="1" showInputMessage="1" showErrorMessage="1" xr:uid="{79C80F9A-BA68-4415-BE55-B796BFB5C8C2}">
          <x14:formula1>
            <xm:f>項目!C17:$REE$131073</xm:f>
          </x14:formula1>
          <xm:sqref>REM131079:REM131102</xm:sqref>
        </x14:dataValidation>
        <x14:dataValidation type="list" allowBlank="1" showInputMessage="1" showErrorMessage="1" xr:uid="{7556BAEC-999C-44BC-AA01-7CF30966F445}">
          <x14:formula1>
            <xm:f>項目!C17:$ROA$131073</xm:f>
          </x14:formula1>
          <xm:sqref>ROI131079:ROI131102</xm:sqref>
        </x14:dataValidation>
        <x14:dataValidation type="list" allowBlank="1" showInputMessage="1" showErrorMessage="1" xr:uid="{8C43BE75-5C68-47E1-B117-1A3B53169519}">
          <x14:formula1>
            <xm:f>項目!C17:$RXW$131073</xm:f>
          </x14:formula1>
          <xm:sqref>RYE131079:RYE131102</xm:sqref>
        </x14:dataValidation>
        <x14:dataValidation type="list" allowBlank="1" showInputMessage="1" showErrorMessage="1" xr:uid="{91C42E12-1FE2-4396-969F-03E0D4337211}">
          <x14:formula1>
            <xm:f>項目!C17:$SHS$131073</xm:f>
          </x14:formula1>
          <xm:sqref>SIA131079:SIA131102</xm:sqref>
        </x14:dataValidation>
        <x14:dataValidation type="list" allowBlank="1" showInputMessage="1" showErrorMessage="1" xr:uid="{21D4D8AA-E18B-4EF5-8435-4DC5768D8CD0}">
          <x14:formula1>
            <xm:f>項目!C17:$SRO$131073</xm:f>
          </x14:formula1>
          <xm:sqref>SRW131079:SRW131102</xm:sqref>
        </x14:dataValidation>
        <x14:dataValidation type="list" allowBlank="1" showInputMessage="1" showErrorMessage="1" xr:uid="{D90EBE38-4DB0-4C38-A806-87D3BECFCDA2}">
          <x14:formula1>
            <xm:f>項目!C17:$TBK$131073</xm:f>
          </x14:formula1>
          <xm:sqref>TBS131079:TBS131102</xm:sqref>
        </x14:dataValidation>
        <x14:dataValidation type="list" allowBlank="1" showInputMessage="1" showErrorMessage="1" xr:uid="{408521FC-3AFC-450B-AD75-18DC4DE08A89}">
          <x14:formula1>
            <xm:f>項目!C17:$TLG$131073</xm:f>
          </x14:formula1>
          <xm:sqref>TLO131079:TLO131102</xm:sqref>
        </x14:dataValidation>
        <x14:dataValidation type="list" allowBlank="1" showInputMessage="1" showErrorMessage="1" xr:uid="{EAB8581C-D02F-4929-BB54-A61EAFA1181B}">
          <x14:formula1>
            <xm:f>項目!C17:$TVC$131073</xm:f>
          </x14:formula1>
          <xm:sqref>TVK131079:TVK131102</xm:sqref>
        </x14:dataValidation>
        <x14:dataValidation type="list" allowBlank="1" showInputMessage="1" showErrorMessage="1" xr:uid="{8AFB9B36-0B5C-41AA-A782-7B2A0DFAC33E}">
          <x14:formula1>
            <xm:f>項目!C17:$UEY$131073</xm:f>
          </x14:formula1>
          <xm:sqref>UFG131079:UFG131102</xm:sqref>
        </x14:dataValidation>
        <x14:dataValidation type="list" allowBlank="1" showInputMessage="1" showErrorMessage="1" xr:uid="{F56C1632-96E4-4A02-A86B-613FF7E65579}">
          <x14:formula1>
            <xm:f>項目!C17:$UOU$131073</xm:f>
          </x14:formula1>
          <xm:sqref>UPC131079:UPC131102</xm:sqref>
        </x14:dataValidation>
        <x14:dataValidation type="list" allowBlank="1" showInputMessage="1" showErrorMessage="1" xr:uid="{B14565CC-DB5D-41C2-88B4-620A197C0E8F}">
          <x14:formula1>
            <xm:f>項目!C17:$UYQ$131073</xm:f>
          </x14:formula1>
          <xm:sqref>UYY131079:UYY131102</xm:sqref>
        </x14:dataValidation>
        <x14:dataValidation type="list" allowBlank="1" showInputMessage="1" showErrorMessage="1" xr:uid="{65CF23D6-4EEF-4807-9F0E-59C3B7202ED4}">
          <x14:formula1>
            <xm:f>項目!C17:$VIM$131073</xm:f>
          </x14:formula1>
          <xm:sqref>VIU131079:VIU131102</xm:sqref>
        </x14:dataValidation>
        <x14:dataValidation type="list" allowBlank="1" showInputMessage="1" showErrorMessage="1" xr:uid="{D7F77667-3109-471A-81FB-48679DCB2050}">
          <x14:formula1>
            <xm:f>項目!C17:$VSI$131073</xm:f>
          </x14:formula1>
          <xm:sqref>VSQ131079:VSQ131102</xm:sqref>
        </x14:dataValidation>
        <x14:dataValidation type="list" allowBlank="1" showInputMessage="1" showErrorMessage="1" xr:uid="{99AC7E18-8D00-4D2C-B677-02A67E8D4037}">
          <x14:formula1>
            <xm:f>項目!C17:$WCE$131073</xm:f>
          </x14:formula1>
          <xm:sqref>WCM131079:WCM131102</xm:sqref>
        </x14:dataValidation>
        <x14:dataValidation type="list" allowBlank="1" showInputMessage="1" showErrorMessage="1" xr:uid="{CB8EAC28-589D-4D12-A1F5-72000E3B10F8}">
          <x14:formula1>
            <xm:f>項目!C17:$WMA$131073</xm:f>
          </x14:formula1>
          <xm:sqref>WMI131079:WMI131102</xm:sqref>
        </x14:dataValidation>
        <x14:dataValidation type="list" allowBlank="1" showInputMessage="1" showErrorMessage="1" xr:uid="{273995C7-CC9B-4E60-8D96-727B213EDEBC}">
          <x14:formula1>
            <xm:f>項目!C17:$WVW$131073</xm:f>
          </x14:formula1>
          <xm:sqref>WWE131079:WWE131102</xm:sqref>
        </x14:dataValidation>
        <x14:dataValidation type="list" allowBlank="1" showInputMessage="1" showErrorMessage="1" xr:uid="{AEF3A861-F62E-4799-AD93-B231DA860060}">
          <x14:formula1>
            <xm:f>項目!C17:$P$196609</xm:f>
          </x14:formula1>
          <xm:sqref>W196615:W196638</xm:sqref>
        </x14:dataValidation>
        <x14:dataValidation type="list" allowBlank="1" showInputMessage="1" showErrorMessage="1" xr:uid="{0ECB0BA3-3216-4BA9-84C1-4DE9B9DB0775}">
          <x14:formula1>
            <xm:f>項目!C17:$JK$196609</xm:f>
          </x14:formula1>
          <xm:sqref>JS196615:JS196638</xm:sqref>
        </x14:dataValidation>
        <x14:dataValidation type="list" allowBlank="1" showInputMessage="1" showErrorMessage="1" xr:uid="{F6DF7314-89D9-4537-A0D4-434317CD474C}">
          <x14:formula1>
            <xm:f>項目!C17:$TG$196609</xm:f>
          </x14:formula1>
          <xm:sqref>TO196615:TO196638</xm:sqref>
        </x14:dataValidation>
        <x14:dataValidation type="list" allowBlank="1" showInputMessage="1" showErrorMessage="1" xr:uid="{C99B10D6-5006-4606-BFFD-74EC0AA1D80D}">
          <x14:formula1>
            <xm:f>項目!C17:$ADC$196609</xm:f>
          </x14:formula1>
          <xm:sqref>ADK196615:ADK196638</xm:sqref>
        </x14:dataValidation>
        <x14:dataValidation type="list" allowBlank="1" showInputMessage="1" showErrorMessage="1" xr:uid="{82714150-AF75-405C-9B5F-3443CE49C7B1}">
          <x14:formula1>
            <xm:f>項目!C17:$AMY$196609</xm:f>
          </x14:formula1>
          <xm:sqref>ANG196615:ANG196638</xm:sqref>
        </x14:dataValidation>
        <x14:dataValidation type="list" allowBlank="1" showInputMessage="1" showErrorMessage="1" xr:uid="{3E1A2806-6071-46BF-A535-DE06F5D89898}">
          <x14:formula1>
            <xm:f>項目!C17:$AWU$196609</xm:f>
          </x14:formula1>
          <xm:sqref>AXC196615:AXC196638</xm:sqref>
        </x14:dataValidation>
        <x14:dataValidation type="list" allowBlank="1" showInputMessage="1" showErrorMessage="1" xr:uid="{72406B5C-A472-400F-B226-D19BEE55578F}">
          <x14:formula1>
            <xm:f>項目!C17:$BGQ$196609</xm:f>
          </x14:formula1>
          <xm:sqref>BGY196615:BGY196638</xm:sqref>
        </x14:dataValidation>
        <x14:dataValidation type="list" allowBlank="1" showInputMessage="1" showErrorMessage="1" xr:uid="{05DE1BC3-8DAC-4799-B295-02172358D813}">
          <x14:formula1>
            <xm:f>項目!C17:$BQM$196609</xm:f>
          </x14:formula1>
          <xm:sqref>BQU196615:BQU196638</xm:sqref>
        </x14:dataValidation>
        <x14:dataValidation type="list" allowBlank="1" showInputMessage="1" showErrorMessage="1" xr:uid="{7B60282C-E96C-4D05-BD3C-F9CCFAD1205B}">
          <x14:formula1>
            <xm:f>項目!C17:$CAI$196609</xm:f>
          </x14:formula1>
          <xm:sqref>CAQ196615:CAQ196638</xm:sqref>
        </x14:dataValidation>
        <x14:dataValidation type="list" allowBlank="1" showInputMessage="1" showErrorMessage="1" xr:uid="{626A72DC-533A-4B75-BEB8-5927AF2356D5}">
          <x14:formula1>
            <xm:f>項目!C17:$CKE$196609</xm:f>
          </x14:formula1>
          <xm:sqref>CKM196615:CKM196638</xm:sqref>
        </x14:dataValidation>
        <x14:dataValidation type="list" allowBlank="1" showInputMessage="1" showErrorMessage="1" xr:uid="{AB0EC70D-2115-4B64-BBC7-CE1C154D98E5}">
          <x14:formula1>
            <xm:f>項目!C17:$CUA$196609</xm:f>
          </x14:formula1>
          <xm:sqref>CUI196615:CUI196638</xm:sqref>
        </x14:dataValidation>
        <x14:dataValidation type="list" allowBlank="1" showInputMessage="1" showErrorMessage="1" xr:uid="{755FABF6-54C1-4AD2-B6D4-CF9C379FDC78}">
          <x14:formula1>
            <xm:f>項目!C17:$DDW$196609</xm:f>
          </x14:formula1>
          <xm:sqref>DEE196615:DEE196638</xm:sqref>
        </x14:dataValidation>
        <x14:dataValidation type="list" allowBlank="1" showInputMessage="1" showErrorMessage="1" xr:uid="{51387667-B43B-4E03-833A-B02BF5936A4C}">
          <x14:formula1>
            <xm:f>項目!C17:$DNS$196609</xm:f>
          </x14:formula1>
          <xm:sqref>DOA196615:DOA196638</xm:sqref>
        </x14:dataValidation>
        <x14:dataValidation type="list" allowBlank="1" showInputMessage="1" showErrorMessage="1" xr:uid="{E06DAA31-234F-4C2B-9223-7CAF45503634}">
          <x14:formula1>
            <xm:f>項目!C17:$DXO$196609</xm:f>
          </x14:formula1>
          <xm:sqref>DXW196615:DXW196638</xm:sqref>
        </x14:dataValidation>
        <x14:dataValidation type="list" allowBlank="1" showInputMessage="1" showErrorMessage="1" xr:uid="{817ADC61-B405-4B26-9808-DCC1FBACABAF}">
          <x14:formula1>
            <xm:f>項目!C17:$EHK$196609</xm:f>
          </x14:formula1>
          <xm:sqref>EHS196615:EHS196638</xm:sqref>
        </x14:dataValidation>
        <x14:dataValidation type="list" allowBlank="1" showInputMessage="1" showErrorMessage="1" xr:uid="{A75B194C-DCA9-4F06-8651-A0E67B834587}">
          <x14:formula1>
            <xm:f>項目!C17:$ERG$196609</xm:f>
          </x14:formula1>
          <xm:sqref>ERO196615:ERO196638</xm:sqref>
        </x14:dataValidation>
        <x14:dataValidation type="list" allowBlank="1" showInputMessage="1" showErrorMessage="1" xr:uid="{28A8EB92-9245-426A-9442-964F24224EC2}">
          <x14:formula1>
            <xm:f>項目!C17:$FBC$196609</xm:f>
          </x14:formula1>
          <xm:sqref>FBK196615:FBK196638</xm:sqref>
        </x14:dataValidation>
        <x14:dataValidation type="list" allowBlank="1" showInputMessage="1" showErrorMessage="1" xr:uid="{DFD75F39-CE39-4440-B32A-2A297470FB4E}">
          <x14:formula1>
            <xm:f>項目!C17:$FKY$196609</xm:f>
          </x14:formula1>
          <xm:sqref>FLG196615:FLG196638</xm:sqref>
        </x14:dataValidation>
        <x14:dataValidation type="list" allowBlank="1" showInputMessage="1" showErrorMessage="1" xr:uid="{F3D7852B-91E6-47C8-8148-54253E2997BA}">
          <x14:formula1>
            <xm:f>項目!C17:$FUU$196609</xm:f>
          </x14:formula1>
          <xm:sqref>FVC196615:FVC196638</xm:sqref>
        </x14:dataValidation>
        <x14:dataValidation type="list" allowBlank="1" showInputMessage="1" showErrorMessage="1" xr:uid="{9D9A897B-D30D-4FF1-A775-A0ED6FD7DE2C}">
          <x14:formula1>
            <xm:f>項目!C17:$GEQ$196609</xm:f>
          </x14:formula1>
          <xm:sqref>GEY196615:GEY196638</xm:sqref>
        </x14:dataValidation>
        <x14:dataValidation type="list" allowBlank="1" showInputMessage="1" showErrorMessage="1" xr:uid="{375FEF44-E044-41CD-8480-7CE00EE0A245}">
          <x14:formula1>
            <xm:f>項目!C17:$GOM$196609</xm:f>
          </x14:formula1>
          <xm:sqref>GOU196615:GOU196638</xm:sqref>
        </x14:dataValidation>
        <x14:dataValidation type="list" allowBlank="1" showInputMessage="1" showErrorMessage="1" xr:uid="{48579158-27C3-47FD-97B1-41AAA680EA90}">
          <x14:formula1>
            <xm:f>項目!C17:$GYI$196609</xm:f>
          </x14:formula1>
          <xm:sqref>GYQ196615:GYQ196638</xm:sqref>
        </x14:dataValidation>
        <x14:dataValidation type="list" allowBlank="1" showInputMessage="1" showErrorMessage="1" xr:uid="{FA13B983-3D39-414E-AFA4-F4B6AB301563}">
          <x14:formula1>
            <xm:f>項目!C17:$HIE$196609</xm:f>
          </x14:formula1>
          <xm:sqref>HIM196615:HIM196638</xm:sqref>
        </x14:dataValidation>
        <x14:dataValidation type="list" allowBlank="1" showInputMessage="1" showErrorMessage="1" xr:uid="{8772D520-2AA0-47E8-B809-D937D7D6504A}">
          <x14:formula1>
            <xm:f>項目!C17:$HSA$196609</xm:f>
          </x14:formula1>
          <xm:sqref>HSI196615:HSI196638</xm:sqref>
        </x14:dataValidation>
        <x14:dataValidation type="list" allowBlank="1" showInputMessage="1" showErrorMessage="1" xr:uid="{67A457E1-B537-4746-B7BF-A80EC4E1894E}">
          <x14:formula1>
            <xm:f>項目!C17:$IBW$196609</xm:f>
          </x14:formula1>
          <xm:sqref>ICE196615:ICE196638</xm:sqref>
        </x14:dataValidation>
        <x14:dataValidation type="list" allowBlank="1" showInputMessage="1" showErrorMessage="1" xr:uid="{02D8A176-F2C7-4161-8D46-5D27CA86E569}">
          <x14:formula1>
            <xm:f>項目!C17:$ILS$196609</xm:f>
          </x14:formula1>
          <xm:sqref>IMA196615:IMA196638</xm:sqref>
        </x14:dataValidation>
        <x14:dataValidation type="list" allowBlank="1" showInputMessage="1" showErrorMessage="1" xr:uid="{CD86ED60-513C-43D1-80DB-7B65F5EFF7D3}">
          <x14:formula1>
            <xm:f>項目!C17:$IVO$196609</xm:f>
          </x14:formula1>
          <xm:sqref>IVW196615:IVW196638</xm:sqref>
        </x14:dataValidation>
        <x14:dataValidation type="list" allowBlank="1" showInputMessage="1" showErrorMessage="1" xr:uid="{C42DED3B-FEDE-4526-98A1-69638933E2A5}">
          <x14:formula1>
            <xm:f>項目!C17:$JFK$196609</xm:f>
          </x14:formula1>
          <xm:sqref>JFS196615:JFS196638</xm:sqref>
        </x14:dataValidation>
        <x14:dataValidation type="list" allowBlank="1" showInputMessage="1" showErrorMessage="1" xr:uid="{F99FBDCE-B3FC-4D5F-8A9F-A96D126F9DA0}">
          <x14:formula1>
            <xm:f>項目!C17:$JPG$196609</xm:f>
          </x14:formula1>
          <xm:sqref>JPO196615:JPO196638</xm:sqref>
        </x14:dataValidation>
        <x14:dataValidation type="list" allowBlank="1" showInputMessage="1" showErrorMessage="1" xr:uid="{80EAEB17-7F11-4657-81E1-1B34F1815BD9}">
          <x14:formula1>
            <xm:f>項目!C17:$JZC$196609</xm:f>
          </x14:formula1>
          <xm:sqref>JZK196615:JZK196638</xm:sqref>
        </x14:dataValidation>
        <x14:dataValidation type="list" allowBlank="1" showInputMessage="1" showErrorMessage="1" xr:uid="{81DC6656-4A19-4DD7-BBBD-93410839BA98}">
          <x14:formula1>
            <xm:f>項目!C17:$KIY$196609</xm:f>
          </x14:formula1>
          <xm:sqref>KJG196615:KJG196638</xm:sqref>
        </x14:dataValidation>
        <x14:dataValidation type="list" allowBlank="1" showInputMessage="1" showErrorMessage="1" xr:uid="{A123F48B-6B7A-471B-A282-2A9F7AEF2CB8}">
          <x14:formula1>
            <xm:f>項目!C17:$KSU$196609</xm:f>
          </x14:formula1>
          <xm:sqref>KTC196615:KTC196638</xm:sqref>
        </x14:dataValidation>
        <x14:dataValidation type="list" allowBlank="1" showInputMessage="1" showErrorMessage="1" xr:uid="{576DD854-5374-47A4-B640-8D8B3C36DB6C}">
          <x14:formula1>
            <xm:f>項目!C17:$LCQ$196609</xm:f>
          </x14:formula1>
          <xm:sqref>LCY196615:LCY196638</xm:sqref>
        </x14:dataValidation>
        <x14:dataValidation type="list" allowBlank="1" showInputMessage="1" showErrorMessage="1" xr:uid="{26626057-FC46-40C8-8B28-AECCBD385CA6}">
          <x14:formula1>
            <xm:f>項目!C17:$LMM$196609</xm:f>
          </x14:formula1>
          <xm:sqref>LMU196615:LMU196638</xm:sqref>
        </x14:dataValidation>
        <x14:dataValidation type="list" allowBlank="1" showInputMessage="1" showErrorMessage="1" xr:uid="{F2E92FBF-B37B-4680-907B-CB38DEED8712}">
          <x14:formula1>
            <xm:f>項目!C17:$LWI$196609</xm:f>
          </x14:formula1>
          <xm:sqref>LWQ196615:LWQ196638</xm:sqref>
        </x14:dataValidation>
        <x14:dataValidation type="list" allowBlank="1" showInputMessage="1" showErrorMessage="1" xr:uid="{99D502B8-96FB-4DF7-A6AC-79348703DC33}">
          <x14:formula1>
            <xm:f>項目!C17:$MGE$196609</xm:f>
          </x14:formula1>
          <xm:sqref>MGM196615:MGM196638</xm:sqref>
        </x14:dataValidation>
        <x14:dataValidation type="list" allowBlank="1" showInputMessage="1" showErrorMessage="1" xr:uid="{23C155D8-E6CC-4763-80EF-7D1C7FCB82C1}">
          <x14:formula1>
            <xm:f>項目!C17:$MQA$196609</xm:f>
          </x14:formula1>
          <xm:sqref>MQI196615:MQI196638</xm:sqref>
        </x14:dataValidation>
        <x14:dataValidation type="list" allowBlank="1" showInputMessage="1" showErrorMessage="1" xr:uid="{0AC3FE6B-46AA-4710-AB9E-8F42C826D8B9}">
          <x14:formula1>
            <xm:f>項目!C17:$MZW$196609</xm:f>
          </x14:formula1>
          <xm:sqref>NAE196615:NAE196638</xm:sqref>
        </x14:dataValidation>
        <x14:dataValidation type="list" allowBlank="1" showInputMessage="1" showErrorMessage="1" xr:uid="{2A8B535E-747B-463F-93BF-B2400BFD7EB7}">
          <x14:formula1>
            <xm:f>項目!C17:$NJS$196609</xm:f>
          </x14:formula1>
          <xm:sqref>NKA196615:NKA196638</xm:sqref>
        </x14:dataValidation>
        <x14:dataValidation type="list" allowBlank="1" showInputMessage="1" showErrorMessage="1" xr:uid="{AA86CF99-D88F-4980-8FD5-5C44E836A17B}">
          <x14:formula1>
            <xm:f>項目!C17:$NTO$196609</xm:f>
          </x14:formula1>
          <xm:sqref>NTW196615:NTW196638</xm:sqref>
        </x14:dataValidation>
        <x14:dataValidation type="list" allowBlank="1" showInputMessage="1" showErrorMessage="1" xr:uid="{6527A2F4-114C-4CAF-B481-EB4DE686C4E5}">
          <x14:formula1>
            <xm:f>項目!C17:$ODK$196609</xm:f>
          </x14:formula1>
          <xm:sqref>ODS196615:ODS196638</xm:sqref>
        </x14:dataValidation>
        <x14:dataValidation type="list" allowBlank="1" showInputMessage="1" showErrorMessage="1" xr:uid="{1AE4B252-AD66-4082-B537-1312E52060A0}">
          <x14:formula1>
            <xm:f>項目!C17:$ONG$196609</xm:f>
          </x14:formula1>
          <xm:sqref>ONO196615:ONO196638</xm:sqref>
        </x14:dataValidation>
        <x14:dataValidation type="list" allowBlank="1" showInputMessage="1" showErrorMessage="1" xr:uid="{0E851A33-4ED1-442E-A061-307226E9CCDF}">
          <x14:formula1>
            <xm:f>項目!C17:$OXC$196609</xm:f>
          </x14:formula1>
          <xm:sqref>OXK196615:OXK196638</xm:sqref>
        </x14:dataValidation>
        <x14:dataValidation type="list" allowBlank="1" showInputMessage="1" showErrorMessage="1" xr:uid="{557BA678-53B7-4F47-803A-189A84C91604}">
          <x14:formula1>
            <xm:f>項目!C17:$PGY$196609</xm:f>
          </x14:formula1>
          <xm:sqref>PHG196615:PHG196638</xm:sqref>
        </x14:dataValidation>
        <x14:dataValidation type="list" allowBlank="1" showInputMessage="1" showErrorMessage="1" xr:uid="{E6215637-A09B-47EB-B521-272FAFE00DA2}">
          <x14:formula1>
            <xm:f>項目!C17:$PQU$196609</xm:f>
          </x14:formula1>
          <xm:sqref>PRC196615:PRC196638</xm:sqref>
        </x14:dataValidation>
        <x14:dataValidation type="list" allowBlank="1" showInputMessage="1" showErrorMessage="1" xr:uid="{A57C5792-12C9-4C35-A1DA-83560191E97A}">
          <x14:formula1>
            <xm:f>項目!C17:$QAQ$196609</xm:f>
          </x14:formula1>
          <xm:sqref>QAY196615:QAY196638</xm:sqref>
        </x14:dataValidation>
        <x14:dataValidation type="list" allowBlank="1" showInputMessage="1" showErrorMessage="1" xr:uid="{FA76B7AB-3D0C-40E3-9027-C919933F95A6}">
          <x14:formula1>
            <xm:f>項目!C17:$QKM$196609</xm:f>
          </x14:formula1>
          <xm:sqref>QKU196615:QKU196638</xm:sqref>
        </x14:dataValidation>
        <x14:dataValidation type="list" allowBlank="1" showInputMessage="1" showErrorMessage="1" xr:uid="{28A269DA-1A01-4F7D-91BD-D1867A70D3B2}">
          <x14:formula1>
            <xm:f>項目!C17:$QUI$196609</xm:f>
          </x14:formula1>
          <xm:sqref>QUQ196615:QUQ196638</xm:sqref>
        </x14:dataValidation>
        <x14:dataValidation type="list" allowBlank="1" showInputMessage="1" showErrorMessage="1" xr:uid="{4D03CFD6-E15D-4234-ADC9-44D0B1E5895F}">
          <x14:formula1>
            <xm:f>項目!C17:$REE$196609</xm:f>
          </x14:formula1>
          <xm:sqref>REM196615:REM196638</xm:sqref>
        </x14:dataValidation>
        <x14:dataValidation type="list" allowBlank="1" showInputMessage="1" showErrorMessage="1" xr:uid="{8BB3C9DA-9DB9-4569-8545-713225296FAB}">
          <x14:formula1>
            <xm:f>項目!C17:$ROA$196609</xm:f>
          </x14:formula1>
          <xm:sqref>ROI196615:ROI196638</xm:sqref>
        </x14:dataValidation>
        <x14:dataValidation type="list" allowBlank="1" showInputMessage="1" showErrorMessage="1" xr:uid="{437E75AF-E727-4CB7-AF86-19B218DB9965}">
          <x14:formula1>
            <xm:f>項目!C17:$RXW$196609</xm:f>
          </x14:formula1>
          <xm:sqref>RYE196615:RYE196638</xm:sqref>
        </x14:dataValidation>
        <x14:dataValidation type="list" allowBlank="1" showInputMessage="1" showErrorMessage="1" xr:uid="{E5DF8978-4BB6-4118-94E3-4C78AE75941E}">
          <x14:formula1>
            <xm:f>項目!C17:$SHS$196609</xm:f>
          </x14:formula1>
          <xm:sqref>SIA196615:SIA196638</xm:sqref>
        </x14:dataValidation>
        <x14:dataValidation type="list" allowBlank="1" showInputMessage="1" showErrorMessage="1" xr:uid="{EEDF3C00-B2AB-447E-8626-1EC6F67CDB76}">
          <x14:formula1>
            <xm:f>項目!C17:$SRO$196609</xm:f>
          </x14:formula1>
          <xm:sqref>SRW196615:SRW196638</xm:sqref>
        </x14:dataValidation>
        <x14:dataValidation type="list" allowBlank="1" showInputMessage="1" showErrorMessage="1" xr:uid="{64F22DDF-739E-4252-9B51-ACACC77285E0}">
          <x14:formula1>
            <xm:f>項目!C17:$TBK$196609</xm:f>
          </x14:formula1>
          <xm:sqref>TBS196615:TBS196638</xm:sqref>
        </x14:dataValidation>
        <x14:dataValidation type="list" allowBlank="1" showInputMessage="1" showErrorMessage="1" xr:uid="{4DC337A6-F387-47E3-83B6-D91511A488B2}">
          <x14:formula1>
            <xm:f>項目!C17:$TLG$196609</xm:f>
          </x14:formula1>
          <xm:sqref>TLO196615:TLO196638</xm:sqref>
        </x14:dataValidation>
        <x14:dataValidation type="list" allowBlank="1" showInputMessage="1" showErrorMessage="1" xr:uid="{B90C2B2C-374F-4FAC-B70C-5CB3F9DD9CCC}">
          <x14:formula1>
            <xm:f>項目!C17:$TVC$196609</xm:f>
          </x14:formula1>
          <xm:sqref>TVK196615:TVK196638</xm:sqref>
        </x14:dataValidation>
        <x14:dataValidation type="list" allowBlank="1" showInputMessage="1" showErrorMessage="1" xr:uid="{D62ABDFC-7850-46C8-AAA9-01AE7F823AF3}">
          <x14:formula1>
            <xm:f>項目!C17:$UEY$196609</xm:f>
          </x14:formula1>
          <xm:sqref>UFG196615:UFG196638</xm:sqref>
        </x14:dataValidation>
        <x14:dataValidation type="list" allowBlank="1" showInputMessage="1" showErrorMessage="1" xr:uid="{BE7C115F-28F0-4F90-9A97-E3BDF3378ED4}">
          <x14:formula1>
            <xm:f>項目!C17:$UOU$196609</xm:f>
          </x14:formula1>
          <xm:sqref>UPC196615:UPC196638</xm:sqref>
        </x14:dataValidation>
        <x14:dataValidation type="list" allowBlank="1" showInputMessage="1" showErrorMessage="1" xr:uid="{588F63BD-25DB-4B27-BEE0-6C1299AC8688}">
          <x14:formula1>
            <xm:f>項目!C17:$UYQ$196609</xm:f>
          </x14:formula1>
          <xm:sqref>UYY196615:UYY196638</xm:sqref>
        </x14:dataValidation>
        <x14:dataValidation type="list" allowBlank="1" showInputMessage="1" showErrorMessage="1" xr:uid="{34FCBC82-EF7E-4FF8-B451-2A9FA169AF6D}">
          <x14:formula1>
            <xm:f>項目!C17:$VIM$196609</xm:f>
          </x14:formula1>
          <xm:sqref>VIU196615:VIU196638</xm:sqref>
        </x14:dataValidation>
        <x14:dataValidation type="list" allowBlank="1" showInputMessage="1" showErrorMessage="1" xr:uid="{895047FA-88A6-4D3F-8CC2-EE2234498AB6}">
          <x14:formula1>
            <xm:f>項目!C17:$VSI$196609</xm:f>
          </x14:formula1>
          <xm:sqref>VSQ196615:VSQ196638</xm:sqref>
        </x14:dataValidation>
        <x14:dataValidation type="list" allowBlank="1" showInputMessage="1" showErrorMessage="1" xr:uid="{04C11632-1B09-4BE3-B27D-1C1C824E6404}">
          <x14:formula1>
            <xm:f>項目!C17:$WCE$196609</xm:f>
          </x14:formula1>
          <xm:sqref>WCM196615:WCM196638</xm:sqref>
        </x14:dataValidation>
        <x14:dataValidation type="list" allowBlank="1" showInputMessage="1" showErrorMessage="1" xr:uid="{66C07617-453F-4E20-B0C9-D5D138ABA330}">
          <x14:formula1>
            <xm:f>項目!C17:$WMA$196609</xm:f>
          </x14:formula1>
          <xm:sqref>WMI196615:WMI196638</xm:sqref>
        </x14:dataValidation>
        <x14:dataValidation type="list" allowBlank="1" showInputMessage="1" showErrorMessage="1" xr:uid="{E0722BA1-ECD7-469A-89C3-899ACF92CF48}">
          <x14:formula1>
            <xm:f>項目!C17:$WVW$196609</xm:f>
          </x14:formula1>
          <xm:sqref>WWE196615:WWE196638</xm:sqref>
        </x14:dataValidation>
        <x14:dataValidation type="list" allowBlank="1" showInputMessage="1" showErrorMessage="1" xr:uid="{24D1D7DF-7010-48E2-B41E-CC882D0A6DF4}">
          <x14:formula1>
            <xm:f>項目!C17:$P$262145</xm:f>
          </x14:formula1>
          <xm:sqref>W262151:W262174</xm:sqref>
        </x14:dataValidation>
        <x14:dataValidation type="list" allowBlank="1" showInputMessage="1" showErrorMessage="1" xr:uid="{C2D9E179-5E18-4C6F-8578-97DE8149637C}">
          <x14:formula1>
            <xm:f>項目!C17:$JK$262145</xm:f>
          </x14:formula1>
          <xm:sqref>JS262151:JS262174</xm:sqref>
        </x14:dataValidation>
        <x14:dataValidation type="list" allowBlank="1" showInputMessage="1" showErrorMessage="1" xr:uid="{7F00547D-920C-4CB9-95E8-08799BFBD194}">
          <x14:formula1>
            <xm:f>項目!C17:$TG$262145</xm:f>
          </x14:formula1>
          <xm:sqref>TO262151:TO262174</xm:sqref>
        </x14:dataValidation>
        <x14:dataValidation type="list" allowBlank="1" showInputMessage="1" showErrorMessage="1" xr:uid="{2DE883F8-97D4-4334-9C7D-7C787D90514D}">
          <x14:formula1>
            <xm:f>項目!C17:$ADC$262145</xm:f>
          </x14:formula1>
          <xm:sqref>ADK262151:ADK262174</xm:sqref>
        </x14:dataValidation>
        <x14:dataValidation type="list" allowBlank="1" showInputMessage="1" showErrorMessage="1" xr:uid="{76908D41-794F-47DC-96B5-4ECE2C85B858}">
          <x14:formula1>
            <xm:f>項目!C17:$AMY$262145</xm:f>
          </x14:formula1>
          <xm:sqref>ANG262151:ANG262174</xm:sqref>
        </x14:dataValidation>
        <x14:dataValidation type="list" allowBlank="1" showInputMessage="1" showErrorMessage="1" xr:uid="{A93FCE1F-73D2-40C6-9288-3BF704445101}">
          <x14:formula1>
            <xm:f>項目!C17:$AWU$262145</xm:f>
          </x14:formula1>
          <xm:sqref>AXC262151:AXC262174</xm:sqref>
        </x14:dataValidation>
        <x14:dataValidation type="list" allowBlank="1" showInputMessage="1" showErrorMessage="1" xr:uid="{BB387D02-554D-4B00-959F-16024A45AE5E}">
          <x14:formula1>
            <xm:f>項目!C17:$BGQ$262145</xm:f>
          </x14:formula1>
          <xm:sqref>BGY262151:BGY262174</xm:sqref>
        </x14:dataValidation>
        <x14:dataValidation type="list" allowBlank="1" showInputMessage="1" showErrorMessage="1" xr:uid="{B2A53EC1-ED55-4EDF-981C-4B248BEA35C2}">
          <x14:formula1>
            <xm:f>項目!C17:$BQM$262145</xm:f>
          </x14:formula1>
          <xm:sqref>BQU262151:BQU262174</xm:sqref>
        </x14:dataValidation>
        <x14:dataValidation type="list" allowBlank="1" showInputMessage="1" showErrorMessage="1" xr:uid="{3BAE884A-35ED-4AAA-976E-54D5F93A37B8}">
          <x14:formula1>
            <xm:f>項目!C17:$CAI$262145</xm:f>
          </x14:formula1>
          <xm:sqref>CAQ262151:CAQ262174</xm:sqref>
        </x14:dataValidation>
        <x14:dataValidation type="list" allowBlank="1" showInputMessage="1" showErrorMessage="1" xr:uid="{2AB47352-5707-4FCE-A2D2-53F13E4C9012}">
          <x14:formula1>
            <xm:f>項目!C17:$CKE$262145</xm:f>
          </x14:formula1>
          <xm:sqref>CKM262151:CKM262174</xm:sqref>
        </x14:dataValidation>
        <x14:dataValidation type="list" allowBlank="1" showInputMessage="1" showErrorMessage="1" xr:uid="{CA8C25C0-0482-46AA-B0B6-CA7E90028B99}">
          <x14:formula1>
            <xm:f>項目!C17:$CUA$262145</xm:f>
          </x14:formula1>
          <xm:sqref>CUI262151:CUI262174</xm:sqref>
        </x14:dataValidation>
        <x14:dataValidation type="list" allowBlank="1" showInputMessage="1" showErrorMessage="1" xr:uid="{F938A7EC-9802-4393-9830-EC5984BD5ACC}">
          <x14:formula1>
            <xm:f>項目!C17:$DDW$262145</xm:f>
          </x14:formula1>
          <xm:sqref>DEE262151:DEE262174</xm:sqref>
        </x14:dataValidation>
        <x14:dataValidation type="list" allowBlank="1" showInputMessage="1" showErrorMessage="1" xr:uid="{41B26561-ED76-43B7-B141-C4A8BDACCC3E}">
          <x14:formula1>
            <xm:f>項目!C17:$DNS$262145</xm:f>
          </x14:formula1>
          <xm:sqref>DOA262151:DOA262174</xm:sqref>
        </x14:dataValidation>
        <x14:dataValidation type="list" allowBlank="1" showInputMessage="1" showErrorMessage="1" xr:uid="{AFADEAFA-F666-435C-8C5E-7D195CF04007}">
          <x14:formula1>
            <xm:f>項目!C17:$DXO$262145</xm:f>
          </x14:formula1>
          <xm:sqref>DXW262151:DXW262174</xm:sqref>
        </x14:dataValidation>
        <x14:dataValidation type="list" allowBlank="1" showInputMessage="1" showErrorMessage="1" xr:uid="{80BA35C7-004C-4858-9075-559297CA0E30}">
          <x14:formula1>
            <xm:f>項目!C17:$EHK$262145</xm:f>
          </x14:formula1>
          <xm:sqref>EHS262151:EHS262174</xm:sqref>
        </x14:dataValidation>
        <x14:dataValidation type="list" allowBlank="1" showInputMessage="1" showErrorMessage="1" xr:uid="{B4B87CA1-24EC-4628-98D7-0992FE747ACD}">
          <x14:formula1>
            <xm:f>項目!C17:$ERG$262145</xm:f>
          </x14:formula1>
          <xm:sqref>ERO262151:ERO262174</xm:sqref>
        </x14:dataValidation>
        <x14:dataValidation type="list" allowBlank="1" showInputMessage="1" showErrorMessage="1" xr:uid="{C5EA479D-BB9F-4AC3-A840-53B65DDEE8E5}">
          <x14:formula1>
            <xm:f>項目!C17:$FBC$262145</xm:f>
          </x14:formula1>
          <xm:sqref>FBK262151:FBK262174</xm:sqref>
        </x14:dataValidation>
        <x14:dataValidation type="list" allowBlank="1" showInputMessage="1" showErrorMessage="1" xr:uid="{3755CC86-E07D-4F2E-91BF-53E9B5ACA258}">
          <x14:formula1>
            <xm:f>項目!C17:$FKY$262145</xm:f>
          </x14:formula1>
          <xm:sqref>FLG262151:FLG262174</xm:sqref>
        </x14:dataValidation>
        <x14:dataValidation type="list" allowBlank="1" showInputMessage="1" showErrorMessage="1" xr:uid="{85BDDD34-2782-49FA-98D4-446E390BD4CF}">
          <x14:formula1>
            <xm:f>項目!C17:$FUU$262145</xm:f>
          </x14:formula1>
          <xm:sqref>FVC262151:FVC262174</xm:sqref>
        </x14:dataValidation>
        <x14:dataValidation type="list" allowBlank="1" showInputMessage="1" showErrorMessage="1" xr:uid="{A005A287-D1B4-46A2-826D-9CC54CACF4C6}">
          <x14:formula1>
            <xm:f>項目!C17:$GEQ$262145</xm:f>
          </x14:formula1>
          <xm:sqref>GEY262151:GEY262174</xm:sqref>
        </x14:dataValidation>
        <x14:dataValidation type="list" allowBlank="1" showInputMessage="1" showErrorMessage="1" xr:uid="{032E2A8A-589F-42F3-9D41-D320EC936994}">
          <x14:formula1>
            <xm:f>項目!C17:$GOM$262145</xm:f>
          </x14:formula1>
          <xm:sqref>GOU262151:GOU262174</xm:sqref>
        </x14:dataValidation>
        <x14:dataValidation type="list" allowBlank="1" showInputMessage="1" showErrorMessage="1" xr:uid="{DC1D60F5-6FB3-4F4B-BE7A-182FC387DCB2}">
          <x14:formula1>
            <xm:f>項目!C17:$GYI$262145</xm:f>
          </x14:formula1>
          <xm:sqref>GYQ262151:GYQ262174</xm:sqref>
        </x14:dataValidation>
        <x14:dataValidation type="list" allowBlank="1" showInputMessage="1" showErrorMessage="1" xr:uid="{C55415EE-0FB3-4221-B7B8-6D58F0C43043}">
          <x14:formula1>
            <xm:f>項目!C17:$HIE$262145</xm:f>
          </x14:formula1>
          <xm:sqref>HIM262151:HIM262174</xm:sqref>
        </x14:dataValidation>
        <x14:dataValidation type="list" allowBlank="1" showInputMessage="1" showErrorMessage="1" xr:uid="{B00CB3D6-C0EC-4B89-B954-BD84E34F09B0}">
          <x14:formula1>
            <xm:f>項目!C17:$HSA$262145</xm:f>
          </x14:formula1>
          <xm:sqref>HSI262151:HSI262174</xm:sqref>
        </x14:dataValidation>
        <x14:dataValidation type="list" allowBlank="1" showInputMessage="1" showErrorMessage="1" xr:uid="{69AABA25-7A4A-4E71-849A-58424EFAE4E3}">
          <x14:formula1>
            <xm:f>項目!C17:$IBW$262145</xm:f>
          </x14:formula1>
          <xm:sqref>ICE262151:ICE262174</xm:sqref>
        </x14:dataValidation>
        <x14:dataValidation type="list" allowBlank="1" showInputMessage="1" showErrorMessage="1" xr:uid="{77181188-46ED-491F-B11B-693DDD868582}">
          <x14:formula1>
            <xm:f>項目!C17:$ILS$262145</xm:f>
          </x14:formula1>
          <xm:sqref>IMA262151:IMA262174</xm:sqref>
        </x14:dataValidation>
        <x14:dataValidation type="list" allowBlank="1" showInputMessage="1" showErrorMessage="1" xr:uid="{375931AF-670D-41A4-A9BB-4BE112A3D7C0}">
          <x14:formula1>
            <xm:f>項目!C17:$IVO$262145</xm:f>
          </x14:formula1>
          <xm:sqref>IVW262151:IVW262174</xm:sqref>
        </x14:dataValidation>
        <x14:dataValidation type="list" allowBlank="1" showInputMessage="1" showErrorMessage="1" xr:uid="{F973AAD0-FECA-413E-8B5D-E20422067A92}">
          <x14:formula1>
            <xm:f>項目!C17:$JFK$262145</xm:f>
          </x14:formula1>
          <xm:sqref>JFS262151:JFS262174</xm:sqref>
        </x14:dataValidation>
        <x14:dataValidation type="list" allowBlank="1" showInputMessage="1" showErrorMessage="1" xr:uid="{EEE71776-C294-46F9-A5EB-ADF0BC73D74A}">
          <x14:formula1>
            <xm:f>項目!C17:$JPG$262145</xm:f>
          </x14:formula1>
          <xm:sqref>JPO262151:JPO262174</xm:sqref>
        </x14:dataValidation>
        <x14:dataValidation type="list" allowBlank="1" showInputMessage="1" showErrorMessage="1" xr:uid="{C50AF36D-749B-4010-AC3C-D0879E341A21}">
          <x14:formula1>
            <xm:f>項目!C17:$JZC$262145</xm:f>
          </x14:formula1>
          <xm:sqref>JZK262151:JZK262174</xm:sqref>
        </x14:dataValidation>
        <x14:dataValidation type="list" allowBlank="1" showInputMessage="1" showErrorMessage="1" xr:uid="{E07E5C27-7B52-4C1F-8E12-17FB9E4BB7C5}">
          <x14:formula1>
            <xm:f>項目!C17:$KIY$262145</xm:f>
          </x14:formula1>
          <xm:sqref>KJG262151:KJG262174</xm:sqref>
        </x14:dataValidation>
        <x14:dataValidation type="list" allowBlank="1" showInputMessage="1" showErrorMessage="1" xr:uid="{5129E7DA-AD5B-44FF-B5BB-D80786652D62}">
          <x14:formula1>
            <xm:f>項目!C17:$KSU$262145</xm:f>
          </x14:formula1>
          <xm:sqref>KTC262151:KTC262174</xm:sqref>
        </x14:dataValidation>
        <x14:dataValidation type="list" allowBlank="1" showInputMessage="1" showErrorMessage="1" xr:uid="{427A8DF5-70E7-4244-8BAB-D48B695DAA3D}">
          <x14:formula1>
            <xm:f>項目!C17:$LCQ$262145</xm:f>
          </x14:formula1>
          <xm:sqref>LCY262151:LCY262174</xm:sqref>
        </x14:dataValidation>
        <x14:dataValidation type="list" allowBlank="1" showInputMessage="1" showErrorMessage="1" xr:uid="{729C6FB5-2139-46DE-BE9E-CE32985799EE}">
          <x14:formula1>
            <xm:f>項目!C17:$LMM$262145</xm:f>
          </x14:formula1>
          <xm:sqref>LMU262151:LMU262174</xm:sqref>
        </x14:dataValidation>
        <x14:dataValidation type="list" allowBlank="1" showInputMessage="1" showErrorMessage="1" xr:uid="{A9291C36-0AA3-4BF6-AEC5-318AF189D66F}">
          <x14:formula1>
            <xm:f>項目!C17:$LWI$262145</xm:f>
          </x14:formula1>
          <xm:sqref>LWQ262151:LWQ262174</xm:sqref>
        </x14:dataValidation>
        <x14:dataValidation type="list" allowBlank="1" showInputMessage="1" showErrorMessage="1" xr:uid="{13BB88C3-0C7C-4BEB-AB84-88E6743BA781}">
          <x14:formula1>
            <xm:f>項目!C17:$MGE$262145</xm:f>
          </x14:formula1>
          <xm:sqref>MGM262151:MGM262174</xm:sqref>
        </x14:dataValidation>
        <x14:dataValidation type="list" allowBlank="1" showInputMessage="1" showErrorMessage="1" xr:uid="{ED1EE546-5380-44FF-B3D7-14E3E2574EB6}">
          <x14:formula1>
            <xm:f>項目!C17:$MQA$262145</xm:f>
          </x14:formula1>
          <xm:sqref>MQI262151:MQI262174</xm:sqref>
        </x14:dataValidation>
        <x14:dataValidation type="list" allowBlank="1" showInputMessage="1" showErrorMessage="1" xr:uid="{E46ED63F-B483-4400-89E2-9C8D0AA9C5BD}">
          <x14:formula1>
            <xm:f>項目!C17:$MZW$262145</xm:f>
          </x14:formula1>
          <xm:sqref>NAE262151:NAE262174</xm:sqref>
        </x14:dataValidation>
        <x14:dataValidation type="list" allowBlank="1" showInputMessage="1" showErrorMessage="1" xr:uid="{35E74ABF-CBFC-4398-AB7B-2B8120A166EF}">
          <x14:formula1>
            <xm:f>項目!C17:$NJS$262145</xm:f>
          </x14:formula1>
          <xm:sqref>NKA262151:NKA262174</xm:sqref>
        </x14:dataValidation>
        <x14:dataValidation type="list" allowBlank="1" showInputMessage="1" showErrorMessage="1" xr:uid="{134966CE-E23B-4BB7-8CD6-D577A720B12A}">
          <x14:formula1>
            <xm:f>項目!C17:$NTO$262145</xm:f>
          </x14:formula1>
          <xm:sqref>NTW262151:NTW262174</xm:sqref>
        </x14:dataValidation>
        <x14:dataValidation type="list" allowBlank="1" showInputMessage="1" showErrorMessage="1" xr:uid="{7839F3CF-015A-4094-8CF1-2C269C2E6EB5}">
          <x14:formula1>
            <xm:f>項目!C17:$ODK$262145</xm:f>
          </x14:formula1>
          <xm:sqref>ODS262151:ODS262174</xm:sqref>
        </x14:dataValidation>
        <x14:dataValidation type="list" allowBlank="1" showInputMessage="1" showErrorMessage="1" xr:uid="{86DD71C1-8294-4971-A883-E503495800AC}">
          <x14:formula1>
            <xm:f>項目!C17:$ONG$262145</xm:f>
          </x14:formula1>
          <xm:sqref>ONO262151:ONO262174</xm:sqref>
        </x14:dataValidation>
        <x14:dataValidation type="list" allowBlank="1" showInputMessage="1" showErrorMessage="1" xr:uid="{385661AF-D180-42D9-8417-17B2A670B720}">
          <x14:formula1>
            <xm:f>項目!C17:$OXC$262145</xm:f>
          </x14:formula1>
          <xm:sqref>OXK262151:OXK262174</xm:sqref>
        </x14:dataValidation>
        <x14:dataValidation type="list" allowBlank="1" showInputMessage="1" showErrorMessage="1" xr:uid="{8CE04BE7-2B77-434D-8C93-2F10A50139FD}">
          <x14:formula1>
            <xm:f>項目!C17:$PGY$262145</xm:f>
          </x14:formula1>
          <xm:sqref>PHG262151:PHG262174</xm:sqref>
        </x14:dataValidation>
        <x14:dataValidation type="list" allowBlank="1" showInputMessage="1" showErrorMessage="1" xr:uid="{E4CEC862-0BF0-4C4E-A4BA-CBCB67B1BCCC}">
          <x14:formula1>
            <xm:f>項目!C17:$PQU$262145</xm:f>
          </x14:formula1>
          <xm:sqref>PRC262151:PRC262174</xm:sqref>
        </x14:dataValidation>
        <x14:dataValidation type="list" allowBlank="1" showInputMessage="1" showErrorMessage="1" xr:uid="{A98A66D9-8157-47EC-A0E0-126C068CB54F}">
          <x14:formula1>
            <xm:f>項目!C17:$QAQ$262145</xm:f>
          </x14:formula1>
          <xm:sqref>QAY262151:QAY262174</xm:sqref>
        </x14:dataValidation>
        <x14:dataValidation type="list" allowBlank="1" showInputMessage="1" showErrorMessage="1" xr:uid="{09C3200E-FBF7-4175-8A15-F839ADB5796F}">
          <x14:formula1>
            <xm:f>項目!C17:$QKM$262145</xm:f>
          </x14:formula1>
          <xm:sqref>QKU262151:QKU262174</xm:sqref>
        </x14:dataValidation>
        <x14:dataValidation type="list" allowBlank="1" showInputMessage="1" showErrorMessage="1" xr:uid="{5DB18BF8-AE57-40E6-B64C-B409E04DE3DF}">
          <x14:formula1>
            <xm:f>項目!C17:$QUI$262145</xm:f>
          </x14:formula1>
          <xm:sqref>QUQ262151:QUQ262174</xm:sqref>
        </x14:dataValidation>
        <x14:dataValidation type="list" allowBlank="1" showInputMessage="1" showErrorMessage="1" xr:uid="{4BBD2FFF-B273-46B5-856C-17117ADB7EC3}">
          <x14:formula1>
            <xm:f>項目!C17:$REE$262145</xm:f>
          </x14:formula1>
          <xm:sqref>REM262151:REM262174</xm:sqref>
        </x14:dataValidation>
        <x14:dataValidation type="list" allowBlank="1" showInputMessage="1" showErrorMessage="1" xr:uid="{199D3D6F-55DD-4F73-8672-87A103789EBF}">
          <x14:formula1>
            <xm:f>項目!C17:$ROA$262145</xm:f>
          </x14:formula1>
          <xm:sqref>ROI262151:ROI262174</xm:sqref>
        </x14:dataValidation>
        <x14:dataValidation type="list" allowBlank="1" showInputMessage="1" showErrorMessage="1" xr:uid="{9F1F9CBF-A1BE-467D-82BE-C31E908784AC}">
          <x14:formula1>
            <xm:f>項目!C17:$RXW$262145</xm:f>
          </x14:formula1>
          <xm:sqref>RYE262151:RYE262174</xm:sqref>
        </x14:dataValidation>
        <x14:dataValidation type="list" allowBlank="1" showInputMessage="1" showErrorMessage="1" xr:uid="{CDC112CA-CDE9-4904-B853-166E73BB5504}">
          <x14:formula1>
            <xm:f>項目!C17:$SHS$262145</xm:f>
          </x14:formula1>
          <xm:sqref>SIA262151:SIA262174</xm:sqref>
        </x14:dataValidation>
        <x14:dataValidation type="list" allowBlank="1" showInputMessage="1" showErrorMessage="1" xr:uid="{38170BDA-34B3-4714-A983-55B10DAB1E7B}">
          <x14:formula1>
            <xm:f>項目!C17:$SRO$262145</xm:f>
          </x14:formula1>
          <xm:sqref>SRW262151:SRW262174</xm:sqref>
        </x14:dataValidation>
        <x14:dataValidation type="list" allowBlank="1" showInputMessage="1" showErrorMessage="1" xr:uid="{B86272F5-545C-45EB-923A-847D12672B9C}">
          <x14:formula1>
            <xm:f>項目!C17:$TBK$262145</xm:f>
          </x14:formula1>
          <xm:sqref>TBS262151:TBS262174</xm:sqref>
        </x14:dataValidation>
        <x14:dataValidation type="list" allowBlank="1" showInputMessage="1" showErrorMessage="1" xr:uid="{43287D56-AD2B-4591-8078-B344303D5B16}">
          <x14:formula1>
            <xm:f>項目!C17:$TLG$262145</xm:f>
          </x14:formula1>
          <xm:sqref>TLO262151:TLO262174</xm:sqref>
        </x14:dataValidation>
        <x14:dataValidation type="list" allowBlank="1" showInputMessage="1" showErrorMessage="1" xr:uid="{70078ED7-9E19-4C85-ADFA-A6E2742EE7CE}">
          <x14:formula1>
            <xm:f>項目!C17:$TVC$262145</xm:f>
          </x14:formula1>
          <xm:sqref>TVK262151:TVK262174</xm:sqref>
        </x14:dataValidation>
        <x14:dataValidation type="list" allowBlank="1" showInputMessage="1" showErrorMessage="1" xr:uid="{E4C4206A-24A6-42DC-A146-82435C2D675D}">
          <x14:formula1>
            <xm:f>項目!C17:$UEY$262145</xm:f>
          </x14:formula1>
          <xm:sqref>UFG262151:UFG262174</xm:sqref>
        </x14:dataValidation>
        <x14:dataValidation type="list" allowBlank="1" showInputMessage="1" showErrorMessage="1" xr:uid="{EF81F4DE-4020-412A-81B0-414C8A3F13DF}">
          <x14:formula1>
            <xm:f>項目!C17:$UOU$262145</xm:f>
          </x14:formula1>
          <xm:sqref>UPC262151:UPC262174</xm:sqref>
        </x14:dataValidation>
        <x14:dataValidation type="list" allowBlank="1" showInputMessage="1" showErrorMessage="1" xr:uid="{ABA02A16-2E74-4303-A287-7CAD11AACF25}">
          <x14:formula1>
            <xm:f>項目!C17:$UYQ$262145</xm:f>
          </x14:formula1>
          <xm:sqref>UYY262151:UYY262174</xm:sqref>
        </x14:dataValidation>
        <x14:dataValidation type="list" allowBlank="1" showInputMessage="1" showErrorMessage="1" xr:uid="{52687C92-8D55-4F7F-A4B7-93966EF40475}">
          <x14:formula1>
            <xm:f>項目!C17:$VIM$262145</xm:f>
          </x14:formula1>
          <xm:sqref>VIU262151:VIU262174</xm:sqref>
        </x14:dataValidation>
        <x14:dataValidation type="list" allowBlank="1" showInputMessage="1" showErrorMessage="1" xr:uid="{83C39932-BF91-4909-8951-2A1D54873842}">
          <x14:formula1>
            <xm:f>項目!C17:$VSI$262145</xm:f>
          </x14:formula1>
          <xm:sqref>VSQ262151:VSQ262174</xm:sqref>
        </x14:dataValidation>
        <x14:dataValidation type="list" allowBlank="1" showInputMessage="1" showErrorMessage="1" xr:uid="{4C8BF38C-0E2D-406D-9D5C-16A22D02DB93}">
          <x14:formula1>
            <xm:f>項目!C17:$WCE$262145</xm:f>
          </x14:formula1>
          <xm:sqref>WCM262151:WCM262174</xm:sqref>
        </x14:dataValidation>
        <x14:dataValidation type="list" allowBlank="1" showInputMessage="1" showErrorMessage="1" xr:uid="{FB387260-B2FC-4DC2-A513-7D9F7EB50EEF}">
          <x14:formula1>
            <xm:f>項目!C17:$WMA$262145</xm:f>
          </x14:formula1>
          <xm:sqref>WMI262151:WMI262174</xm:sqref>
        </x14:dataValidation>
        <x14:dataValidation type="list" allowBlank="1" showInputMessage="1" showErrorMessage="1" xr:uid="{E02C39B0-8CD3-4DC0-9C9B-134F8F298632}">
          <x14:formula1>
            <xm:f>項目!C17:$WVW$262145</xm:f>
          </x14:formula1>
          <xm:sqref>WWE262151:WWE262174</xm:sqref>
        </x14:dataValidation>
        <x14:dataValidation type="list" allowBlank="1" showInputMessage="1" showErrorMessage="1" xr:uid="{7C35E522-C37C-4520-B79D-EBA1BAD6E3B8}">
          <x14:formula1>
            <xm:f>項目!C17:$P$327681</xm:f>
          </x14:formula1>
          <xm:sqref>W327687:W327710</xm:sqref>
        </x14:dataValidation>
        <x14:dataValidation type="list" allowBlank="1" showInputMessage="1" showErrorMessage="1" xr:uid="{7C1DD294-5124-4AC7-8A67-844A6DC8F444}">
          <x14:formula1>
            <xm:f>項目!C17:$JK$327681</xm:f>
          </x14:formula1>
          <xm:sqref>JS327687:JS327710</xm:sqref>
        </x14:dataValidation>
        <x14:dataValidation type="list" allowBlank="1" showInputMessage="1" showErrorMessage="1" xr:uid="{73225207-8605-4180-A97F-4C8CC6B7ABBB}">
          <x14:formula1>
            <xm:f>項目!C17:$TG$327681</xm:f>
          </x14:formula1>
          <xm:sqref>TO327687:TO327710</xm:sqref>
        </x14:dataValidation>
        <x14:dataValidation type="list" allowBlank="1" showInputMessage="1" showErrorMessage="1" xr:uid="{BFB19DE2-5351-41C6-9C3E-C5A70465406E}">
          <x14:formula1>
            <xm:f>項目!C17:$ADC$327681</xm:f>
          </x14:formula1>
          <xm:sqref>ADK327687:ADK327710</xm:sqref>
        </x14:dataValidation>
        <x14:dataValidation type="list" allowBlank="1" showInputMessage="1" showErrorMessage="1" xr:uid="{9A7CE261-6D94-4A46-9547-9D3070444358}">
          <x14:formula1>
            <xm:f>項目!C17:$AMY$327681</xm:f>
          </x14:formula1>
          <xm:sqref>ANG327687:ANG327710</xm:sqref>
        </x14:dataValidation>
        <x14:dataValidation type="list" allowBlank="1" showInputMessage="1" showErrorMessage="1" xr:uid="{6C953C5E-6C90-446F-8272-24D6C13F9A0A}">
          <x14:formula1>
            <xm:f>項目!C17:$AWU$327681</xm:f>
          </x14:formula1>
          <xm:sqref>AXC327687:AXC327710</xm:sqref>
        </x14:dataValidation>
        <x14:dataValidation type="list" allowBlank="1" showInputMessage="1" showErrorMessage="1" xr:uid="{F0E29778-A088-4ED1-9E81-9D4863562214}">
          <x14:formula1>
            <xm:f>項目!C17:$BGQ$327681</xm:f>
          </x14:formula1>
          <xm:sqref>BGY327687:BGY327710</xm:sqref>
        </x14:dataValidation>
        <x14:dataValidation type="list" allowBlank="1" showInputMessage="1" showErrorMessage="1" xr:uid="{CA55FFB3-699F-4E01-949A-025E37E964B6}">
          <x14:formula1>
            <xm:f>項目!C17:$BQM$327681</xm:f>
          </x14:formula1>
          <xm:sqref>BQU327687:BQU327710</xm:sqref>
        </x14:dataValidation>
        <x14:dataValidation type="list" allowBlank="1" showInputMessage="1" showErrorMessage="1" xr:uid="{AE7D2F48-A3B6-4596-A57C-C65AF647B421}">
          <x14:formula1>
            <xm:f>項目!C17:$CAI$327681</xm:f>
          </x14:formula1>
          <xm:sqref>CAQ327687:CAQ327710</xm:sqref>
        </x14:dataValidation>
        <x14:dataValidation type="list" allowBlank="1" showInputMessage="1" showErrorMessage="1" xr:uid="{1825CBF3-33AF-433B-BABC-5D6D93C9A836}">
          <x14:formula1>
            <xm:f>項目!C17:$CKE$327681</xm:f>
          </x14:formula1>
          <xm:sqref>CKM327687:CKM327710</xm:sqref>
        </x14:dataValidation>
        <x14:dataValidation type="list" allowBlank="1" showInputMessage="1" showErrorMessage="1" xr:uid="{6E08F9ED-E53E-4117-B675-D95E3B7B93E7}">
          <x14:formula1>
            <xm:f>項目!C17:$CUA$327681</xm:f>
          </x14:formula1>
          <xm:sqref>CUI327687:CUI327710</xm:sqref>
        </x14:dataValidation>
        <x14:dataValidation type="list" allowBlank="1" showInputMessage="1" showErrorMessage="1" xr:uid="{8E2FDF83-0B33-4271-832F-06E502F71588}">
          <x14:formula1>
            <xm:f>項目!C17:$DDW$327681</xm:f>
          </x14:formula1>
          <xm:sqref>DEE327687:DEE327710</xm:sqref>
        </x14:dataValidation>
        <x14:dataValidation type="list" allowBlank="1" showInputMessage="1" showErrorMessage="1" xr:uid="{104033E6-1F41-4D80-BAE0-F6709C56FA50}">
          <x14:formula1>
            <xm:f>項目!C17:$DNS$327681</xm:f>
          </x14:formula1>
          <xm:sqref>DOA327687:DOA327710</xm:sqref>
        </x14:dataValidation>
        <x14:dataValidation type="list" allowBlank="1" showInputMessage="1" showErrorMessage="1" xr:uid="{48509638-FD86-4449-A361-C73C0CAA8A03}">
          <x14:formula1>
            <xm:f>項目!C17:$DXO$327681</xm:f>
          </x14:formula1>
          <xm:sqref>DXW327687:DXW327710</xm:sqref>
        </x14:dataValidation>
        <x14:dataValidation type="list" allowBlank="1" showInputMessage="1" showErrorMessage="1" xr:uid="{53B5FFA1-C778-4AD2-9EE4-2432F90C02E2}">
          <x14:formula1>
            <xm:f>項目!C17:$EHK$327681</xm:f>
          </x14:formula1>
          <xm:sqref>EHS327687:EHS327710</xm:sqref>
        </x14:dataValidation>
        <x14:dataValidation type="list" allowBlank="1" showInputMessage="1" showErrorMessage="1" xr:uid="{E586F503-0AA5-4511-A10C-5FF758F7BECB}">
          <x14:formula1>
            <xm:f>項目!C17:$ERG$327681</xm:f>
          </x14:formula1>
          <xm:sqref>ERO327687:ERO327710</xm:sqref>
        </x14:dataValidation>
        <x14:dataValidation type="list" allowBlank="1" showInputMessage="1" showErrorMessage="1" xr:uid="{8E1B4A04-3211-41C9-99C0-26889B02BC8A}">
          <x14:formula1>
            <xm:f>項目!C17:$FBC$327681</xm:f>
          </x14:formula1>
          <xm:sqref>FBK327687:FBK327710</xm:sqref>
        </x14:dataValidation>
        <x14:dataValidation type="list" allowBlank="1" showInputMessage="1" showErrorMessage="1" xr:uid="{76EDEB2A-6BC1-4EFB-9CC6-7D7851B79D4B}">
          <x14:formula1>
            <xm:f>項目!C17:$FKY$327681</xm:f>
          </x14:formula1>
          <xm:sqref>FLG327687:FLG327710</xm:sqref>
        </x14:dataValidation>
        <x14:dataValidation type="list" allowBlank="1" showInputMessage="1" showErrorMessage="1" xr:uid="{922A6EA1-0787-45D1-BFFA-A02E1D4567DD}">
          <x14:formula1>
            <xm:f>項目!C17:$FUU$327681</xm:f>
          </x14:formula1>
          <xm:sqref>FVC327687:FVC327710</xm:sqref>
        </x14:dataValidation>
        <x14:dataValidation type="list" allowBlank="1" showInputMessage="1" showErrorMessage="1" xr:uid="{70F99AE0-615A-46BC-AEBE-8C6F227D8C75}">
          <x14:formula1>
            <xm:f>項目!C17:$GEQ$327681</xm:f>
          </x14:formula1>
          <xm:sqref>GEY327687:GEY327710</xm:sqref>
        </x14:dataValidation>
        <x14:dataValidation type="list" allowBlank="1" showInputMessage="1" showErrorMessage="1" xr:uid="{7F1C1933-28C3-497E-8470-002436E4F500}">
          <x14:formula1>
            <xm:f>項目!C17:$GOM$327681</xm:f>
          </x14:formula1>
          <xm:sqref>GOU327687:GOU327710</xm:sqref>
        </x14:dataValidation>
        <x14:dataValidation type="list" allowBlank="1" showInputMessage="1" showErrorMessage="1" xr:uid="{478F4861-1836-4B03-8022-18B60A006174}">
          <x14:formula1>
            <xm:f>項目!C17:$GYI$327681</xm:f>
          </x14:formula1>
          <xm:sqref>GYQ327687:GYQ327710</xm:sqref>
        </x14:dataValidation>
        <x14:dataValidation type="list" allowBlank="1" showInputMessage="1" showErrorMessage="1" xr:uid="{9124A0A5-9338-4C72-AE16-842E6DC12E3A}">
          <x14:formula1>
            <xm:f>項目!C17:$HIE$327681</xm:f>
          </x14:formula1>
          <xm:sqref>HIM327687:HIM327710</xm:sqref>
        </x14:dataValidation>
        <x14:dataValidation type="list" allowBlank="1" showInputMessage="1" showErrorMessage="1" xr:uid="{56C57187-0DC9-4954-95CD-ACB53C434AEC}">
          <x14:formula1>
            <xm:f>項目!C17:$HSA$327681</xm:f>
          </x14:formula1>
          <xm:sqref>HSI327687:HSI327710</xm:sqref>
        </x14:dataValidation>
        <x14:dataValidation type="list" allowBlank="1" showInputMessage="1" showErrorMessage="1" xr:uid="{434105C2-424D-447B-B5EB-A7332F1036F1}">
          <x14:formula1>
            <xm:f>項目!C17:$IBW$327681</xm:f>
          </x14:formula1>
          <xm:sqref>ICE327687:ICE327710</xm:sqref>
        </x14:dataValidation>
        <x14:dataValidation type="list" allowBlank="1" showInputMessage="1" showErrorMessage="1" xr:uid="{D186EB9E-9CF1-4E0F-B306-AE40AD0AA360}">
          <x14:formula1>
            <xm:f>項目!C17:$ILS$327681</xm:f>
          </x14:formula1>
          <xm:sqref>IMA327687:IMA327710</xm:sqref>
        </x14:dataValidation>
        <x14:dataValidation type="list" allowBlank="1" showInputMessage="1" showErrorMessage="1" xr:uid="{FDEED59F-D956-48B8-8AA6-D09D2B65D10E}">
          <x14:formula1>
            <xm:f>項目!C17:$IVO$327681</xm:f>
          </x14:formula1>
          <xm:sqref>IVW327687:IVW327710</xm:sqref>
        </x14:dataValidation>
        <x14:dataValidation type="list" allowBlank="1" showInputMessage="1" showErrorMessage="1" xr:uid="{6A1E18DD-4ED8-41A3-BFF8-5B008544D58B}">
          <x14:formula1>
            <xm:f>項目!C17:$JFK$327681</xm:f>
          </x14:formula1>
          <xm:sqref>JFS327687:JFS327710</xm:sqref>
        </x14:dataValidation>
        <x14:dataValidation type="list" allowBlank="1" showInputMessage="1" showErrorMessage="1" xr:uid="{913D07EA-D870-4C9A-A868-64415E08E4F0}">
          <x14:formula1>
            <xm:f>項目!C17:$JPG$327681</xm:f>
          </x14:formula1>
          <xm:sqref>JPO327687:JPO327710</xm:sqref>
        </x14:dataValidation>
        <x14:dataValidation type="list" allowBlank="1" showInputMessage="1" showErrorMessage="1" xr:uid="{E43B6A2C-B547-4562-8C1E-2DBE77D3FAD6}">
          <x14:formula1>
            <xm:f>項目!C17:$JZC$327681</xm:f>
          </x14:formula1>
          <xm:sqref>JZK327687:JZK327710</xm:sqref>
        </x14:dataValidation>
        <x14:dataValidation type="list" allowBlank="1" showInputMessage="1" showErrorMessage="1" xr:uid="{D1871E09-8FF8-4363-B87E-4494838BCD97}">
          <x14:formula1>
            <xm:f>項目!C17:$KIY$327681</xm:f>
          </x14:formula1>
          <xm:sqref>KJG327687:KJG327710</xm:sqref>
        </x14:dataValidation>
        <x14:dataValidation type="list" allowBlank="1" showInputMessage="1" showErrorMessage="1" xr:uid="{C60E1C8A-0957-4C73-A08F-958B3A350AC6}">
          <x14:formula1>
            <xm:f>項目!C17:$KSU$327681</xm:f>
          </x14:formula1>
          <xm:sqref>KTC327687:KTC327710</xm:sqref>
        </x14:dataValidation>
        <x14:dataValidation type="list" allowBlank="1" showInputMessage="1" showErrorMessage="1" xr:uid="{BA7F4FD8-1CED-48C2-8164-911F64F4F47E}">
          <x14:formula1>
            <xm:f>項目!C17:$LCQ$327681</xm:f>
          </x14:formula1>
          <xm:sqref>LCY327687:LCY327710</xm:sqref>
        </x14:dataValidation>
        <x14:dataValidation type="list" allowBlank="1" showInputMessage="1" showErrorMessage="1" xr:uid="{99F00BED-3351-4C20-9C48-F6969E7B2DB8}">
          <x14:formula1>
            <xm:f>項目!C17:$LMM$327681</xm:f>
          </x14:formula1>
          <xm:sqref>LMU327687:LMU327710</xm:sqref>
        </x14:dataValidation>
        <x14:dataValidation type="list" allowBlank="1" showInputMessage="1" showErrorMessage="1" xr:uid="{5CEEF948-B361-41AE-BCDB-3DAA8D67E3DA}">
          <x14:formula1>
            <xm:f>項目!C17:$LWI$327681</xm:f>
          </x14:formula1>
          <xm:sqref>LWQ327687:LWQ327710</xm:sqref>
        </x14:dataValidation>
        <x14:dataValidation type="list" allowBlank="1" showInputMessage="1" showErrorMessage="1" xr:uid="{2293810B-83D0-40F3-BB70-FFC7DFD59B23}">
          <x14:formula1>
            <xm:f>項目!C17:$MGE$327681</xm:f>
          </x14:formula1>
          <xm:sqref>MGM327687:MGM327710</xm:sqref>
        </x14:dataValidation>
        <x14:dataValidation type="list" allowBlank="1" showInputMessage="1" showErrorMessage="1" xr:uid="{FAC191A5-F35A-41E8-AFF1-E3188F4121A2}">
          <x14:formula1>
            <xm:f>項目!C17:$MQA$327681</xm:f>
          </x14:formula1>
          <xm:sqref>MQI327687:MQI327710</xm:sqref>
        </x14:dataValidation>
        <x14:dataValidation type="list" allowBlank="1" showInputMessage="1" showErrorMessage="1" xr:uid="{FA639B7A-AC91-4A1E-ACC2-AB4032348613}">
          <x14:formula1>
            <xm:f>項目!C17:$MZW$327681</xm:f>
          </x14:formula1>
          <xm:sqref>NAE327687:NAE327710</xm:sqref>
        </x14:dataValidation>
        <x14:dataValidation type="list" allowBlank="1" showInputMessage="1" showErrorMessage="1" xr:uid="{D09DD67E-E7BB-45AE-AF4F-B451434ED392}">
          <x14:formula1>
            <xm:f>項目!C17:$NJS$327681</xm:f>
          </x14:formula1>
          <xm:sqref>NKA327687:NKA327710</xm:sqref>
        </x14:dataValidation>
        <x14:dataValidation type="list" allowBlank="1" showInputMessage="1" showErrorMessage="1" xr:uid="{2B0E9E3D-EBC1-4DEE-9BFB-3BCE2C2EBB1E}">
          <x14:formula1>
            <xm:f>項目!C17:$NTO$327681</xm:f>
          </x14:formula1>
          <xm:sqref>NTW327687:NTW327710</xm:sqref>
        </x14:dataValidation>
        <x14:dataValidation type="list" allowBlank="1" showInputMessage="1" showErrorMessage="1" xr:uid="{E6B7C5F9-BBEC-40D0-80E3-CFCAB99DDAF3}">
          <x14:formula1>
            <xm:f>項目!C17:$ODK$327681</xm:f>
          </x14:formula1>
          <xm:sqref>ODS327687:ODS327710</xm:sqref>
        </x14:dataValidation>
        <x14:dataValidation type="list" allowBlank="1" showInputMessage="1" showErrorMessage="1" xr:uid="{14D61871-7564-42C7-B067-1E5796902FF0}">
          <x14:formula1>
            <xm:f>項目!C17:$ONG$327681</xm:f>
          </x14:formula1>
          <xm:sqref>ONO327687:ONO327710</xm:sqref>
        </x14:dataValidation>
        <x14:dataValidation type="list" allowBlank="1" showInputMessage="1" showErrorMessage="1" xr:uid="{B5DB3097-7D03-497C-9FEA-429B62D01003}">
          <x14:formula1>
            <xm:f>項目!C17:$OXC$327681</xm:f>
          </x14:formula1>
          <xm:sqref>OXK327687:OXK327710</xm:sqref>
        </x14:dataValidation>
        <x14:dataValidation type="list" allowBlank="1" showInputMessage="1" showErrorMessage="1" xr:uid="{D57EA512-5F13-42B2-8256-00364E62A447}">
          <x14:formula1>
            <xm:f>項目!C17:$PGY$327681</xm:f>
          </x14:formula1>
          <xm:sqref>PHG327687:PHG327710</xm:sqref>
        </x14:dataValidation>
        <x14:dataValidation type="list" allowBlank="1" showInputMessage="1" showErrorMessage="1" xr:uid="{A4F0411F-9E75-4D68-A319-85F1DA5004A0}">
          <x14:formula1>
            <xm:f>項目!C17:$PQU$327681</xm:f>
          </x14:formula1>
          <xm:sqref>PRC327687:PRC327710</xm:sqref>
        </x14:dataValidation>
        <x14:dataValidation type="list" allowBlank="1" showInputMessage="1" showErrorMessage="1" xr:uid="{4E810522-BF1C-4D05-9FB3-F877B57A4A38}">
          <x14:formula1>
            <xm:f>項目!C17:$QAQ$327681</xm:f>
          </x14:formula1>
          <xm:sqref>QAY327687:QAY327710</xm:sqref>
        </x14:dataValidation>
        <x14:dataValidation type="list" allowBlank="1" showInputMessage="1" showErrorMessage="1" xr:uid="{8404514F-58B3-4EE7-8340-7A9065589252}">
          <x14:formula1>
            <xm:f>項目!C17:$QKM$327681</xm:f>
          </x14:formula1>
          <xm:sqref>QKU327687:QKU327710</xm:sqref>
        </x14:dataValidation>
        <x14:dataValidation type="list" allowBlank="1" showInputMessage="1" showErrorMessage="1" xr:uid="{A97062EB-BAF1-40FC-BA62-2CA2926CA177}">
          <x14:formula1>
            <xm:f>項目!C17:$QUI$327681</xm:f>
          </x14:formula1>
          <xm:sqref>QUQ327687:QUQ327710</xm:sqref>
        </x14:dataValidation>
        <x14:dataValidation type="list" allowBlank="1" showInputMessage="1" showErrorMessage="1" xr:uid="{1A006E03-D300-4189-979E-A1F2EB355A44}">
          <x14:formula1>
            <xm:f>項目!C17:$REE$327681</xm:f>
          </x14:formula1>
          <xm:sqref>REM327687:REM327710</xm:sqref>
        </x14:dataValidation>
        <x14:dataValidation type="list" allowBlank="1" showInputMessage="1" showErrorMessage="1" xr:uid="{7C81B32B-4409-4EFD-B2AC-D9B536F7872E}">
          <x14:formula1>
            <xm:f>項目!C17:$ROA$327681</xm:f>
          </x14:formula1>
          <xm:sqref>ROI327687:ROI327710</xm:sqref>
        </x14:dataValidation>
        <x14:dataValidation type="list" allowBlank="1" showInputMessage="1" showErrorMessage="1" xr:uid="{23E3A90A-9598-461A-9ECA-EECB515F2179}">
          <x14:formula1>
            <xm:f>項目!C17:$RXW$327681</xm:f>
          </x14:formula1>
          <xm:sqref>RYE327687:RYE327710</xm:sqref>
        </x14:dataValidation>
        <x14:dataValidation type="list" allowBlank="1" showInputMessage="1" showErrorMessage="1" xr:uid="{2F0C6C76-0FC4-4D60-BC57-D7D5B8EEB4A1}">
          <x14:formula1>
            <xm:f>項目!C17:$SHS$327681</xm:f>
          </x14:formula1>
          <xm:sqref>SIA327687:SIA327710</xm:sqref>
        </x14:dataValidation>
        <x14:dataValidation type="list" allowBlank="1" showInputMessage="1" showErrorMessage="1" xr:uid="{74753C51-B5CC-4F41-B8D8-4E5B7DC1BEFB}">
          <x14:formula1>
            <xm:f>項目!C17:$SRO$327681</xm:f>
          </x14:formula1>
          <xm:sqref>SRW327687:SRW327710</xm:sqref>
        </x14:dataValidation>
        <x14:dataValidation type="list" allowBlank="1" showInputMessage="1" showErrorMessage="1" xr:uid="{EE20FE0E-998D-4E95-89FF-F8BBAC9B6A1B}">
          <x14:formula1>
            <xm:f>項目!C17:$TBK$327681</xm:f>
          </x14:formula1>
          <xm:sqref>TBS327687:TBS327710</xm:sqref>
        </x14:dataValidation>
        <x14:dataValidation type="list" allowBlank="1" showInputMessage="1" showErrorMessage="1" xr:uid="{1304E343-0A55-449E-AB0E-6E46C1D44080}">
          <x14:formula1>
            <xm:f>項目!C17:$TLG$327681</xm:f>
          </x14:formula1>
          <xm:sqref>TLO327687:TLO327710</xm:sqref>
        </x14:dataValidation>
        <x14:dataValidation type="list" allowBlank="1" showInputMessage="1" showErrorMessage="1" xr:uid="{5A1FE93B-39B2-4554-9324-646E20F9DFB7}">
          <x14:formula1>
            <xm:f>項目!C17:$TVC$327681</xm:f>
          </x14:formula1>
          <xm:sqref>TVK327687:TVK327710</xm:sqref>
        </x14:dataValidation>
        <x14:dataValidation type="list" allowBlank="1" showInputMessage="1" showErrorMessage="1" xr:uid="{C6274E58-DED8-49EA-9AAC-8FD295462514}">
          <x14:formula1>
            <xm:f>項目!C17:$UEY$327681</xm:f>
          </x14:formula1>
          <xm:sqref>UFG327687:UFG327710</xm:sqref>
        </x14:dataValidation>
        <x14:dataValidation type="list" allowBlank="1" showInputMessage="1" showErrorMessage="1" xr:uid="{78E61912-B410-4713-A94B-C2433B0692A9}">
          <x14:formula1>
            <xm:f>項目!C17:$UOU$327681</xm:f>
          </x14:formula1>
          <xm:sqref>UPC327687:UPC327710</xm:sqref>
        </x14:dataValidation>
        <x14:dataValidation type="list" allowBlank="1" showInputMessage="1" showErrorMessage="1" xr:uid="{9E76A358-BB72-4C65-BF9C-042474044C6A}">
          <x14:formula1>
            <xm:f>項目!C17:$UYQ$327681</xm:f>
          </x14:formula1>
          <xm:sqref>UYY327687:UYY327710</xm:sqref>
        </x14:dataValidation>
        <x14:dataValidation type="list" allowBlank="1" showInputMessage="1" showErrorMessage="1" xr:uid="{D9219970-A0F4-45EC-B6F0-D3F004546B8A}">
          <x14:formula1>
            <xm:f>項目!C17:$VIM$327681</xm:f>
          </x14:formula1>
          <xm:sqref>VIU327687:VIU327710</xm:sqref>
        </x14:dataValidation>
        <x14:dataValidation type="list" allowBlank="1" showInputMessage="1" showErrorMessage="1" xr:uid="{4BD0DCF1-6676-4A49-AA80-C5F9EF5016B0}">
          <x14:formula1>
            <xm:f>項目!C17:$VSI$327681</xm:f>
          </x14:formula1>
          <xm:sqref>VSQ327687:VSQ327710</xm:sqref>
        </x14:dataValidation>
        <x14:dataValidation type="list" allowBlank="1" showInputMessage="1" showErrorMessage="1" xr:uid="{1168540B-FDC6-4922-B2C6-9E9D01FAFF26}">
          <x14:formula1>
            <xm:f>項目!C17:$WCE$327681</xm:f>
          </x14:formula1>
          <xm:sqref>WCM327687:WCM327710</xm:sqref>
        </x14:dataValidation>
        <x14:dataValidation type="list" allowBlank="1" showInputMessage="1" showErrorMessage="1" xr:uid="{4D1A7989-1827-4053-8E2F-3BF477CE18D0}">
          <x14:formula1>
            <xm:f>項目!C17:$WMA$327681</xm:f>
          </x14:formula1>
          <xm:sqref>WMI327687:WMI327710</xm:sqref>
        </x14:dataValidation>
        <x14:dataValidation type="list" allowBlank="1" showInputMessage="1" showErrorMessage="1" xr:uid="{D1363C8F-5863-4DEF-B7B2-884CE593ABB5}">
          <x14:formula1>
            <xm:f>項目!C17:$WVW$327681</xm:f>
          </x14:formula1>
          <xm:sqref>WWE327687:WWE327710</xm:sqref>
        </x14:dataValidation>
        <x14:dataValidation type="list" allowBlank="1" showInputMessage="1" showErrorMessage="1" xr:uid="{EA4C10D2-A873-4044-9492-15083F45FDAA}">
          <x14:formula1>
            <xm:f>項目!C17:$P$393217</xm:f>
          </x14:formula1>
          <xm:sqref>W393223:W393246</xm:sqref>
        </x14:dataValidation>
        <x14:dataValidation type="list" allowBlank="1" showInputMessage="1" showErrorMessage="1" xr:uid="{9DBF28A6-9A13-47CE-B672-DCCCC8E2E785}">
          <x14:formula1>
            <xm:f>項目!C17:$JK$393217</xm:f>
          </x14:formula1>
          <xm:sqref>JS393223:JS393246</xm:sqref>
        </x14:dataValidation>
        <x14:dataValidation type="list" allowBlank="1" showInputMessage="1" showErrorMessage="1" xr:uid="{90EA5EE4-E8CF-4394-B55A-992F49BF1038}">
          <x14:formula1>
            <xm:f>項目!C17:$TG$393217</xm:f>
          </x14:formula1>
          <xm:sqref>TO393223:TO393246</xm:sqref>
        </x14:dataValidation>
        <x14:dataValidation type="list" allowBlank="1" showInputMessage="1" showErrorMessage="1" xr:uid="{23B3CF8D-3153-438F-A38D-B1D10CC00097}">
          <x14:formula1>
            <xm:f>項目!C17:$ADC$393217</xm:f>
          </x14:formula1>
          <xm:sqref>ADK393223:ADK393246</xm:sqref>
        </x14:dataValidation>
        <x14:dataValidation type="list" allowBlank="1" showInputMessage="1" showErrorMessage="1" xr:uid="{F5E76F8E-9E95-4AE9-83AA-17C5B2906A5E}">
          <x14:formula1>
            <xm:f>項目!C17:$AMY$393217</xm:f>
          </x14:formula1>
          <xm:sqref>ANG393223:ANG393246</xm:sqref>
        </x14:dataValidation>
        <x14:dataValidation type="list" allowBlank="1" showInputMessage="1" showErrorMessage="1" xr:uid="{011D0A5C-5C74-4D0E-A6C5-05EA583F964C}">
          <x14:formula1>
            <xm:f>項目!C17:$AWU$393217</xm:f>
          </x14:formula1>
          <xm:sqref>AXC393223:AXC393246</xm:sqref>
        </x14:dataValidation>
        <x14:dataValidation type="list" allowBlank="1" showInputMessage="1" showErrorMessage="1" xr:uid="{D3F70189-88C6-4BA7-AA16-46C641D19A6E}">
          <x14:formula1>
            <xm:f>項目!C17:$BGQ$393217</xm:f>
          </x14:formula1>
          <xm:sqref>BGY393223:BGY393246</xm:sqref>
        </x14:dataValidation>
        <x14:dataValidation type="list" allowBlank="1" showInputMessage="1" showErrorMessage="1" xr:uid="{89F31714-C08A-4523-B5E7-4A2A97E668CB}">
          <x14:formula1>
            <xm:f>項目!C17:$BQM$393217</xm:f>
          </x14:formula1>
          <xm:sqref>BQU393223:BQU393246</xm:sqref>
        </x14:dataValidation>
        <x14:dataValidation type="list" allowBlank="1" showInputMessage="1" showErrorMessage="1" xr:uid="{9360F25A-2EBE-4543-A392-B7CD2C8B0E51}">
          <x14:formula1>
            <xm:f>項目!C17:$CAI$393217</xm:f>
          </x14:formula1>
          <xm:sqref>CAQ393223:CAQ393246</xm:sqref>
        </x14:dataValidation>
        <x14:dataValidation type="list" allowBlank="1" showInputMessage="1" showErrorMessage="1" xr:uid="{1E856EAB-1358-4B53-9E35-2E6316902C43}">
          <x14:formula1>
            <xm:f>項目!C17:$CKE$393217</xm:f>
          </x14:formula1>
          <xm:sqref>CKM393223:CKM393246</xm:sqref>
        </x14:dataValidation>
        <x14:dataValidation type="list" allowBlank="1" showInputMessage="1" showErrorMessage="1" xr:uid="{AE94F543-3253-41F3-885F-4EDA2D5E4C42}">
          <x14:formula1>
            <xm:f>項目!C17:$CUA$393217</xm:f>
          </x14:formula1>
          <xm:sqref>CUI393223:CUI393246</xm:sqref>
        </x14:dataValidation>
        <x14:dataValidation type="list" allowBlank="1" showInputMessage="1" showErrorMessage="1" xr:uid="{7D3527A5-1517-4C03-9390-2A9A4B0CBB3D}">
          <x14:formula1>
            <xm:f>項目!C17:$DDW$393217</xm:f>
          </x14:formula1>
          <xm:sqref>DEE393223:DEE393246</xm:sqref>
        </x14:dataValidation>
        <x14:dataValidation type="list" allowBlank="1" showInputMessage="1" showErrorMessage="1" xr:uid="{CC009153-B8AC-423E-AE1B-9EFBF6569891}">
          <x14:formula1>
            <xm:f>項目!C17:$DNS$393217</xm:f>
          </x14:formula1>
          <xm:sqref>DOA393223:DOA393246</xm:sqref>
        </x14:dataValidation>
        <x14:dataValidation type="list" allowBlank="1" showInputMessage="1" showErrorMessage="1" xr:uid="{4286CF96-B31D-428E-9827-740189F654EB}">
          <x14:formula1>
            <xm:f>項目!C17:$DXO$393217</xm:f>
          </x14:formula1>
          <xm:sqref>DXW393223:DXW393246</xm:sqref>
        </x14:dataValidation>
        <x14:dataValidation type="list" allowBlank="1" showInputMessage="1" showErrorMessage="1" xr:uid="{24FC7C80-A095-4579-B8E6-785843DB1260}">
          <x14:formula1>
            <xm:f>項目!C17:$EHK$393217</xm:f>
          </x14:formula1>
          <xm:sqref>EHS393223:EHS393246</xm:sqref>
        </x14:dataValidation>
        <x14:dataValidation type="list" allowBlank="1" showInputMessage="1" showErrorMessage="1" xr:uid="{FB31B53D-102F-4406-94EB-5E820CC2C4C5}">
          <x14:formula1>
            <xm:f>項目!C17:$ERG$393217</xm:f>
          </x14:formula1>
          <xm:sqref>ERO393223:ERO393246</xm:sqref>
        </x14:dataValidation>
        <x14:dataValidation type="list" allowBlank="1" showInputMessage="1" showErrorMessage="1" xr:uid="{D2EABCF5-C2B9-4438-88DC-AB290C31AEC9}">
          <x14:formula1>
            <xm:f>項目!C17:$FBC$393217</xm:f>
          </x14:formula1>
          <xm:sqref>FBK393223:FBK393246</xm:sqref>
        </x14:dataValidation>
        <x14:dataValidation type="list" allowBlank="1" showInputMessage="1" showErrorMessage="1" xr:uid="{7C711FCE-C1B8-4C0E-948C-94802075CF3C}">
          <x14:formula1>
            <xm:f>項目!C17:$FKY$393217</xm:f>
          </x14:formula1>
          <xm:sqref>FLG393223:FLG393246</xm:sqref>
        </x14:dataValidation>
        <x14:dataValidation type="list" allowBlank="1" showInputMessage="1" showErrorMessage="1" xr:uid="{99558FDE-5730-4D25-AAA8-B0BC52170CD5}">
          <x14:formula1>
            <xm:f>項目!C17:$FUU$393217</xm:f>
          </x14:formula1>
          <xm:sqref>FVC393223:FVC393246</xm:sqref>
        </x14:dataValidation>
        <x14:dataValidation type="list" allowBlank="1" showInputMessage="1" showErrorMessage="1" xr:uid="{02E3B353-AE68-4DE9-B024-6848F4ED6802}">
          <x14:formula1>
            <xm:f>項目!C17:$GEQ$393217</xm:f>
          </x14:formula1>
          <xm:sqref>GEY393223:GEY393246</xm:sqref>
        </x14:dataValidation>
        <x14:dataValidation type="list" allowBlank="1" showInputMessage="1" showErrorMessage="1" xr:uid="{4FA49444-AE6A-48CD-ACED-66EB8EACDE72}">
          <x14:formula1>
            <xm:f>項目!C17:$GOM$393217</xm:f>
          </x14:formula1>
          <xm:sqref>GOU393223:GOU393246</xm:sqref>
        </x14:dataValidation>
        <x14:dataValidation type="list" allowBlank="1" showInputMessage="1" showErrorMessage="1" xr:uid="{FD669A45-8310-4A0F-BB54-0C2CB66C6920}">
          <x14:formula1>
            <xm:f>項目!C17:$GYI$393217</xm:f>
          </x14:formula1>
          <xm:sqref>GYQ393223:GYQ393246</xm:sqref>
        </x14:dataValidation>
        <x14:dataValidation type="list" allowBlank="1" showInputMessage="1" showErrorMessage="1" xr:uid="{E85C04C8-D1DF-4DFB-928B-A836B5916C32}">
          <x14:formula1>
            <xm:f>項目!C17:$HIE$393217</xm:f>
          </x14:formula1>
          <xm:sqref>HIM393223:HIM393246</xm:sqref>
        </x14:dataValidation>
        <x14:dataValidation type="list" allowBlank="1" showInputMessage="1" showErrorMessage="1" xr:uid="{027ECF7B-FC3F-490A-A402-D42B5E87EC76}">
          <x14:formula1>
            <xm:f>項目!C17:$HSA$393217</xm:f>
          </x14:formula1>
          <xm:sqref>HSI393223:HSI393246</xm:sqref>
        </x14:dataValidation>
        <x14:dataValidation type="list" allowBlank="1" showInputMessage="1" showErrorMessage="1" xr:uid="{8E0CC583-9E35-4B7B-BEED-4AFCADD9155D}">
          <x14:formula1>
            <xm:f>項目!C17:$IBW$393217</xm:f>
          </x14:formula1>
          <xm:sqref>ICE393223:ICE393246</xm:sqref>
        </x14:dataValidation>
        <x14:dataValidation type="list" allowBlank="1" showInputMessage="1" showErrorMessage="1" xr:uid="{9A326F5E-0076-44BF-BB3C-3D6A35EFE712}">
          <x14:formula1>
            <xm:f>項目!C17:$ILS$393217</xm:f>
          </x14:formula1>
          <xm:sqref>IMA393223:IMA393246</xm:sqref>
        </x14:dataValidation>
        <x14:dataValidation type="list" allowBlank="1" showInputMessage="1" showErrorMessage="1" xr:uid="{4234BD3C-F1A7-4676-B5C1-D1B7F79AC95F}">
          <x14:formula1>
            <xm:f>項目!C17:$IVO$393217</xm:f>
          </x14:formula1>
          <xm:sqref>IVW393223:IVW393246</xm:sqref>
        </x14:dataValidation>
        <x14:dataValidation type="list" allowBlank="1" showInputMessage="1" showErrorMessage="1" xr:uid="{B018C542-F984-4C8C-ACA4-A85FC7F2DADC}">
          <x14:formula1>
            <xm:f>項目!C17:$JFK$393217</xm:f>
          </x14:formula1>
          <xm:sqref>JFS393223:JFS393246</xm:sqref>
        </x14:dataValidation>
        <x14:dataValidation type="list" allowBlank="1" showInputMessage="1" showErrorMessage="1" xr:uid="{8ADE9079-F007-4A81-8D4F-4ABBFDDC2465}">
          <x14:formula1>
            <xm:f>項目!C17:$JPG$393217</xm:f>
          </x14:formula1>
          <xm:sqref>JPO393223:JPO393246</xm:sqref>
        </x14:dataValidation>
        <x14:dataValidation type="list" allowBlank="1" showInputMessage="1" showErrorMessage="1" xr:uid="{545C67A8-7756-4DA0-B44B-743AF0B7FA89}">
          <x14:formula1>
            <xm:f>項目!C17:$JZC$393217</xm:f>
          </x14:formula1>
          <xm:sqref>JZK393223:JZK393246</xm:sqref>
        </x14:dataValidation>
        <x14:dataValidation type="list" allowBlank="1" showInputMessage="1" showErrorMessage="1" xr:uid="{1A5BF741-2F2A-4DE0-8D57-AA3F2E38D5E0}">
          <x14:formula1>
            <xm:f>項目!C17:$KIY$393217</xm:f>
          </x14:formula1>
          <xm:sqref>KJG393223:KJG393246</xm:sqref>
        </x14:dataValidation>
        <x14:dataValidation type="list" allowBlank="1" showInputMessage="1" showErrorMessage="1" xr:uid="{D0203880-43FA-4BA4-A96B-5B6AC4BA655B}">
          <x14:formula1>
            <xm:f>項目!C17:$KSU$393217</xm:f>
          </x14:formula1>
          <xm:sqref>KTC393223:KTC393246</xm:sqref>
        </x14:dataValidation>
        <x14:dataValidation type="list" allowBlank="1" showInputMessage="1" showErrorMessage="1" xr:uid="{B96AC273-0504-4A44-B380-66711BF9E541}">
          <x14:formula1>
            <xm:f>項目!C17:$LCQ$393217</xm:f>
          </x14:formula1>
          <xm:sqref>LCY393223:LCY393246</xm:sqref>
        </x14:dataValidation>
        <x14:dataValidation type="list" allowBlank="1" showInputMessage="1" showErrorMessage="1" xr:uid="{EBA24A2F-BE33-4617-B20E-A7E87AF04A73}">
          <x14:formula1>
            <xm:f>項目!C17:$LMM$393217</xm:f>
          </x14:formula1>
          <xm:sqref>LMU393223:LMU393246</xm:sqref>
        </x14:dataValidation>
        <x14:dataValidation type="list" allowBlank="1" showInputMessage="1" showErrorMessage="1" xr:uid="{3C9DDFAE-BE8E-4714-A50A-D1ECA5FE64FF}">
          <x14:formula1>
            <xm:f>項目!C17:$LWI$393217</xm:f>
          </x14:formula1>
          <xm:sqref>LWQ393223:LWQ393246</xm:sqref>
        </x14:dataValidation>
        <x14:dataValidation type="list" allowBlank="1" showInputMessage="1" showErrorMessage="1" xr:uid="{29AF9C59-8449-4B41-8708-307F948624AD}">
          <x14:formula1>
            <xm:f>項目!C17:$MGE$393217</xm:f>
          </x14:formula1>
          <xm:sqref>MGM393223:MGM393246</xm:sqref>
        </x14:dataValidation>
        <x14:dataValidation type="list" allowBlank="1" showInputMessage="1" showErrorMessage="1" xr:uid="{2CB2F818-7DAE-41CC-9E31-52B88D8E8013}">
          <x14:formula1>
            <xm:f>項目!C17:$MQA$393217</xm:f>
          </x14:formula1>
          <xm:sqref>MQI393223:MQI393246</xm:sqref>
        </x14:dataValidation>
        <x14:dataValidation type="list" allowBlank="1" showInputMessage="1" showErrorMessage="1" xr:uid="{358B701E-2329-4F84-BA19-0D867DB944A8}">
          <x14:formula1>
            <xm:f>項目!C17:$MZW$393217</xm:f>
          </x14:formula1>
          <xm:sqref>NAE393223:NAE393246</xm:sqref>
        </x14:dataValidation>
        <x14:dataValidation type="list" allowBlank="1" showInputMessage="1" showErrorMessage="1" xr:uid="{331D225F-1DCB-4342-9926-E1475CA80783}">
          <x14:formula1>
            <xm:f>項目!C17:$NJS$393217</xm:f>
          </x14:formula1>
          <xm:sqref>NKA393223:NKA393246</xm:sqref>
        </x14:dataValidation>
        <x14:dataValidation type="list" allowBlank="1" showInputMessage="1" showErrorMessage="1" xr:uid="{3365FD19-31D9-4100-81EF-E72E98771C58}">
          <x14:formula1>
            <xm:f>項目!C17:$NTO$393217</xm:f>
          </x14:formula1>
          <xm:sqref>NTW393223:NTW393246</xm:sqref>
        </x14:dataValidation>
        <x14:dataValidation type="list" allowBlank="1" showInputMessage="1" showErrorMessage="1" xr:uid="{59231807-1E52-4872-AE05-76FAA4E9793B}">
          <x14:formula1>
            <xm:f>項目!C17:$ODK$393217</xm:f>
          </x14:formula1>
          <xm:sqref>ODS393223:ODS393246</xm:sqref>
        </x14:dataValidation>
        <x14:dataValidation type="list" allowBlank="1" showInputMessage="1" showErrorMessage="1" xr:uid="{87D2FB8C-FE95-4EFE-9CE7-FDCAB12608F3}">
          <x14:formula1>
            <xm:f>項目!C17:$ONG$393217</xm:f>
          </x14:formula1>
          <xm:sqref>ONO393223:ONO393246</xm:sqref>
        </x14:dataValidation>
        <x14:dataValidation type="list" allowBlank="1" showInputMessage="1" showErrorMessage="1" xr:uid="{0F5F3977-925F-4850-80D6-67D65D4332EF}">
          <x14:formula1>
            <xm:f>項目!C17:$OXC$393217</xm:f>
          </x14:formula1>
          <xm:sqref>OXK393223:OXK393246</xm:sqref>
        </x14:dataValidation>
        <x14:dataValidation type="list" allowBlank="1" showInputMessage="1" showErrorMessage="1" xr:uid="{E26F8AB5-CCC0-4FF2-8169-90C1683C2967}">
          <x14:formula1>
            <xm:f>項目!C17:$PGY$393217</xm:f>
          </x14:formula1>
          <xm:sqref>PHG393223:PHG393246</xm:sqref>
        </x14:dataValidation>
        <x14:dataValidation type="list" allowBlank="1" showInputMessage="1" showErrorMessage="1" xr:uid="{667FA4F1-9166-4634-916A-B0244DDCCE31}">
          <x14:formula1>
            <xm:f>項目!C17:$PQU$393217</xm:f>
          </x14:formula1>
          <xm:sqref>PRC393223:PRC393246</xm:sqref>
        </x14:dataValidation>
        <x14:dataValidation type="list" allowBlank="1" showInputMessage="1" showErrorMessage="1" xr:uid="{6B94BE02-5D65-458B-BE6E-7A23395C71C5}">
          <x14:formula1>
            <xm:f>項目!C17:$QAQ$393217</xm:f>
          </x14:formula1>
          <xm:sqref>QAY393223:QAY393246</xm:sqref>
        </x14:dataValidation>
        <x14:dataValidation type="list" allowBlank="1" showInputMessage="1" showErrorMessage="1" xr:uid="{6082F3F5-5E65-4BF0-9681-437489140FD4}">
          <x14:formula1>
            <xm:f>項目!C17:$QKM$393217</xm:f>
          </x14:formula1>
          <xm:sqref>QKU393223:QKU393246</xm:sqref>
        </x14:dataValidation>
        <x14:dataValidation type="list" allowBlank="1" showInputMessage="1" showErrorMessage="1" xr:uid="{ACE36C1F-7C1A-4A03-9097-2CA50F5925DF}">
          <x14:formula1>
            <xm:f>項目!C17:$QUI$393217</xm:f>
          </x14:formula1>
          <xm:sqref>QUQ393223:QUQ393246</xm:sqref>
        </x14:dataValidation>
        <x14:dataValidation type="list" allowBlank="1" showInputMessage="1" showErrorMessage="1" xr:uid="{8FF334D1-A77D-40C3-8AA8-8011407C5942}">
          <x14:formula1>
            <xm:f>項目!C17:$REE$393217</xm:f>
          </x14:formula1>
          <xm:sqref>REM393223:REM393246</xm:sqref>
        </x14:dataValidation>
        <x14:dataValidation type="list" allowBlank="1" showInputMessage="1" showErrorMessage="1" xr:uid="{788777D0-A85E-484A-9C96-866E97F02488}">
          <x14:formula1>
            <xm:f>項目!C17:$ROA$393217</xm:f>
          </x14:formula1>
          <xm:sqref>ROI393223:ROI393246</xm:sqref>
        </x14:dataValidation>
        <x14:dataValidation type="list" allowBlank="1" showInputMessage="1" showErrorMessage="1" xr:uid="{8B1087EE-08B9-48E4-A188-05AE36158CA8}">
          <x14:formula1>
            <xm:f>項目!C17:$RXW$393217</xm:f>
          </x14:formula1>
          <xm:sqref>RYE393223:RYE393246</xm:sqref>
        </x14:dataValidation>
        <x14:dataValidation type="list" allowBlank="1" showInputMessage="1" showErrorMessage="1" xr:uid="{2753B533-F2C5-430F-9DE2-232B614B2D36}">
          <x14:formula1>
            <xm:f>項目!C17:$SHS$393217</xm:f>
          </x14:formula1>
          <xm:sqref>SIA393223:SIA393246</xm:sqref>
        </x14:dataValidation>
        <x14:dataValidation type="list" allowBlank="1" showInputMessage="1" showErrorMessage="1" xr:uid="{72FC0A19-E3FB-48E6-AA70-C992E855145A}">
          <x14:formula1>
            <xm:f>項目!C17:$SRO$393217</xm:f>
          </x14:formula1>
          <xm:sqref>SRW393223:SRW393246</xm:sqref>
        </x14:dataValidation>
        <x14:dataValidation type="list" allowBlank="1" showInputMessage="1" showErrorMessage="1" xr:uid="{BE020054-9080-4C0D-A96F-216F7447284D}">
          <x14:formula1>
            <xm:f>項目!C17:$TBK$393217</xm:f>
          </x14:formula1>
          <xm:sqref>TBS393223:TBS393246</xm:sqref>
        </x14:dataValidation>
        <x14:dataValidation type="list" allowBlank="1" showInputMessage="1" showErrorMessage="1" xr:uid="{39B657A8-42A7-4C78-A168-6CA22715F735}">
          <x14:formula1>
            <xm:f>項目!C17:$TLG$393217</xm:f>
          </x14:formula1>
          <xm:sqref>TLO393223:TLO393246</xm:sqref>
        </x14:dataValidation>
        <x14:dataValidation type="list" allowBlank="1" showInputMessage="1" showErrorMessage="1" xr:uid="{EDB3762C-6B79-4598-9DC8-2D35626CB2E1}">
          <x14:formula1>
            <xm:f>項目!C17:$TVC$393217</xm:f>
          </x14:formula1>
          <xm:sqref>TVK393223:TVK393246</xm:sqref>
        </x14:dataValidation>
        <x14:dataValidation type="list" allowBlank="1" showInputMessage="1" showErrorMessage="1" xr:uid="{86A8161A-0DAF-4238-A22A-2801D9D9298E}">
          <x14:formula1>
            <xm:f>項目!C17:$UEY$393217</xm:f>
          </x14:formula1>
          <xm:sqref>UFG393223:UFG393246</xm:sqref>
        </x14:dataValidation>
        <x14:dataValidation type="list" allowBlank="1" showInputMessage="1" showErrorMessage="1" xr:uid="{E8946739-7A01-4D86-85C4-C1742BEB5E3A}">
          <x14:formula1>
            <xm:f>項目!C17:$UOU$393217</xm:f>
          </x14:formula1>
          <xm:sqref>UPC393223:UPC393246</xm:sqref>
        </x14:dataValidation>
        <x14:dataValidation type="list" allowBlank="1" showInputMessage="1" showErrorMessage="1" xr:uid="{54DE52DB-DD4A-44BA-BB6F-4AD28B1BB300}">
          <x14:formula1>
            <xm:f>項目!C17:$UYQ$393217</xm:f>
          </x14:formula1>
          <xm:sqref>UYY393223:UYY393246</xm:sqref>
        </x14:dataValidation>
        <x14:dataValidation type="list" allowBlank="1" showInputMessage="1" showErrorMessage="1" xr:uid="{8D11551F-591E-40C1-AEE9-E0E02B88936C}">
          <x14:formula1>
            <xm:f>項目!C17:$VIM$393217</xm:f>
          </x14:formula1>
          <xm:sqref>VIU393223:VIU393246</xm:sqref>
        </x14:dataValidation>
        <x14:dataValidation type="list" allowBlank="1" showInputMessage="1" showErrorMessage="1" xr:uid="{AF646C16-E566-4363-BA4A-011830503B70}">
          <x14:formula1>
            <xm:f>項目!C17:$VSI$393217</xm:f>
          </x14:formula1>
          <xm:sqref>VSQ393223:VSQ393246</xm:sqref>
        </x14:dataValidation>
        <x14:dataValidation type="list" allowBlank="1" showInputMessage="1" showErrorMessage="1" xr:uid="{051844AD-FE77-499E-AAEA-921A6817EBCA}">
          <x14:formula1>
            <xm:f>項目!C17:$WCE$393217</xm:f>
          </x14:formula1>
          <xm:sqref>WCM393223:WCM393246</xm:sqref>
        </x14:dataValidation>
        <x14:dataValidation type="list" allowBlank="1" showInputMessage="1" showErrorMessage="1" xr:uid="{100A24DC-E452-4628-9D57-AB5E426C3B17}">
          <x14:formula1>
            <xm:f>項目!C17:$WMA$393217</xm:f>
          </x14:formula1>
          <xm:sqref>WMI393223:WMI393246</xm:sqref>
        </x14:dataValidation>
        <x14:dataValidation type="list" allowBlank="1" showInputMessage="1" showErrorMessage="1" xr:uid="{B5CDA15C-FBCA-4DC4-ACB4-938569512F8D}">
          <x14:formula1>
            <xm:f>項目!C17:$WVW$393217</xm:f>
          </x14:formula1>
          <xm:sqref>WWE393223:WWE393246</xm:sqref>
        </x14:dataValidation>
        <x14:dataValidation type="list" allowBlank="1" showInputMessage="1" showErrorMessage="1" xr:uid="{D0BB5377-CC73-4BB7-8CAA-08ED6E2BA675}">
          <x14:formula1>
            <xm:f>項目!C17:$P$458753</xm:f>
          </x14:formula1>
          <xm:sqref>W458759:W458782</xm:sqref>
        </x14:dataValidation>
        <x14:dataValidation type="list" allowBlank="1" showInputMessage="1" showErrorMessage="1" xr:uid="{6305D6B6-437C-4CEC-8EA9-9DAD2B3A1ABB}">
          <x14:formula1>
            <xm:f>項目!C17:$JK$458753</xm:f>
          </x14:formula1>
          <xm:sqref>JS458759:JS458782</xm:sqref>
        </x14:dataValidation>
        <x14:dataValidation type="list" allowBlank="1" showInputMessage="1" showErrorMessage="1" xr:uid="{C4F006E9-7004-4F16-B928-CEEA057F3766}">
          <x14:formula1>
            <xm:f>項目!C17:$TG$458753</xm:f>
          </x14:formula1>
          <xm:sqref>TO458759:TO458782</xm:sqref>
        </x14:dataValidation>
        <x14:dataValidation type="list" allowBlank="1" showInputMessage="1" showErrorMessage="1" xr:uid="{C6F96D58-CD64-4F39-8B93-5559819A2551}">
          <x14:formula1>
            <xm:f>項目!C17:$ADC$458753</xm:f>
          </x14:formula1>
          <xm:sqref>ADK458759:ADK458782</xm:sqref>
        </x14:dataValidation>
        <x14:dataValidation type="list" allowBlank="1" showInputMessage="1" showErrorMessage="1" xr:uid="{4F6FE1A6-244B-44A0-962F-0CAB9E769116}">
          <x14:formula1>
            <xm:f>項目!C17:$AMY$458753</xm:f>
          </x14:formula1>
          <xm:sqref>ANG458759:ANG458782</xm:sqref>
        </x14:dataValidation>
        <x14:dataValidation type="list" allowBlank="1" showInputMessage="1" showErrorMessage="1" xr:uid="{97F99DE8-3CCC-49CF-A6A7-CE11BD48D2B1}">
          <x14:formula1>
            <xm:f>項目!C17:$AWU$458753</xm:f>
          </x14:formula1>
          <xm:sqref>AXC458759:AXC458782</xm:sqref>
        </x14:dataValidation>
        <x14:dataValidation type="list" allowBlank="1" showInputMessage="1" showErrorMessage="1" xr:uid="{6B0255C7-C8A7-4DDC-B607-C0518C16F975}">
          <x14:formula1>
            <xm:f>項目!C17:$BGQ$458753</xm:f>
          </x14:formula1>
          <xm:sqref>BGY458759:BGY458782</xm:sqref>
        </x14:dataValidation>
        <x14:dataValidation type="list" allowBlank="1" showInputMessage="1" showErrorMessage="1" xr:uid="{32BA0D87-C81B-4E95-A43F-D755ED886FE1}">
          <x14:formula1>
            <xm:f>項目!C17:$BQM$458753</xm:f>
          </x14:formula1>
          <xm:sqref>BQU458759:BQU458782</xm:sqref>
        </x14:dataValidation>
        <x14:dataValidation type="list" allowBlank="1" showInputMessage="1" showErrorMessage="1" xr:uid="{88228543-48EB-4349-B17C-4CAE4AE2BDF2}">
          <x14:formula1>
            <xm:f>項目!C17:$CAI$458753</xm:f>
          </x14:formula1>
          <xm:sqref>CAQ458759:CAQ458782</xm:sqref>
        </x14:dataValidation>
        <x14:dataValidation type="list" allowBlank="1" showInputMessage="1" showErrorMessage="1" xr:uid="{B04FEDC2-5771-4CC5-A09E-AE8C732AE673}">
          <x14:formula1>
            <xm:f>項目!C17:$CKE$458753</xm:f>
          </x14:formula1>
          <xm:sqref>CKM458759:CKM458782</xm:sqref>
        </x14:dataValidation>
        <x14:dataValidation type="list" allowBlank="1" showInputMessage="1" showErrorMessage="1" xr:uid="{E9BEDE27-AFD6-4292-9FCE-CFDB4C8F7807}">
          <x14:formula1>
            <xm:f>項目!C17:$CUA$458753</xm:f>
          </x14:formula1>
          <xm:sqref>CUI458759:CUI458782</xm:sqref>
        </x14:dataValidation>
        <x14:dataValidation type="list" allowBlank="1" showInputMessage="1" showErrorMessage="1" xr:uid="{16850BE9-96C0-4F00-B7F9-E17EDEF14F79}">
          <x14:formula1>
            <xm:f>項目!C17:$DDW$458753</xm:f>
          </x14:formula1>
          <xm:sqref>DEE458759:DEE458782</xm:sqref>
        </x14:dataValidation>
        <x14:dataValidation type="list" allowBlank="1" showInputMessage="1" showErrorMessage="1" xr:uid="{804AD85A-F8F7-48E9-A2A0-1E07A62CD3BA}">
          <x14:formula1>
            <xm:f>項目!C17:$DNS$458753</xm:f>
          </x14:formula1>
          <xm:sqref>DOA458759:DOA458782</xm:sqref>
        </x14:dataValidation>
        <x14:dataValidation type="list" allowBlank="1" showInputMessage="1" showErrorMessage="1" xr:uid="{3E20C5E4-3304-4412-BDEB-93A467C83BC2}">
          <x14:formula1>
            <xm:f>項目!C17:$DXO$458753</xm:f>
          </x14:formula1>
          <xm:sqref>DXW458759:DXW458782</xm:sqref>
        </x14:dataValidation>
        <x14:dataValidation type="list" allowBlank="1" showInputMessage="1" showErrorMessage="1" xr:uid="{F7564FA7-17D7-4D60-AE90-9590B5A9A54A}">
          <x14:formula1>
            <xm:f>項目!C17:$EHK$458753</xm:f>
          </x14:formula1>
          <xm:sqref>EHS458759:EHS458782</xm:sqref>
        </x14:dataValidation>
        <x14:dataValidation type="list" allowBlank="1" showInputMessage="1" showErrorMessage="1" xr:uid="{0521B56D-315B-484C-AC88-0214C6CAE0B0}">
          <x14:formula1>
            <xm:f>項目!C17:$ERG$458753</xm:f>
          </x14:formula1>
          <xm:sqref>ERO458759:ERO458782</xm:sqref>
        </x14:dataValidation>
        <x14:dataValidation type="list" allowBlank="1" showInputMessage="1" showErrorMessage="1" xr:uid="{7FA990A6-C9D2-4767-BD9E-D0580D3379D7}">
          <x14:formula1>
            <xm:f>項目!C17:$FBC$458753</xm:f>
          </x14:formula1>
          <xm:sqref>FBK458759:FBK458782</xm:sqref>
        </x14:dataValidation>
        <x14:dataValidation type="list" allowBlank="1" showInputMessage="1" showErrorMessage="1" xr:uid="{D767934D-7737-4FE6-B128-4462DCF1F95F}">
          <x14:formula1>
            <xm:f>項目!C17:$FKY$458753</xm:f>
          </x14:formula1>
          <xm:sqref>FLG458759:FLG458782</xm:sqref>
        </x14:dataValidation>
        <x14:dataValidation type="list" allowBlank="1" showInputMessage="1" showErrorMessage="1" xr:uid="{58F70F64-F657-4701-8DB7-F284F37007FF}">
          <x14:formula1>
            <xm:f>項目!C17:$FUU$458753</xm:f>
          </x14:formula1>
          <xm:sqref>FVC458759:FVC458782</xm:sqref>
        </x14:dataValidation>
        <x14:dataValidation type="list" allowBlank="1" showInputMessage="1" showErrorMessage="1" xr:uid="{8E728E36-2FA6-4452-8E3C-167F6873600B}">
          <x14:formula1>
            <xm:f>項目!C17:$GEQ$458753</xm:f>
          </x14:formula1>
          <xm:sqref>GEY458759:GEY458782</xm:sqref>
        </x14:dataValidation>
        <x14:dataValidation type="list" allowBlank="1" showInputMessage="1" showErrorMessage="1" xr:uid="{E6E5D1CC-186E-47FE-B309-17A302491CBB}">
          <x14:formula1>
            <xm:f>項目!C17:$GOM$458753</xm:f>
          </x14:formula1>
          <xm:sqref>GOU458759:GOU458782</xm:sqref>
        </x14:dataValidation>
        <x14:dataValidation type="list" allowBlank="1" showInputMessage="1" showErrorMessage="1" xr:uid="{72DE4881-58FE-4B13-A776-97160144B026}">
          <x14:formula1>
            <xm:f>項目!C17:$GYI$458753</xm:f>
          </x14:formula1>
          <xm:sqref>GYQ458759:GYQ458782</xm:sqref>
        </x14:dataValidation>
        <x14:dataValidation type="list" allowBlank="1" showInputMessage="1" showErrorMessage="1" xr:uid="{B5FB55B1-0833-4BF1-9173-F8350E98FBD3}">
          <x14:formula1>
            <xm:f>項目!C17:$HIE$458753</xm:f>
          </x14:formula1>
          <xm:sqref>HIM458759:HIM458782</xm:sqref>
        </x14:dataValidation>
        <x14:dataValidation type="list" allowBlank="1" showInputMessage="1" showErrorMessage="1" xr:uid="{462DEE01-07CF-4D57-8877-B0E3D29A973B}">
          <x14:formula1>
            <xm:f>項目!C17:$HSA$458753</xm:f>
          </x14:formula1>
          <xm:sqref>HSI458759:HSI458782</xm:sqref>
        </x14:dataValidation>
        <x14:dataValidation type="list" allowBlank="1" showInputMessage="1" showErrorMessage="1" xr:uid="{4A4B704F-523E-48CD-8510-34E915A09611}">
          <x14:formula1>
            <xm:f>項目!C17:$IBW$458753</xm:f>
          </x14:formula1>
          <xm:sqref>ICE458759:ICE458782</xm:sqref>
        </x14:dataValidation>
        <x14:dataValidation type="list" allowBlank="1" showInputMessage="1" showErrorMessage="1" xr:uid="{A78848CC-BF22-4B22-BBC5-B87F14C17B35}">
          <x14:formula1>
            <xm:f>項目!C17:$ILS$458753</xm:f>
          </x14:formula1>
          <xm:sqref>IMA458759:IMA458782</xm:sqref>
        </x14:dataValidation>
        <x14:dataValidation type="list" allowBlank="1" showInputMessage="1" showErrorMessage="1" xr:uid="{BF69B910-16CB-4292-AC54-6EC500819DA8}">
          <x14:formula1>
            <xm:f>項目!C17:$IVO$458753</xm:f>
          </x14:formula1>
          <xm:sqref>IVW458759:IVW458782</xm:sqref>
        </x14:dataValidation>
        <x14:dataValidation type="list" allowBlank="1" showInputMessage="1" showErrorMessage="1" xr:uid="{073DB76D-40EA-4DA6-8F86-8C96F772CDE9}">
          <x14:formula1>
            <xm:f>項目!C17:$JFK$458753</xm:f>
          </x14:formula1>
          <xm:sqref>JFS458759:JFS458782</xm:sqref>
        </x14:dataValidation>
        <x14:dataValidation type="list" allowBlank="1" showInputMessage="1" showErrorMessage="1" xr:uid="{D5D20322-B8F3-49B6-ABA8-88392B82E297}">
          <x14:formula1>
            <xm:f>項目!C17:$JPG$458753</xm:f>
          </x14:formula1>
          <xm:sqref>JPO458759:JPO458782</xm:sqref>
        </x14:dataValidation>
        <x14:dataValidation type="list" allowBlank="1" showInputMessage="1" showErrorMessage="1" xr:uid="{5C19EDC0-99C2-4429-864C-62908DA40C2F}">
          <x14:formula1>
            <xm:f>項目!C17:$JZC$458753</xm:f>
          </x14:formula1>
          <xm:sqref>JZK458759:JZK458782</xm:sqref>
        </x14:dataValidation>
        <x14:dataValidation type="list" allowBlank="1" showInputMessage="1" showErrorMessage="1" xr:uid="{BE374456-828A-4807-B7DB-904D0F744636}">
          <x14:formula1>
            <xm:f>項目!C17:$KIY$458753</xm:f>
          </x14:formula1>
          <xm:sqref>KJG458759:KJG458782</xm:sqref>
        </x14:dataValidation>
        <x14:dataValidation type="list" allowBlank="1" showInputMessage="1" showErrorMessage="1" xr:uid="{417F80BB-2DEA-4956-8D50-25CC523FE696}">
          <x14:formula1>
            <xm:f>項目!C17:$KSU$458753</xm:f>
          </x14:formula1>
          <xm:sqref>KTC458759:KTC458782</xm:sqref>
        </x14:dataValidation>
        <x14:dataValidation type="list" allowBlank="1" showInputMessage="1" showErrorMessage="1" xr:uid="{7F84B433-8902-463F-AD7A-327EBD19018D}">
          <x14:formula1>
            <xm:f>項目!C17:$LCQ$458753</xm:f>
          </x14:formula1>
          <xm:sqref>LCY458759:LCY458782</xm:sqref>
        </x14:dataValidation>
        <x14:dataValidation type="list" allowBlank="1" showInputMessage="1" showErrorMessage="1" xr:uid="{5530A64E-9BA1-43A0-A173-BEFAE799E2CC}">
          <x14:formula1>
            <xm:f>項目!C17:$LMM$458753</xm:f>
          </x14:formula1>
          <xm:sqref>LMU458759:LMU458782</xm:sqref>
        </x14:dataValidation>
        <x14:dataValidation type="list" allowBlank="1" showInputMessage="1" showErrorMessage="1" xr:uid="{06DB4850-7257-417B-A116-1AEDB7279166}">
          <x14:formula1>
            <xm:f>項目!C17:$LWI$458753</xm:f>
          </x14:formula1>
          <xm:sqref>LWQ458759:LWQ458782</xm:sqref>
        </x14:dataValidation>
        <x14:dataValidation type="list" allowBlank="1" showInputMessage="1" showErrorMessage="1" xr:uid="{1CF1934F-B125-4419-A491-339AA9038ECC}">
          <x14:formula1>
            <xm:f>項目!C17:$MGE$458753</xm:f>
          </x14:formula1>
          <xm:sqref>MGM458759:MGM458782</xm:sqref>
        </x14:dataValidation>
        <x14:dataValidation type="list" allowBlank="1" showInputMessage="1" showErrorMessage="1" xr:uid="{47F534F7-2662-4CF2-BDF1-ADC1526F337C}">
          <x14:formula1>
            <xm:f>項目!C17:$MQA$458753</xm:f>
          </x14:formula1>
          <xm:sqref>MQI458759:MQI458782</xm:sqref>
        </x14:dataValidation>
        <x14:dataValidation type="list" allowBlank="1" showInputMessage="1" showErrorMessage="1" xr:uid="{7FDCD99E-E730-4691-8E11-E2FBB3C458D2}">
          <x14:formula1>
            <xm:f>項目!C17:$MZW$458753</xm:f>
          </x14:formula1>
          <xm:sqref>NAE458759:NAE458782</xm:sqref>
        </x14:dataValidation>
        <x14:dataValidation type="list" allowBlank="1" showInputMessage="1" showErrorMessage="1" xr:uid="{6FFBD5AB-7090-43E3-8B8A-D36AF644F1A7}">
          <x14:formula1>
            <xm:f>項目!C17:$NJS$458753</xm:f>
          </x14:formula1>
          <xm:sqref>NKA458759:NKA458782</xm:sqref>
        </x14:dataValidation>
        <x14:dataValidation type="list" allowBlank="1" showInputMessage="1" showErrorMessage="1" xr:uid="{A3CE93E7-50BC-4A79-9316-62E091919FFA}">
          <x14:formula1>
            <xm:f>項目!C17:$NTO$458753</xm:f>
          </x14:formula1>
          <xm:sqref>NTW458759:NTW458782</xm:sqref>
        </x14:dataValidation>
        <x14:dataValidation type="list" allowBlank="1" showInputMessage="1" showErrorMessage="1" xr:uid="{8C2FC50B-8FF1-483B-A300-524F7A17D279}">
          <x14:formula1>
            <xm:f>項目!C17:$ODK$458753</xm:f>
          </x14:formula1>
          <xm:sqref>ODS458759:ODS458782</xm:sqref>
        </x14:dataValidation>
        <x14:dataValidation type="list" allowBlank="1" showInputMessage="1" showErrorMessage="1" xr:uid="{775B04A7-6C9B-4E99-B5D3-0F768DA49F98}">
          <x14:formula1>
            <xm:f>項目!C17:$ONG$458753</xm:f>
          </x14:formula1>
          <xm:sqref>ONO458759:ONO458782</xm:sqref>
        </x14:dataValidation>
        <x14:dataValidation type="list" allowBlank="1" showInputMessage="1" showErrorMessage="1" xr:uid="{0335920A-9FA4-4F8D-9E29-A2ED9029E493}">
          <x14:formula1>
            <xm:f>項目!C17:$OXC$458753</xm:f>
          </x14:formula1>
          <xm:sqref>OXK458759:OXK458782</xm:sqref>
        </x14:dataValidation>
        <x14:dataValidation type="list" allowBlank="1" showInputMessage="1" showErrorMessage="1" xr:uid="{E216CB0E-371C-4D26-A8BA-0099100DCAAA}">
          <x14:formula1>
            <xm:f>項目!C17:$PGY$458753</xm:f>
          </x14:formula1>
          <xm:sqref>PHG458759:PHG458782</xm:sqref>
        </x14:dataValidation>
        <x14:dataValidation type="list" allowBlank="1" showInputMessage="1" showErrorMessage="1" xr:uid="{E0BB6E34-7BD8-4A9C-8AA8-252521E50450}">
          <x14:formula1>
            <xm:f>項目!C17:$PQU$458753</xm:f>
          </x14:formula1>
          <xm:sqref>PRC458759:PRC458782</xm:sqref>
        </x14:dataValidation>
        <x14:dataValidation type="list" allowBlank="1" showInputMessage="1" showErrorMessage="1" xr:uid="{11FE4E00-DDB3-4344-A2B3-72FABAC5876C}">
          <x14:formula1>
            <xm:f>項目!C17:$QAQ$458753</xm:f>
          </x14:formula1>
          <xm:sqref>QAY458759:QAY458782</xm:sqref>
        </x14:dataValidation>
        <x14:dataValidation type="list" allowBlank="1" showInputMessage="1" showErrorMessage="1" xr:uid="{22BF3D53-678F-4E22-9969-7FCD1F8F885A}">
          <x14:formula1>
            <xm:f>項目!C17:$QKM$458753</xm:f>
          </x14:formula1>
          <xm:sqref>QKU458759:QKU458782</xm:sqref>
        </x14:dataValidation>
        <x14:dataValidation type="list" allowBlank="1" showInputMessage="1" showErrorMessage="1" xr:uid="{D16A49D9-CB73-4CD1-864D-68097CED5072}">
          <x14:formula1>
            <xm:f>項目!C17:$QUI$458753</xm:f>
          </x14:formula1>
          <xm:sqref>QUQ458759:QUQ458782</xm:sqref>
        </x14:dataValidation>
        <x14:dataValidation type="list" allowBlank="1" showInputMessage="1" showErrorMessage="1" xr:uid="{922839A6-8273-46D5-9464-46C8A7D84CEC}">
          <x14:formula1>
            <xm:f>項目!C17:$REE$458753</xm:f>
          </x14:formula1>
          <xm:sqref>REM458759:REM458782</xm:sqref>
        </x14:dataValidation>
        <x14:dataValidation type="list" allowBlank="1" showInputMessage="1" showErrorMessage="1" xr:uid="{A4ADE60E-30C0-4198-984D-0967B5EE7F22}">
          <x14:formula1>
            <xm:f>項目!C17:$ROA$458753</xm:f>
          </x14:formula1>
          <xm:sqref>ROI458759:ROI458782</xm:sqref>
        </x14:dataValidation>
        <x14:dataValidation type="list" allowBlank="1" showInputMessage="1" showErrorMessage="1" xr:uid="{5CBF5C88-F170-44D1-8987-4267FF61160A}">
          <x14:formula1>
            <xm:f>項目!C17:$RXW$458753</xm:f>
          </x14:formula1>
          <xm:sqref>RYE458759:RYE458782</xm:sqref>
        </x14:dataValidation>
        <x14:dataValidation type="list" allowBlank="1" showInputMessage="1" showErrorMessage="1" xr:uid="{284EE0B6-2B55-4103-B3AA-7BE64A8D11F3}">
          <x14:formula1>
            <xm:f>項目!C17:$SHS$458753</xm:f>
          </x14:formula1>
          <xm:sqref>SIA458759:SIA458782</xm:sqref>
        </x14:dataValidation>
        <x14:dataValidation type="list" allowBlank="1" showInputMessage="1" showErrorMessage="1" xr:uid="{3DBBC0BB-C72D-424F-A761-553901370933}">
          <x14:formula1>
            <xm:f>項目!C17:$SRO$458753</xm:f>
          </x14:formula1>
          <xm:sqref>SRW458759:SRW458782</xm:sqref>
        </x14:dataValidation>
        <x14:dataValidation type="list" allowBlank="1" showInputMessage="1" showErrorMessage="1" xr:uid="{73C47CC1-2095-48DA-BAAA-F39F9C318551}">
          <x14:formula1>
            <xm:f>項目!C17:$TBK$458753</xm:f>
          </x14:formula1>
          <xm:sqref>TBS458759:TBS458782</xm:sqref>
        </x14:dataValidation>
        <x14:dataValidation type="list" allowBlank="1" showInputMessage="1" showErrorMessage="1" xr:uid="{5271CC0B-E37D-4F4E-A5D2-704827AA5545}">
          <x14:formula1>
            <xm:f>項目!C17:$TLG$458753</xm:f>
          </x14:formula1>
          <xm:sqref>TLO458759:TLO458782</xm:sqref>
        </x14:dataValidation>
        <x14:dataValidation type="list" allowBlank="1" showInputMessage="1" showErrorMessage="1" xr:uid="{F0C2C339-C610-4CC7-AC0E-20D16615CC35}">
          <x14:formula1>
            <xm:f>項目!C17:$TVC$458753</xm:f>
          </x14:formula1>
          <xm:sqref>TVK458759:TVK458782</xm:sqref>
        </x14:dataValidation>
        <x14:dataValidation type="list" allowBlank="1" showInputMessage="1" showErrorMessage="1" xr:uid="{F2A527DC-E152-4FF4-B4BA-D3CB3AC32078}">
          <x14:formula1>
            <xm:f>項目!C17:$UEY$458753</xm:f>
          </x14:formula1>
          <xm:sqref>UFG458759:UFG458782</xm:sqref>
        </x14:dataValidation>
        <x14:dataValidation type="list" allowBlank="1" showInputMessage="1" showErrorMessage="1" xr:uid="{DC3DD03E-91D2-43DB-A1AC-E1ECC9AB54CD}">
          <x14:formula1>
            <xm:f>項目!C17:$UOU$458753</xm:f>
          </x14:formula1>
          <xm:sqref>UPC458759:UPC458782</xm:sqref>
        </x14:dataValidation>
        <x14:dataValidation type="list" allowBlank="1" showInputMessage="1" showErrorMessage="1" xr:uid="{E9D7EF0A-33EC-41CD-934F-D59C714B956B}">
          <x14:formula1>
            <xm:f>項目!C17:$UYQ$458753</xm:f>
          </x14:formula1>
          <xm:sqref>UYY458759:UYY458782</xm:sqref>
        </x14:dataValidation>
        <x14:dataValidation type="list" allowBlank="1" showInputMessage="1" showErrorMessage="1" xr:uid="{B89562D7-EE7F-43A2-B207-03A50D507D7E}">
          <x14:formula1>
            <xm:f>項目!C17:$VIM$458753</xm:f>
          </x14:formula1>
          <xm:sqref>VIU458759:VIU458782</xm:sqref>
        </x14:dataValidation>
        <x14:dataValidation type="list" allowBlank="1" showInputMessage="1" showErrorMessage="1" xr:uid="{3562E411-A02C-4F27-9247-22D142849A48}">
          <x14:formula1>
            <xm:f>項目!C17:$VSI$458753</xm:f>
          </x14:formula1>
          <xm:sqref>VSQ458759:VSQ458782</xm:sqref>
        </x14:dataValidation>
        <x14:dataValidation type="list" allowBlank="1" showInputMessage="1" showErrorMessage="1" xr:uid="{A44D58B9-C33A-44AF-8D70-06648091C513}">
          <x14:formula1>
            <xm:f>項目!C17:$WCE$458753</xm:f>
          </x14:formula1>
          <xm:sqref>WCM458759:WCM458782</xm:sqref>
        </x14:dataValidation>
        <x14:dataValidation type="list" allowBlank="1" showInputMessage="1" showErrorMessage="1" xr:uid="{900D299F-71CA-43CF-A63B-F45C30FA95FA}">
          <x14:formula1>
            <xm:f>項目!C17:$WMA$458753</xm:f>
          </x14:formula1>
          <xm:sqref>WMI458759:WMI458782</xm:sqref>
        </x14:dataValidation>
        <x14:dataValidation type="list" allowBlank="1" showInputMessage="1" showErrorMessage="1" xr:uid="{23927465-E41F-47F7-A2CE-8B30F17304B8}">
          <x14:formula1>
            <xm:f>項目!C17:$WVW$458753</xm:f>
          </x14:formula1>
          <xm:sqref>WWE458759:WWE458782</xm:sqref>
        </x14:dataValidation>
        <x14:dataValidation type="list" allowBlank="1" showInputMessage="1" showErrorMessage="1" xr:uid="{8D3808A3-1932-4A44-9213-4E3B4BED7D06}">
          <x14:formula1>
            <xm:f>項目!C17:$P$524289</xm:f>
          </x14:formula1>
          <xm:sqref>W524295:W524318</xm:sqref>
        </x14:dataValidation>
        <x14:dataValidation type="list" allowBlank="1" showInputMessage="1" showErrorMessage="1" xr:uid="{C4F877CA-693D-42C0-91F1-1C85950E320A}">
          <x14:formula1>
            <xm:f>項目!C17:$JK$524289</xm:f>
          </x14:formula1>
          <xm:sqref>JS524295:JS524318</xm:sqref>
        </x14:dataValidation>
        <x14:dataValidation type="list" allowBlank="1" showInputMessage="1" showErrorMessage="1" xr:uid="{43635007-93A0-4C87-A9C4-9311BF99A7DF}">
          <x14:formula1>
            <xm:f>項目!C17:$TG$524289</xm:f>
          </x14:formula1>
          <xm:sqref>TO524295:TO524318</xm:sqref>
        </x14:dataValidation>
        <x14:dataValidation type="list" allowBlank="1" showInputMessage="1" showErrorMessage="1" xr:uid="{722274A2-6938-46E9-B85B-3080B82A0E0E}">
          <x14:formula1>
            <xm:f>項目!C17:$ADC$524289</xm:f>
          </x14:formula1>
          <xm:sqref>ADK524295:ADK524318</xm:sqref>
        </x14:dataValidation>
        <x14:dataValidation type="list" allowBlank="1" showInputMessage="1" showErrorMessage="1" xr:uid="{F0F41E83-E8B6-448F-A56F-19A9F30BFE33}">
          <x14:formula1>
            <xm:f>項目!C17:$AMY$524289</xm:f>
          </x14:formula1>
          <xm:sqref>ANG524295:ANG524318</xm:sqref>
        </x14:dataValidation>
        <x14:dataValidation type="list" allowBlank="1" showInputMessage="1" showErrorMessage="1" xr:uid="{972A4ABD-1990-46C4-AFBF-9C5B21DFF847}">
          <x14:formula1>
            <xm:f>項目!C17:$AWU$524289</xm:f>
          </x14:formula1>
          <xm:sqref>AXC524295:AXC524318</xm:sqref>
        </x14:dataValidation>
        <x14:dataValidation type="list" allowBlank="1" showInputMessage="1" showErrorMessage="1" xr:uid="{A89CD38D-A39E-4F83-A148-27BC341C485E}">
          <x14:formula1>
            <xm:f>項目!C17:$BGQ$524289</xm:f>
          </x14:formula1>
          <xm:sqref>BGY524295:BGY524318</xm:sqref>
        </x14:dataValidation>
        <x14:dataValidation type="list" allowBlank="1" showInputMessage="1" showErrorMessage="1" xr:uid="{FF9C652F-53D4-4378-8B22-8CEB743AC2E4}">
          <x14:formula1>
            <xm:f>項目!C17:$BQM$524289</xm:f>
          </x14:formula1>
          <xm:sqref>BQU524295:BQU524318</xm:sqref>
        </x14:dataValidation>
        <x14:dataValidation type="list" allowBlank="1" showInputMessage="1" showErrorMessage="1" xr:uid="{72971B20-78F0-4659-92B2-B8B0F8F0DC20}">
          <x14:formula1>
            <xm:f>項目!C17:$CAI$524289</xm:f>
          </x14:formula1>
          <xm:sqref>CAQ524295:CAQ524318</xm:sqref>
        </x14:dataValidation>
        <x14:dataValidation type="list" allowBlank="1" showInputMessage="1" showErrorMessage="1" xr:uid="{B103A861-04BD-4F76-A561-B7D8B0CCDE19}">
          <x14:formula1>
            <xm:f>項目!C17:$CKE$524289</xm:f>
          </x14:formula1>
          <xm:sqref>CKM524295:CKM524318</xm:sqref>
        </x14:dataValidation>
        <x14:dataValidation type="list" allowBlank="1" showInputMessage="1" showErrorMessage="1" xr:uid="{30B28955-C9FE-4D73-8AE5-2C95E1678158}">
          <x14:formula1>
            <xm:f>項目!C17:$CUA$524289</xm:f>
          </x14:formula1>
          <xm:sqref>CUI524295:CUI524318</xm:sqref>
        </x14:dataValidation>
        <x14:dataValidation type="list" allowBlank="1" showInputMessage="1" showErrorMessage="1" xr:uid="{315FC5DA-B99C-4CF5-B001-DFC054B06C7C}">
          <x14:formula1>
            <xm:f>項目!C17:$DDW$524289</xm:f>
          </x14:formula1>
          <xm:sqref>DEE524295:DEE524318</xm:sqref>
        </x14:dataValidation>
        <x14:dataValidation type="list" allowBlank="1" showInputMessage="1" showErrorMessage="1" xr:uid="{381EB396-73A0-45F3-AC22-D114D7E68A92}">
          <x14:formula1>
            <xm:f>項目!C17:$DNS$524289</xm:f>
          </x14:formula1>
          <xm:sqref>DOA524295:DOA524318</xm:sqref>
        </x14:dataValidation>
        <x14:dataValidation type="list" allowBlank="1" showInputMessage="1" showErrorMessage="1" xr:uid="{778E96F4-50F9-4101-A1BD-F4CE1A970E01}">
          <x14:formula1>
            <xm:f>項目!C17:$DXO$524289</xm:f>
          </x14:formula1>
          <xm:sqref>DXW524295:DXW524318</xm:sqref>
        </x14:dataValidation>
        <x14:dataValidation type="list" allowBlank="1" showInputMessage="1" showErrorMessage="1" xr:uid="{894C4D67-515C-49A8-B8BD-F14DB55C3897}">
          <x14:formula1>
            <xm:f>項目!C17:$EHK$524289</xm:f>
          </x14:formula1>
          <xm:sqref>EHS524295:EHS524318</xm:sqref>
        </x14:dataValidation>
        <x14:dataValidation type="list" allowBlank="1" showInputMessage="1" showErrorMessage="1" xr:uid="{46001F20-7A34-4AC4-A553-26FEF14A2433}">
          <x14:formula1>
            <xm:f>項目!C17:$ERG$524289</xm:f>
          </x14:formula1>
          <xm:sqref>ERO524295:ERO524318</xm:sqref>
        </x14:dataValidation>
        <x14:dataValidation type="list" allowBlank="1" showInputMessage="1" showErrorMessage="1" xr:uid="{F8C83FA6-8276-45D9-B97C-77A668A74A74}">
          <x14:formula1>
            <xm:f>項目!C17:$FBC$524289</xm:f>
          </x14:formula1>
          <xm:sqref>FBK524295:FBK524318</xm:sqref>
        </x14:dataValidation>
        <x14:dataValidation type="list" allowBlank="1" showInputMessage="1" showErrorMessage="1" xr:uid="{954CCF9D-66A6-4295-8EB1-E922338FEB02}">
          <x14:formula1>
            <xm:f>項目!C17:$FKY$524289</xm:f>
          </x14:formula1>
          <xm:sqref>FLG524295:FLG524318</xm:sqref>
        </x14:dataValidation>
        <x14:dataValidation type="list" allowBlank="1" showInputMessage="1" showErrorMessage="1" xr:uid="{054C1895-C29B-4771-AE23-442552AF18EB}">
          <x14:formula1>
            <xm:f>項目!C17:$FUU$524289</xm:f>
          </x14:formula1>
          <xm:sqref>FVC524295:FVC524318</xm:sqref>
        </x14:dataValidation>
        <x14:dataValidation type="list" allowBlank="1" showInputMessage="1" showErrorMessage="1" xr:uid="{66794CC2-BB33-45A2-8D3B-C7E676083465}">
          <x14:formula1>
            <xm:f>項目!C17:$GEQ$524289</xm:f>
          </x14:formula1>
          <xm:sqref>GEY524295:GEY524318</xm:sqref>
        </x14:dataValidation>
        <x14:dataValidation type="list" allowBlank="1" showInputMessage="1" showErrorMessage="1" xr:uid="{0CAE9A45-9227-46CC-8212-3B11F8C6E4D0}">
          <x14:formula1>
            <xm:f>項目!C17:$GOM$524289</xm:f>
          </x14:formula1>
          <xm:sqref>GOU524295:GOU524318</xm:sqref>
        </x14:dataValidation>
        <x14:dataValidation type="list" allowBlank="1" showInputMessage="1" showErrorMessage="1" xr:uid="{94ADCC23-3BE7-416F-9D33-BA443B5474CD}">
          <x14:formula1>
            <xm:f>項目!C17:$GYI$524289</xm:f>
          </x14:formula1>
          <xm:sqref>GYQ524295:GYQ524318</xm:sqref>
        </x14:dataValidation>
        <x14:dataValidation type="list" allowBlank="1" showInputMessage="1" showErrorMessage="1" xr:uid="{8E6E415B-A078-4955-9FB6-5120FAE354DF}">
          <x14:formula1>
            <xm:f>項目!C17:$HIE$524289</xm:f>
          </x14:formula1>
          <xm:sqref>HIM524295:HIM524318</xm:sqref>
        </x14:dataValidation>
        <x14:dataValidation type="list" allowBlank="1" showInputMessage="1" showErrorMessage="1" xr:uid="{E6C7AF85-6EEC-4A41-9ECF-9ECFBF6D926E}">
          <x14:formula1>
            <xm:f>項目!C17:$HSA$524289</xm:f>
          </x14:formula1>
          <xm:sqref>HSI524295:HSI524318</xm:sqref>
        </x14:dataValidation>
        <x14:dataValidation type="list" allowBlank="1" showInputMessage="1" showErrorMessage="1" xr:uid="{340D4A72-4542-4511-BC37-908D50100AE0}">
          <x14:formula1>
            <xm:f>項目!C17:$IBW$524289</xm:f>
          </x14:formula1>
          <xm:sqref>ICE524295:ICE524318</xm:sqref>
        </x14:dataValidation>
        <x14:dataValidation type="list" allowBlank="1" showInputMessage="1" showErrorMessage="1" xr:uid="{99C421A6-479A-4F37-B779-46DDB701FF31}">
          <x14:formula1>
            <xm:f>項目!C17:$ILS$524289</xm:f>
          </x14:formula1>
          <xm:sqref>IMA524295:IMA524318</xm:sqref>
        </x14:dataValidation>
        <x14:dataValidation type="list" allowBlank="1" showInputMessage="1" showErrorMessage="1" xr:uid="{61B82899-2F10-4089-8D79-BDB05518CCC8}">
          <x14:formula1>
            <xm:f>項目!C17:$IVO$524289</xm:f>
          </x14:formula1>
          <xm:sqref>IVW524295:IVW524318</xm:sqref>
        </x14:dataValidation>
        <x14:dataValidation type="list" allowBlank="1" showInputMessage="1" showErrorMessage="1" xr:uid="{13FA1A09-2833-41CE-96E2-0213E00932C8}">
          <x14:formula1>
            <xm:f>項目!C17:$JFK$524289</xm:f>
          </x14:formula1>
          <xm:sqref>JFS524295:JFS524318</xm:sqref>
        </x14:dataValidation>
        <x14:dataValidation type="list" allowBlank="1" showInputMessage="1" showErrorMessage="1" xr:uid="{D1EF3E92-2380-4B9E-A4A5-5164DC77D13D}">
          <x14:formula1>
            <xm:f>項目!C17:$JPG$524289</xm:f>
          </x14:formula1>
          <xm:sqref>JPO524295:JPO524318</xm:sqref>
        </x14:dataValidation>
        <x14:dataValidation type="list" allowBlank="1" showInputMessage="1" showErrorMessage="1" xr:uid="{DFA800BD-644B-43CB-A358-BC6B8CDE9227}">
          <x14:formula1>
            <xm:f>項目!C17:$JZC$524289</xm:f>
          </x14:formula1>
          <xm:sqref>JZK524295:JZK524318</xm:sqref>
        </x14:dataValidation>
        <x14:dataValidation type="list" allowBlank="1" showInputMessage="1" showErrorMessage="1" xr:uid="{32ACE9F6-BCF7-4D98-B17E-B399B58BA023}">
          <x14:formula1>
            <xm:f>項目!C17:$KIY$524289</xm:f>
          </x14:formula1>
          <xm:sqref>KJG524295:KJG524318</xm:sqref>
        </x14:dataValidation>
        <x14:dataValidation type="list" allowBlank="1" showInputMessage="1" showErrorMessage="1" xr:uid="{497DD656-2097-4357-BDE3-5DA213397D20}">
          <x14:formula1>
            <xm:f>項目!C17:$KSU$524289</xm:f>
          </x14:formula1>
          <xm:sqref>KTC524295:KTC524318</xm:sqref>
        </x14:dataValidation>
        <x14:dataValidation type="list" allowBlank="1" showInputMessage="1" showErrorMessage="1" xr:uid="{F4DE30EE-A983-4815-9D6B-133F05EF6012}">
          <x14:formula1>
            <xm:f>項目!C17:$LCQ$524289</xm:f>
          </x14:formula1>
          <xm:sqref>LCY524295:LCY524318</xm:sqref>
        </x14:dataValidation>
        <x14:dataValidation type="list" allowBlank="1" showInputMessage="1" showErrorMessage="1" xr:uid="{D69304AC-6DFF-4A89-BCBA-51F81C423E66}">
          <x14:formula1>
            <xm:f>項目!C17:$LMM$524289</xm:f>
          </x14:formula1>
          <xm:sqref>LMU524295:LMU524318</xm:sqref>
        </x14:dataValidation>
        <x14:dataValidation type="list" allowBlank="1" showInputMessage="1" showErrorMessage="1" xr:uid="{46E93453-35DB-4262-AAE6-085489C71477}">
          <x14:formula1>
            <xm:f>項目!C17:$LWI$524289</xm:f>
          </x14:formula1>
          <xm:sqref>LWQ524295:LWQ524318</xm:sqref>
        </x14:dataValidation>
        <x14:dataValidation type="list" allowBlank="1" showInputMessage="1" showErrorMessage="1" xr:uid="{8E866BF3-A61C-46AC-BFDA-A3D1112DB1E7}">
          <x14:formula1>
            <xm:f>項目!C17:$MGE$524289</xm:f>
          </x14:formula1>
          <xm:sqref>MGM524295:MGM524318</xm:sqref>
        </x14:dataValidation>
        <x14:dataValidation type="list" allowBlank="1" showInputMessage="1" showErrorMessage="1" xr:uid="{0D373CAB-2331-4D94-8FB7-4FEA8C26F9E0}">
          <x14:formula1>
            <xm:f>項目!C17:$MQA$524289</xm:f>
          </x14:formula1>
          <xm:sqref>MQI524295:MQI524318</xm:sqref>
        </x14:dataValidation>
        <x14:dataValidation type="list" allowBlank="1" showInputMessage="1" showErrorMessage="1" xr:uid="{B7AA3393-BDE2-47B1-B87B-9DDE0599C25F}">
          <x14:formula1>
            <xm:f>項目!C17:$MZW$524289</xm:f>
          </x14:formula1>
          <xm:sqref>NAE524295:NAE524318</xm:sqref>
        </x14:dataValidation>
        <x14:dataValidation type="list" allowBlank="1" showInputMessage="1" showErrorMessage="1" xr:uid="{1911F971-5E88-411E-B498-BAE7615D9F66}">
          <x14:formula1>
            <xm:f>項目!C17:$NJS$524289</xm:f>
          </x14:formula1>
          <xm:sqref>NKA524295:NKA524318</xm:sqref>
        </x14:dataValidation>
        <x14:dataValidation type="list" allowBlank="1" showInputMessage="1" showErrorMessage="1" xr:uid="{302B455C-5370-40EA-9CA7-936BE00A29D8}">
          <x14:formula1>
            <xm:f>項目!C17:$NTO$524289</xm:f>
          </x14:formula1>
          <xm:sqref>NTW524295:NTW524318</xm:sqref>
        </x14:dataValidation>
        <x14:dataValidation type="list" allowBlank="1" showInputMessage="1" showErrorMessage="1" xr:uid="{441138A7-51F4-4406-8115-0ADA8977EE67}">
          <x14:formula1>
            <xm:f>項目!C17:$ODK$524289</xm:f>
          </x14:formula1>
          <xm:sqref>ODS524295:ODS524318</xm:sqref>
        </x14:dataValidation>
        <x14:dataValidation type="list" allowBlank="1" showInputMessage="1" showErrorMessage="1" xr:uid="{1C00F468-52AC-47D9-B86C-658DAAA3794C}">
          <x14:formula1>
            <xm:f>項目!C17:$ONG$524289</xm:f>
          </x14:formula1>
          <xm:sqref>ONO524295:ONO524318</xm:sqref>
        </x14:dataValidation>
        <x14:dataValidation type="list" allowBlank="1" showInputMessage="1" showErrorMessage="1" xr:uid="{2D7931B1-DE8D-4807-A631-D15CFDF7D76C}">
          <x14:formula1>
            <xm:f>項目!C17:$OXC$524289</xm:f>
          </x14:formula1>
          <xm:sqref>OXK524295:OXK524318</xm:sqref>
        </x14:dataValidation>
        <x14:dataValidation type="list" allowBlank="1" showInputMessage="1" showErrorMessage="1" xr:uid="{0A294453-361D-4A6F-9312-475E23CDD43C}">
          <x14:formula1>
            <xm:f>項目!C17:$PGY$524289</xm:f>
          </x14:formula1>
          <xm:sqref>PHG524295:PHG524318</xm:sqref>
        </x14:dataValidation>
        <x14:dataValidation type="list" allowBlank="1" showInputMessage="1" showErrorMessage="1" xr:uid="{87EA33DA-C4FC-472C-9BE3-1170BC50D2F4}">
          <x14:formula1>
            <xm:f>項目!C17:$PQU$524289</xm:f>
          </x14:formula1>
          <xm:sqref>PRC524295:PRC524318</xm:sqref>
        </x14:dataValidation>
        <x14:dataValidation type="list" allowBlank="1" showInputMessage="1" showErrorMessage="1" xr:uid="{5BA72726-264F-4713-8F33-36C2C8BCF027}">
          <x14:formula1>
            <xm:f>項目!C17:$QAQ$524289</xm:f>
          </x14:formula1>
          <xm:sqref>QAY524295:QAY524318</xm:sqref>
        </x14:dataValidation>
        <x14:dataValidation type="list" allowBlank="1" showInputMessage="1" showErrorMessage="1" xr:uid="{C2146AC2-DDCC-4632-9B77-2BA338EB0F40}">
          <x14:formula1>
            <xm:f>項目!C17:$QKM$524289</xm:f>
          </x14:formula1>
          <xm:sqref>QKU524295:QKU524318</xm:sqref>
        </x14:dataValidation>
        <x14:dataValidation type="list" allowBlank="1" showInputMessage="1" showErrorMessage="1" xr:uid="{2A15405A-5667-441C-90BE-B189B249C2D9}">
          <x14:formula1>
            <xm:f>項目!C17:$QUI$524289</xm:f>
          </x14:formula1>
          <xm:sqref>QUQ524295:QUQ524318</xm:sqref>
        </x14:dataValidation>
        <x14:dataValidation type="list" allowBlank="1" showInputMessage="1" showErrorMessage="1" xr:uid="{D6E4C56E-7755-4AAF-8C5D-128A50E1CDBC}">
          <x14:formula1>
            <xm:f>項目!C17:$REE$524289</xm:f>
          </x14:formula1>
          <xm:sqref>REM524295:REM524318</xm:sqref>
        </x14:dataValidation>
        <x14:dataValidation type="list" allowBlank="1" showInputMessage="1" showErrorMessage="1" xr:uid="{BCE32A3A-62A0-4199-86CF-ED7A1521058F}">
          <x14:formula1>
            <xm:f>項目!C17:$ROA$524289</xm:f>
          </x14:formula1>
          <xm:sqref>ROI524295:ROI524318</xm:sqref>
        </x14:dataValidation>
        <x14:dataValidation type="list" allowBlank="1" showInputMessage="1" showErrorMessage="1" xr:uid="{D32EABCF-42F6-4288-BB9B-7FBE6F0CB21E}">
          <x14:formula1>
            <xm:f>項目!C17:$RXW$524289</xm:f>
          </x14:formula1>
          <xm:sqref>RYE524295:RYE524318</xm:sqref>
        </x14:dataValidation>
        <x14:dataValidation type="list" allowBlank="1" showInputMessage="1" showErrorMessage="1" xr:uid="{087F44E2-F63B-4657-87B6-FA2782F6A562}">
          <x14:formula1>
            <xm:f>項目!C17:$SHS$524289</xm:f>
          </x14:formula1>
          <xm:sqref>SIA524295:SIA524318</xm:sqref>
        </x14:dataValidation>
        <x14:dataValidation type="list" allowBlank="1" showInputMessage="1" showErrorMessage="1" xr:uid="{2A9F5350-D5BC-43AE-8624-6F00886A9856}">
          <x14:formula1>
            <xm:f>項目!C17:$SRO$524289</xm:f>
          </x14:formula1>
          <xm:sqref>SRW524295:SRW524318</xm:sqref>
        </x14:dataValidation>
        <x14:dataValidation type="list" allowBlank="1" showInputMessage="1" showErrorMessage="1" xr:uid="{CEE0B5DD-D79D-4CB7-A322-01FEB70099CC}">
          <x14:formula1>
            <xm:f>項目!C17:$TBK$524289</xm:f>
          </x14:formula1>
          <xm:sqref>TBS524295:TBS524318</xm:sqref>
        </x14:dataValidation>
        <x14:dataValidation type="list" allowBlank="1" showInputMessage="1" showErrorMessage="1" xr:uid="{820D122A-7387-448E-A579-1D14B11A9831}">
          <x14:formula1>
            <xm:f>項目!C17:$TLG$524289</xm:f>
          </x14:formula1>
          <xm:sqref>TLO524295:TLO524318</xm:sqref>
        </x14:dataValidation>
        <x14:dataValidation type="list" allowBlank="1" showInputMessage="1" showErrorMessage="1" xr:uid="{51A13672-E4E2-45A8-B1F1-6F415FAD3911}">
          <x14:formula1>
            <xm:f>項目!C17:$TVC$524289</xm:f>
          </x14:formula1>
          <xm:sqref>TVK524295:TVK524318</xm:sqref>
        </x14:dataValidation>
        <x14:dataValidation type="list" allowBlank="1" showInputMessage="1" showErrorMessage="1" xr:uid="{C24A8205-80AA-4859-9A34-845DD0DC012D}">
          <x14:formula1>
            <xm:f>項目!C17:$UEY$524289</xm:f>
          </x14:formula1>
          <xm:sqref>UFG524295:UFG524318</xm:sqref>
        </x14:dataValidation>
        <x14:dataValidation type="list" allowBlank="1" showInputMessage="1" showErrorMessage="1" xr:uid="{147DDF0E-EEA1-454F-855E-FC6DBE47A5F1}">
          <x14:formula1>
            <xm:f>項目!C17:$UOU$524289</xm:f>
          </x14:formula1>
          <xm:sqref>UPC524295:UPC524318</xm:sqref>
        </x14:dataValidation>
        <x14:dataValidation type="list" allowBlank="1" showInputMessage="1" showErrorMessage="1" xr:uid="{724EAD65-805F-4795-9CE4-DCEAA0355642}">
          <x14:formula1>
            <xm:f>項目!C17:$UYQ$524289</xm:f>
          </x14:formula1>
          <xm:sqref>UYY524295:UYY524318</xm:sqref>
        </x14:dataValidation>
        <x14:dataValidation type="list" allowBlank="1" showInputMessage="1" showErrorMessage="1" xr:uid="{32A58459-CC07-4BCF-99B5-F358CD284E8B}">
          <x14:formula1>
            <xm:f>項目!C17:$VIM$524289</xm:f>
          </x14:formula1>
          <xm:sqref>VIU524295:VIU524318</xm:sqref>
        </x14:dataValidation>
        <x14:dataValidation type="list" allowBlank="1" showInputMessage="1" showErrorMessage="1" xr:uid="{8517B704-A4DE-4B5D-BB41-14805B660F29}">
          <x14:formula1>
            <xm:f>項目!C17:$VSI$524289</xm:f>
          </x14:formula1>
          <xm:sqref>VSQ524295:VSQ524318</xm:sqref>
        </x14:dataValidation>
        <x14:dataValidation type="list" allowBlank="1" showInputMessage="1" showErrorMessage="1" xr:uid="{911E1F85-A3BA-4A0C-A4A0-9C12003E2D9C}">
          <x14:formula1>
            <xm:f>項目!C17:$WCE$524289</xm:f>
          </x14:formula1>
          <xm:sqref>WCM524295:WCM524318</xm:sqref>
        </x14:dataValidation>
        <x14:dataValidation type="list" allowBlank="1" showInputMessage="1" showErrorMessage="1" xr:uid="{EAFEB452-EA3A-42D7-8416-8F2614ABAA97}">
          <x14:formula1>
            <xm:f>項目!C17:$WMA$524289</xm:f>
          </x14:formula1>
          <xm:sqref>WMI524295:WMI524318</xm:sqref>
        </x14:dataValidation>
        <x14:dataValidation type="list" allowBlank="1" showInputMessage="1" showErrorMessage="1" xr:uid="{B3689575-62F4-41F8-BAD5-9337A8852EE8}">
          <x14:formula1>
            <xm:f>項目!C17:$WVW$524289</xm:f>
          </x14:formula1>
          <xm:sqref>WWE524295:WWE524318</xm:sqref>
        </x14:dataValidation>
        <x14:dataValidation type="list" allowBlank="1" showInputMessage="1" showErrorMessage="1" xr:uid="{C5212AA6-DD43-46F0-ABBC-BF4F705EF3BF}">
          <x14:formula1>
            <xm:f>項目!C17:$P$589825</xm:f>
          </x14:formula1>
          <xm:sqref>W589831:W589854</xm:sqref>
        </x14:dataValidation>
        <x14:dataValidation type="list" allowBlank="1" showInputMessage="1" showErrorMessage="1" xr:uid="{CCD30511-26FE-4114-BFE0-69EE798CDAF0}">
          <x14:formula1>
            <xm:f>項目!C17:$JK$589825</xm:f>
          </x14:formula1>
          <xm:sqref>JS589831:JS589854</xm:sqref>
        </x14:dataValidation>
        <x14:dataValidation type="list" allowBlank="1" showInputMessage="1" showErrorMessage="1" xr:uid="{342B91DD-2B64-48B3-BFBC-B7E3D2918C99}">
          <x14:formula1>
            <xm:f>項目!C17:$TG$589825</xm:f>
          </x14:formula1>
          <xm:sqref>TO589831:TO589854</xm:sqref>
        </x14:dataValidation>
        <x14:dataValidation type="list" allowBlank="1" showInputMessage="1" showErrorMessage="1" xr:uid="{B63F8B7E-06D5-4247-8F71-68BF077929F1}">
          <x14:formula1>
            <xm:f>項目!C17:$ADC$589825</xm:f>
          </x14:formula1>
          <xm:sqref>ADK589831:ADK589854</xm:sqref>
        </x14:dataValidation>
        <x14:dataValidation type="list" allowBlank="1" showInputMessage="1" showErrorMessage="1" xr:uid="{DC75EB62-C2E2-4029-8A12-8363899F70CE}">
          <x14:formula1>
            <xm:f>項目!C17:$AMY$589825</xm:f>
          </x14:formula1>
          <xm:sqref>ANG589831:ANG589854</xm:sqref>
        </x14:dataValidation>
        <x14:dataValidation type="list" allowBlank="1" showInputMessage="1" showErrorMessage="1" xr:uid="{3692D4E5-E8B3-4238-9303-D9CE94BCCAAA}">
          <x14:formula1>
            <xm:f>項目!C17:$AWU$589825</xm:f>
          </x14:formula1>
          <xm:sqref>AXC589831:AXC589854</xm:sqref>
        </x14:dataValidation>
        <x14:dataValidation type="list" allowBlank="1" showInputMessage="1" showErrorMessage="1" xr:uid="{1DC14987-5A2B-4002-9201-DF016FB92C20}">
          <x14:formula1>
            <xm:f>項目!C17:$BGQ$589825</xm:f>
          </x14:formula1>
          <xm:sqref>BGY589831:BGY589854</xm:sqref>
        </x14:dataValidation>
        <x14:dataValidation type="list" allowBlank="1" showInputMessage="1" showErrorMessage="1" xr:uid="{8D2028C0-90A7-4DEE-A2FF-C01835E91436}">
          <x14:formula1>
            <xm:f>項目!C17:$BQM$589825</xm:f>
          </x14:formula1>
          <xm:sqref>BQU589831:BQU589854</xm:sqref>
        </x14:dataValidation>
        <x14:dataValidation type="list" allowBlank="1" showInputMessage="1" showErrorMessage="1" xr:uid="{F5FA38A0-2A52-4A3A-8B2C-243902858D1F}">
          <x14:formula1>
            <xm:f>項目!C17:$CAI$589825</xm:f>
          </x14:formula1>
          <xm:sqref>CAQ589831:CAQ589854</xm:sqref>
        </x14:dataValidation>
        <x14:dataValidation type="list" allowBlank="1" showInputMessage="1" showErrorMessage="1" xr:uid="{E20F9660-BD1E-4C41-8EEB-921A2ECE97D6}">
          <x14:formula1>
            <xm:f>項目!C17:$CKE$589825</xm:f>
          </x14:formula1>
          <xm:sqref>CKM589831:CKM589854</xm:sqref>
        </x14:dataValidation>
        <x14:dataValidation type="list" allowBlank="1" showInputMessage="1" showErrorMessage="1" xr:uid="{3F23AC2F-17AB-4D94-8F1B-F2F522B0C8C6}">
          <x14:formula1>
            <xm:f>項目!C17:$CUA$589825</xm:f>
          </x14:formula1>
          <xm:sqref>CUI589831:CUI589854</xm:sqref>
        </x14:dataValidation>
        <x14:dataValidation type="list" allowBlank="1" showInputMessage="1" showErrorMessage="1" xr:uid="{CEEAA67B-D4ED-4A61-B920-0A3DF40A77CC}">
          <x14:formula1>
            <xm:f>項目!C17:$DDW$589825</xm:f>
          </x14:formula1>
          <xm:sqref>DEE589831:DEE589854</xm:sqref>
        </x14:dataValidation>
        <x14:dataValidation type="list" allowBlank="1" showInputMessage="1" showErrorMessage="1" xr:uid="{480A54A8-07C4-46B3-A1A1-E0C14A9670D9}">
          <x14:formula1>
            <xm:f>項目!C17:$DNS$589825</xm:f>
          </x14:formula1>
          <xm:sqref>DOA589831:DOA589854</xm:sqref>
        </x14:dataValidation>
        <x14:dataValidation type="list" allowBlank="1" showInputMessage="1" showErrorMessage="1" xr:uid="{B72EC058-0C39-413E-990B-CC439F095D19}">
          <x14:formula1>
            <xm:f>項目!C17:$DXO$589825</xm:f>
          </x14:formula1>
          <xm:sqref>DXW589831:DXW589854</xm:sqref>
        </x14:dataValidation>
        <x14:dataValidation type="list" allowBlank="1" showInputMessage="1" showErrorMessage="1" xr:uid="{68025B91-E0EA-470E-A4F9-67325E43A2E3}">
          <x14:formula1>
            <xm:f>項目!C17:$EHK$589825</xm:f>
          </x14:formula1>
          <xm:sqref>EHS589831:EHS589854</xm:sqref>
        </x14:dataValidation>
        <x14:dataValidation type="list" allowBlank="1" showInputMessage="1" showErrorMessage="1" xr:uid="{A3588781-7E75-4E47-92D4-B156D0B28528}">
          <x14:formula1>
            <xm:f>項目!C17:$ERG$589825</xm:f>
          </x14:formula1>
          <xm:sqref>ERO589831:ERO589854</xm:sqref>
        </x14:dataValidation>
        <x14:dataValidation type="list" allowBlank="1" showInputMessage="1" showErrorMessage="1" xr:uid="{3EEE55AC-A846-4D2D-B118-8A57BE3AA8D4}">
          <x14:formula1>
            <xm:f>項目!C17:$FBC$589825</xm:f>
          </x14:formula1>
          <xm:sqref>FBK589831:FBK589854</xm:sqref>
        </x14:dataValidation>
        <x14:dataValidation type="list" allowBlank="1" showInputMessage="1" showErrorMessage="1" xr:uid="{F48E952E-5E7B-4439-9F64-8FC8049BA12D}">
          <x14:formula1>
            <xm:f>項目!C17:$FKY$589825</xm:f>
          </x14:formula1>
          <xm:sqref>FLG589831:FLG589854</xm:sqref>
        </x14:dataValidation>
        <x14:dataValidation type="list" allowBlank="1" showInputMessage="1" showErrorMessage="1" xr:uid="{00167423-A84E-408C-BE3F-E463D96A540A}">
          <x14:formula1>
            <xm:f>項目!C17:$FUU$589825</xm:f>
          </x14:formula1>
          <xm:sqref>FVC589831:FVC589854</xm:sqref>
        </x14:dataValidation>
        <x14:dataValidation type="list" allowBlank="1" showInputMessage="1" showErrorMessage="1" xr:uid="{CA6A4ECA-4DA8-4C8A-A2D0-0D6323F671B8}">
          <x14:formula1>
            <xm:f>項目!C17:$GEQ$589825</xm:f>
          </x14:formula1>
          <xm:sqref>GEY589831:GEY589854</xm:sqref>
        </x14:dataValidation>
        <x14:dataValidation type="list" allowBlank="1" showInputMessage="1" showErrorMessage="1" xr:uid="{91E02301-9DBE-4E9A-BE72-FDE330354C2A}">
          <x14:formula1>
            <xm:f>項目!C17:$GOM$589825</xm:f>
          </x14:formula1>
          <xm:sqref>GOU589831:GOU589854</xm:sqref>
        </x14:dataValidation>
        <x14:dataValidation type="list" allowBlank="1" showInputMessage="1" showErrorMessage="1" xr:uid="{1EA241CB-63F2-4787-80DC-E74EBF45C85F}">
          <x14:formula1>
            <xm:f>項目!C17:$GYI$589825</xm:f>
          </x14:formula1>
          <xm:sqref>GYQ589831:GYQ589854</xm:sqref>
        </x14:dataValidation>
        <x14:dataValidation type="list" allowBlank="1" showInputMessage="1" showErrorMessage="1" xr:uid="{DC0F17CC-671B-49E3-A06E-51BB6E600748}">
          <x14:formula1>
            <xm:f>項目!C17:$HIE$589825</xm:f>
          </x14:formula1>
          <xm:sqref>HIM589831:HIM589854</xm:sqref>
        </x14:dataValidation>
        <x14:dataValidation type="list" allowBlank="1" showInputMessage="1" showErrorMessage="1" xr:uid="{AD3B14BC-9981-4AC0-B75D-4DAA57BDE36F}">
          <x14:formula1>
            <xm:f>項目!C17:$HSA$589825</xm:f>
          </x14:formula1>
          <xm:sqref>HSI589831:HSI589854</xm:sqref>
        </x14:dataValidation>
        <x14:dataValidation type="list" allowBlank="1" showInputMessage="1" showErrorMessage="1" xr:uid="{28526DB9-AE98-4CF5-A5DA-B41F24740D35}">
          <x14:formula1>
            <xm:f>項目!C17:$IBW$589825</xm:f>
          </x14:formula1>
          <xm:sqref>ICE589831:ICE589854</xm:sqref>
        </x14:dataValidation>
        <x14:dataValidation type="list" allowBlank="1" showInputMessage="1" showErrorMessage="1" xr:uid="{0830F51A-8BED-4CED-869F-53D45B23475B}">
          <x14:formula1>
            <xm:f>項目!C17:$ILS$589825</xm:f>
          </x14:formula1>
          <xm:sqref>IMA589831:IMA589854</xm:sqref>
        </x14:dataValidation>
        <x14:dataValidation type="list" allowBlank="1" showInputMessage="1" showErrorMessage="1" xr:uid="{87BB9BE9-CB69-4357-9AE3-C6C84683B6C1}">
          <x14:formula1>
            <xm:f>項目!C17:$IVO$589825</xm:f>
          </x14:formula1>
          <xm:sqref>IVW589831:IVW589854</xm:sqref>
        </x14:dataValidation>
        <x14:dataValidation type="list" allowBlank="1" showInputMessage="1" showErrorMessage="1" xr:uid="{CB31354D-7B96-455B-81CF-B2CD4E3C6444}">
          <x14:formula1>
            <xm:f>項目!C17:$JFK$589825</xm:f>
          </x14:formula1>
          <xm:sqref>JFS589831:JFS589854</xm:sqref>
        </x14:dataValidation>
        <x14:dataValidation type="list" allowBlank="1" showInputMessage="1" showErrorMessage="1" xr:uid="{47255048-0AB4-4BD7-8719-3ECA58EB9680}">
          <x14:formula1>
            <xm:f>項目!C17:$JPG$589825</xm:f>
          </x14:formula1>
          <xm:sqref>JPO589831:JPO589854</xm:sqref>
        </x14:dataValidation>
        <x14:dataValidation type="list" allowBlank="1" showInputMessage="1" showErrorMessage="1" xr:uid="{CE41CA73-9E50-447C-8901-434B6EADE886}">
          <x14:formula1>
            <xm:f>項目!C17:$JZC$589825</xm:f>
          </x14:formula1>
          <xm:sqref>JZK589831:JZK589854</xm:sqref>
        </x14:dataValidation>
        <x14:dataValidation type="list" allowBlank="1" showInputMessage="1" showErrorMessage="1" xr:uid="{0A8F39A8-D95F-4B2E-86ED-998131A8760E}">
          <x14:formula1>
            <xm:f>項目!C17:$KIY$589825</xm:f>
          </x14:formula1>
          <xm:sqref>KJG589831:KJG589854</xm:sqref>
        </x14:dataValidation>
        <x14:dataValidation type="list" allowBlank="1" showInputMessage="1" showErrorMessage="1" xr:uid="{76EE30C8-1ADB-482F-A82B-807B3E3C6C1E}">
          <x14:formula1>
            <xm:f>項目!C17:$KSU$589825</xm:f>
          </x14:formula1>
          <xm:sqref>KTC589831:KTC589854</xm:sqref>
        </x14:dataValidation>
        <x14:dataValidation type="list" allowBlank="1" showInputMessage="1" showErrorMessage="1" xr:uid="{0C1D77C2-4EDB-45A3-9A84-0D0F93AC04B5}">
          <x14:formula1>
            <xm:f>項目!C17:$LCQ$589825</xm:f>
          </x14:formula1>
          <xm:sqref>LCY589831:LCY589854</xm:sqref>
        </x14:dataValidation>
        <x14:dataValidation type="list" allowBlank="1" showInputMessage="1" showErrorMessage="1" xr:uid="{427E0BC7-6D30-46E5-A885-44E06488A4D6}">
          <x14:formula1>
            <xm:f>項目!C17:$LMM$589825</xm:f>
          </x14:formula1>
          <xm:sqref>LMU589831:LMU589854</xm:sqref>
        </x14:dataValidation>
        <x14:dataValidation type="list" allowBlank="1" showInputMessage="1" showErrorMessage="1" xr:uid="{A2DE4266-53B3-46D6-B8EA-D7AF863608A9}">
          <x14:formula1>
            <xm:f>項目!C17:$LWI$589825</xm:f>
          </x14:formula1>
          <xm:sqref>LWQ589831:LWQ589854</xm:sqref>
        </x14:dataValidation>
        <x14:dataValidation type="list" allowBlank="1" showInputMessage="1" showErrorMessage="1" xr:uid="{ACE6FFC0-DB2D-4208-8EEB-9D34D49E9617}">
          <x14:formula1>
            <xm:f>項目!C17:$MGE$589825</xm:f>
          </x14:formula1>
          <xm:sqref>MGM589831:MGM589854</xm:sqref>
        </x14:dataValidation>
        <x14:dataValidation type="list" allowBlank="1" showInputMessage="1" showErrorMessage="1" xr:uid="{092C0C92-473B-4FB8-AA90-04350F829FA1}">
          <x14:formula1>
            <xm:f>項目!C17:$MQA$589825</xm:f>
          </x14:formula1>
          <xm:sqref>MQI589831:MQI589854</xm:sqref>
        </x14:dataValidation>
        <x14:dataValidation type="list" allowBlank="1" showInputMessage="1" showErrorMessage="1" xr:uid="{30E310DC-E45E-49D9-A26C-1CC861DEA294}">
          <x14:formula1>
            <xm:f>項目!C17:$MZW$589825</xm:f>
          </x14:formula1>
          <xm:sqref>NAE589831:NAE589854</xm:sqref>
        </x14:dataValidation>
        <x14:dataValidation type="list" allowBlank="1" showInputMessage="1" showErrorMessage="1" xr:uid="{4668EC92-CD4E-47A6-AB2C-4A30DEBADF7F}">
          <x14:formula1>
            <xm:f>項目!C17:$NJS$589825</xm:f>
          </x14:formula1>
          <xm:sqref>NKA589831:NKA589854</xm:sqref>
        </x14:dataValidation>
        <x14:dataValidation type="list" allowBlank="1" showInputMessage="1" showErrorMessage="1" xr:uid="{95E072F2-5260-4B31-AA35-835F67CD9E2B}">
          <x14:formula1>
            <xm:f>項目!C17:$NTO$589825</xm:f>
          </x14:formula1>
          <xm:sqref>NTW589831:NTW589854</xm:sqref>
        </x14:dataValidation>
        <x14:dataValidation type="list" allowBlank="1" showInputMessage="1" showErrorMessage="1" xr:uid="{BB3A20C9-BACF-4639-AE37-6C9EE061AB30}">
          <x14:formula1>
            <xm:f>項目!C17:$ODK$589825</xm:f>
          </x14:formula1>
          <xm:sqref>ODS589831:ODS589854</xm:sqref>
        </x14:dataValidation>
        <x14:dataValidation type="list" allowBlank="1" showInputMessage="1" showErrorMessage="1" xr:uid="{3712F881-9048-4A9A-B2D6-658B6B7F8F29}">
          <x14:formula1>
            <xm:f>項目!C17:$ONG$589825</xm:f>
          </x14:formula1>
          <xm:sqref>ONO589831:ONO589854</xm:sqref>
        </x14:dataValidation>
        <x14:dataValidation type="list" allowBlank="1" showInputMessage="1" showErrorMessage="1" xr:uid="{EB0DB7BE-66E4-45CB-9E60-E89FDCE5BF3E}">
          <x14:formula1>
            <xm:f>項目!C17:$OXC$589825</xm:f>
          </x14:formula1>
          <xm:sqref>OXK589831:OXK589854</xm:sqref>
        </x14:dataValidation>
        <x14:dataValidation type="list" allowBlank="1" showInputMessage="1" showErrorMessage="1" xr:uid="{3496E606-BD7B-40DB-BFF5-34FE6EF23F96}">
          <x14:formula1>
            <xm:f>項目!C17:$PGY$589825</xm:f>
          </x14:formula1>
          <xm:sqref>PHG589831:PHG589854</xm:sqref>
        </x14:dataValidation>
        <x14:dataValidation type="list" allowBlank="1" showInputMessage="1" showErrorMessage="1" xr:uid="{0F4E3863-B567-416F-87AA-9B8222D03CEE}">
          <x14:formula1>
            <xm:f>項目!C17:$PQU$589825</xm:f>
          </x14:formula1>
          <xm:sqref>PRC589831:PRC589854</xm:sqref>
        </x14:dataValidation>
        <x14:dataValidation type="list" allowBlank="1" showInputMessage="1" showErrorMessage="1" xr:uid="{05DCA817-9D83-44C3-9A4D-223594F5FB9C}">
          <x14:formula1>
            <xm:f>項目!C17:$QAQ$589825</xm:f>
          </x14:formula1>
          <xm:sqref>QAY589831:QAY589854</xm:sqref>
        </x14:dataValidation>
        <x14:dataValidation type="list" allowBlank="1" showInputMessage="1" showErrorMessage="1" xr:uid="{49005BBD-42B9-452C-BCDA-F69CF545D760}">
          <x14:formula1>
            <xm:f>項目!C17:$QKM$589825</xm:f>
          </x14:formula1>
          <xm:sqref>QKU589831:QKU589854</xm:sqref>
        </x14:dataValidation>
        <x14:dataValidation type="list" allowBlank="1" showInputMessage="1" showErrorMessage="1" xr:uid="{45DE51B6-E9A9-4C7B-BA61-C2B971D81548}">
          <x14:formula1>
            <xm:f>項目!C17:$QUI$589825</xm:f>
          </x14:formula1>
          <xm:sqref>QUQ589831:QUQ589854</xm:sqref>
        </x14:dataValidation>
        <x14:dataValidation type="list" allowBlank="1" showInputMessage="1" showErrorMessage="1" xr:uid="{FBC55EC6-A2BE-42DC-9B26-AF5B04DD880A}">
          <x14:formula1>
            <xm:f>項目!C17:$REE$589825</xm:f>
          </x14:formula1>
          <xm:sqref>REM589831:REM589854</xm:sqref>
        </x14:dataValidation>
        <x14:dataValidation type="list" allowBlank="1" showInputMessage="1" showErrorMessage="1" xr:uid="{1A405E69-AB45-4979-BE65-D4DE15317502}">
          <x14:formula1>
            <xm:f>項目!C17:$ROA$589825</xm:f>
          </x14:formula1>
          <xm:sqref>ROI589831:ROI589854</xm:sqref>
        </x14:dataValidation>
        <x14:dataValidation type="list" allowBlank="1" showInputMessage="1" showErrorMessage="1" xr:uid="{0204F3EC-1926-4952-AD58-1BEBBE8C110F}">
          <x14:formula1>
            <xm:f>項目!C17:$RXW$589825</xm:f>
          </x14:formula1>
          <xm:sqref>RYE589831:RYE589854</xm:sqref>
        </x14:dataValidation>
        <x14:dataValidation type="list" allowBlank="1" showInputMessage="1" showErrorMessage="1" xr:uid="{D8FBB768-E9B1-4986-A9AC-9130447BE604}">
          <x14:formula1>
            <xm:f>項目!C17:$SHS$589825</xm:f>
          </x14:formula1>
          <xm:sqref>SIA589831:SIA589854</xm:sqref>
        </x14:dataValidation>
        <x14:dataValidation type="list" allowBlank="1" showInputMessage="1" showErrorMessage="1" xr:uid="{80D68F30-AF03-4EB9-9491-21D8F5629FE1}">
          <x14:formula1>
            <xm:f>項目!C17:$SRO$589825</xm:f>
          </x14:formula1>
          <xm:sqref>SRW589831:SRW589854</xm:sqref>
        </x14:dataValidation>
        <x14:dataValidation type="list" allowBlank="1" showInputMessage="1" showErrorMessage="1" xr:uid="{1701EC40-02E5-4198-9054-B3F95CB2C405}">
          <x14:formula1>
            <xm:f>項目!C17:$TBK$589825</xm:f>
          </x14:formula1>
          <xm:sqref>TBS589831:TBS589854</xm:sqref>
        </x14:dataValidation>
        <x14:dataValidation type="list" allowBlank="1" showInputMessage="1" showErrorMessage="1" xr:uid="{66BD3F08-7D3F-4F4E-B4E2-D8C3BDDC178E}">
          <x14:formula1>
            <xm:f>項目!C17:$TLG$589825</xm:f>
          </x14:formula1>
          <xm:sqref>TLO589831:TLO589854</xm:sqref>
        </x14:dataValidation>
        <x14:dataValidation type="list" allowBlank="1" showInputMessage="1" showErrorMessage="1" xr:uid="{BB248D6E-2089-4CD4-AA27-3ABE4E5AF346}">
          <x14:formula1>
            <xm:f>項目!C17:$TVC$589825</xm:f>
          </x14:formula1>
          <xm:sqref>TVK589831:TVK589854</xm:sqref>
        </x14:dataValidation>
        <x14:dataValidation type="list" allowBlank="1" showInputMessage="1" showErrorMessage="1" xr:uid="{8A7FE9D4-2DCA-4C94-9154-37E9FB97066D}">
          <x14:formula1>
            <xm:f>項目!C17:$UEY$589825</xm:f>
          </x14:formula1>
          <xm:sqref>UFG589831:UFG589854</xm:sqref>
        </x14:dataValidation>
        <x14:dataValidation type="list" allowBlank="1" showInputMessage="1" showErrorMessage="1" xr:uid="{1F1127ED-4922-4F4D-8A6E-BCDA9F14787B}">
          <x14:formula1>
            <xm:f>項目!C17:$UOU$589825</xm:f>
          </x14:formula1>
          <xm:sqref>UPC589831:UPC589854</xm:sqref>
        </x14:dataValidation>
        <x14:dataValidation type="list" allowBlank="1" showInputMessage="1" showErrorMessage="1" xr:uid="{5CDE906D-08C4-4EB5-B4F2-6C0561F72750}">
          <x14:formula1>
            <xm:f>項目!C17:$UYQ$589825</xm:f>
          </x14:formula1>
          <xm:sqref>UYY589831:UYY589854</xm:sqref>
        </x14:dataValidation>
        <x14:dataValidation type="list" allowBlank="1" showInputMessage="1" showErrorMessage="1" xr:uid="{4BC5C0F8-BF0E-48CD-B1BA-647E727D27F1}">
          <x14:formula1>
            <xm:f>項目!C17:$VIM$589825</xm:f>
          </x14:formula1>
          <xm:sqref>VIU589831:VIU589854</xm:sqref>
        </x14:dataValidation>
        <x14:dataValidation type="list" allowBlank="1" showInputMessage="1" showErrorMessage="1" xr:uid="{0ADA89D5-EDD1-4145-8752-22010BEC097F}">
          <x14:formula1>
            <xm:f>項目!C17:$VSI$589825</xm:f>
          </x14:formula1>
          <xm:sqref>VSQ589831:VSQ589854</xm:sqref>
        </x14:dataValidation>
        <x14:dataValidation type="list" allowBlank="1" showInputMessage="1" showErrorMessage="1" xr:uid="{5D4F9574-6782-4E48-A2EE-E39F375F8B10}">
          <x14:formula1>
            <xm:f>項目!C17:$WCE$589825</xm:f>
          </x14:formula1>
          <xm:sqref>WCM589831:WCM589854</xm:sqref>
        </x14:dataValidation>
        <x14:dataValidation type="list" allowBlank="1" showInputMessage="1" showErrorMessage="1" xr:uid="{024615C2-A34C-47F5-B0F5-BC4DD078ADF5}">
          <x14:formula1>
            <xm:f>項目!C17:$WMA$589825</xm:f>
          </x14:formula1>
          <xm:sqref>WMI589831:WMI589854</xm:sqref>
        </x14:dataValidation>
        <x14:dataValidation type="list" allowBlank="1" showInputMessage="1" showErrorMessage="1" xr:uid="{F943F1BC-6963-412A-9F2D-3626D70B1D81}">
          <x14:formula1>
            <xm:f>項目!C17:$WVW$589825</xm:f>
          </x14:formula1>
          <xm:sqref>WWE589831:WWE589854</xm:sqref>
        </x14:dataValidation>
        <x14:dataValidation type="list" allowBlank="1" showInputMessage="1" showErrorMessage="1" xr:uid="{CA9060EF-1DCD-487A-9CA9-EC54258F9D23}">
          <x14:formula1>
            <xm:f>項目!C17:$P$655361</xm:f>
          </x14:formula1>
          <xm:sqref>W655367:W655390</xm:sqref>
        </x14:dataValidation>
        <x14:dataValidation type="list" allowBlank="1" showInputMessage="1" showErrorMessage="1" xr:uid="{B40F479D-46D2-4FF5-A188-70FEB48CFECB}">
          <x14:formula1>
            <xm:f>項目!C17:$JK$655361</xm:f>
          </x14:formula1>
          <xm:sqref>JS655367:JS655390</xm:sqref>
        </x14:dataValidation>
        <x14:dataValidation type="list" allowBlank="1" showInputMessage="1" showErrorMessage="1" xr:uid="{CC2DF263-C196-44B5-BF1B-DDB7C7580B81}">
          <x14:formula1>
            <xm:f>項目!C17:$TG$655361</xm:f>
          </x14:formula1>
          <xm:sqref>TO655367:TO655390</xm:sqref>
        </x14:dataValidation>
        <x14:dataValidation type="list" allowBlank="1" showInputMessage="1" showErrorMessage="1" xr:uid="{604141D9-B815-4431-AFA8-8DF7C54055CC}">
          <x14:formula1>
            <xm:f>項目!C17:$ADC$655361</xm:f>
          </x14:formula1>
          <xm:sqref>ADK655367:ADK655390</xm:sqref>
        </x14:dataValidation>
        <x14:dataValidation type="list" allowBlank="1" showInputMessage="1" showErrorMessage="1" xr:uid="{A0D6532E-8F79-4FE1-86D1-67666E7E6215}">
          <x14:formula1>
            <xm:f>項目!C17:$AMY$655361</xm:f>
          </x14:formula1>
          <xm:sqref>ANG655367:ANG655390</xm:sqref>
        </x14:dataValidation>
        <x14:dataValidation type="list" allowBlank="1" showInputMessage="1" showErrorMessage="1" xr:uid="{02812510-7F35-4C0F-A915-36DF855DCC41}">
          <x14:formula1>
            <xm:f>項目!C17:$AWU$655361</xm:f>
          </x14:formula1>
          <xm:sqref>AXC655367:AXC655390</xm:sqref>
        </x14:dataValidation>
        <x14:dataValidation type="list" allowBlank="1" showInputMessage="1" showErrorMessage="1" xr:uid="{FE2FDBF1-9B8E-473D-B764-4390FE866E1C}">
          <x14:formula1>
            <xm:f>項目!C17:$BGQ$655361</xm:f>
          </x14:formula1>
          <xm:sqref>BGY655367:BGY655390</xm:sqref>
        </x14:dataValidation>
        <x14:dataValidation type="list" allowBlank="1" showInputMessage="1" showErrorMessage="1" xr:uid="{FEAFDD81-A5AA-4546-A084-90CBBD390E83}">
          <x14:formula1>
            <xm:f>項目!C17:$BQM$655361</xm:f>
          </x14:formula1>
          <xm:sqref>BQU655367:BQU655390</xm:sqref>
        </x14:dataValidation>
        <x14:dataValidation type="list" allowBlank="1" showInputMessage="1" showErrorMessage="1" xr:uid="{BFE96A35-C6B8-469E-9694-736450B0C116}">
          <x14:formula1>
            <xm:f>項目!C17:$CAI$655361</xm:f>
          </x14:formula1>
          <xm:sqref>CAQ655367:CAQ655390</xm:sqref>
        </x14:dataValidation>
        <x14:dataValidation type="list" allowBlank="1" showInputMessage="1" showErrorMessage="1" xr:uid="{91127CAA-E271-464A-9A2D-D84CC4A2B0AF}">
          <x14:formula1>
            <xm:f>項目!C17:$CKE$655361</xm:f>
          </x14:formula1>
          <xm:sqref>CKM655367:CKM655390</xm:sqref>
        </x14:dataValidation>
        <x14:dataValidation type="list" allowBlank="1" showInputMessage="1" showErrorMessage="1" xr:uid="{1769FABD-7A9C-4A0C-80A9-BD7EEA804296}">
          <x14:formula1>
            <xm:f>項目!C17:$CUA$655361</xm:f>
          </x14:formula1>
          <xm:sqref>CUI655367:CUI655390</xm:sqref>
        </x14:dataValidation>
        <x14:dataValidation type="list" allowBlank="1" showInputMessage="1" showErrorMessage="1" xr:uid="{1B2BDC47-9BED-4EE1-8BB3-CF6E9870B056}">
          <x14:formula1>
            <xm:f>項目!C17:$DDW$655361</xm:f>
          </x14:formula1>
          <xm:sqref>DEE655367:DEE655390</xm:sqref>
        </x14:dataValidation>
        <x14:dataValidation type="list" allowBlank="1" showInputMessage="1" showErrorMessage="1" xr:uid="{3C46D4FA-D1CE-406C-B969-07CD1FDCBF8E}">
          <x14:formula1>
            <xm:f>項目!C17:$DNS$655361</xm:f>
          </x14:formula1>
          <xm:sqref>DOA655367:DOA655390</xm:sqref>
        </x14:dataValidation>
        <x14:dataValidation type="list" allowBlank="1" showInputMessage="1" showErrorMessage="1" xr:uid="{828FFAE8-77F6-419F-9573-CB918DF4DAE5}">
          <x14:formula1>
            <xm:f>項目!C17:$DXO$655361</xm:f>
          </x14:formula1>
          <xm:sqref>DXW655367:DXW655390</xm:sqref>
        </x14:dataValidation>
        <x14:dataValidation type="list" allowBlank="1" showInputMessage="1" showErrorMessage="1" xr:uid="{CEF476BB-B117-4519-B0F0-7CBC024C974D}">
          <x14:formula1>
            <xm:f>項目!C17:$EHK$655361</xm:f>
          </x14:formula1>
          <xm:sqref>EHS655367:EHS655390</xm:sqref>
        </x14:dataValidation>
        <x14:dataValidation type="list" allowBlank="1" showInputMessage="1" showErrorMessage="1" xr:uid="{E07942EE-24CB-402C-9868-75EC2ED88166}">
          <x14:formula1>
            <xm:f>項目!C17:$ERG$655361</xm:f>
          </x14:formula1>
          <xm:sqref>ERO655367:ERO655390</xm:sqref>
        </x14:dataValidation>
        <x14:dataValidation type="list" allowBlank="1" showInputMessage="1" showErrorMessage="1" xr:uid="{1F78B806-C238-4A71-9F84-185CF330DDAC}">
          <x14:formula1>
            <xm:f>項目!C17:$FBC$655361</xm:f>
          </x14:formula1>
          <xm:sqref>FBK655367:FBK655390</xm:sqref>
        </x14:dataValidation>
        <x14:dataValidation type="list" allowBlank="1" showInputMessage="1" showErrorMessage="1" xr:uid="{470201C8-D4EC-4E4C-B19C-0AB60AEE9153}">
          <x14:formula1>
            <xm:f>項目!C17:$FKY$655361</xm:f>
          </x14:formula1>
          <xm:sqref>FLG655367:FLG655390</xm:sqref>
        </x14:dataValidation>
        <x14:dataValidation type="list" allowBlank="1" showInputMessage="1" showErrorMessage="1" xr:uid="{18F157DB-1CE9-46B7-BF6E-B71D19E19ABA}">
          <x14:formula1>
            <xm:f>項目!C17:$FUU$655361</xm:f>
          </x14:formula1>
          <xm:sqref>FVC655367:FVC655390</xm:sqref>
        </x14:dataValidation>
        <x14:dataValidation type="list" allowBlank="1" showInputMessage="1" showErrorMessage="1" xr:uid="{3875C0A1-A4E7-4D5C-B046-FE8BC669127A}">
          <x14:formula1>
            <xm:f>項目!C17:$GEQ$655361</xm:f>
          </x14:formula1>
          <xm:sqref>GEY655367:GEY655390</xm:sqref>
        </x14:dataValidation>
        <x14:dataValidation type="list" allowBlank="1" showInputMessage="1" showErrorMessage="1" xr:uid="{A2A90B0D-524F-436E-8066-D55999B23769}">
          <x14:formula1>
            <xm:f>項目!C17:$GOM$655361</xm:f>
          </x14:formula1>
          <xm:sqref>GOU655367:GOU655390</xm:sqref>
        </x14:dataValidation>
        <x14:dataValidation type="list" allowBlank="1" showInputMessage="1" showErrorMessage="1" xr:uid="{88457502-EE22-4570-8A45-25F727301D71}">
          <x14:formula1>
            <xm:f>項目!C17:$GYI$655361</xm:f>
          </x14:formula1>
          <xm:sqref>GYQ655367:GYQ655390</xm:sqref>
        </x14:dataValidation>
        <x14:dataValidation type="list" allowBlank="1" showInputMessage="1" showErrorMessage="1" xr:uid="{98D9B80A-33B8-427B-A534-2B338781E72C}">
          <x14:formula1>
            <xm:f>項目!C17:$HIE$655361</xm:f>
          </x14:formula1>
          <xm:sqref>HIM655367:HIM655390</xm:sqref>
        </x14:dataValidation>
        <x14:dataValidation type="list" allowBlank="1" showInputMessage="1" showErrorMessage="1" xr:uid="{9274A0E1-3DD1-4AF0-BD37-361D727BEA88}">
          <x14:formula1>
            <xm:f>項目!C17:$HSA$655361</xm:f>
          </x14:formula1>
          <xm:sqref>HSI655367:HSI655390</xm:sqref>
        </x14:dataValidation>
        <x14:dataValidation type="list" allowBlank="1" showInputMessage="1" showErrorMessage="1" xr:uid="{7CD4665B-EE56-4A45-B5A3-739B558CBF7C}">
          <x14:formula1>
            <xm:f>項目!C17:$IBW$655361</xm:f>
          </x14:formula1>
          <xm:sqref>ICE655367:ICE655390</xm:sqref>
        </x14:dataValidation>
        <x14:dataValidation type="list" allowBlank="1" showInputMessage="1" showErrorMessage="1" xr:uid="{4562B794-0B2A-49EB-A0FD-3B36B5D1897E}">
          <x14:formula1>
            <xm:f>項目!C17:$ILS$655361</xm:f>
          </x14:formula1>
          <xm:sqref>IMA655367:IMA655390</xm:sqref>
        </x14:dataValidation>
        <x14:dataValidation type="list" allowBlank="1" showInputMessage="1" showErrorMessage="1" xr:uid="{53CB62F6-31A7-40D6-BCEF-27DDFA243503}">
          <x14:formula1>
            <xm:f>項目!C17:$IVO$655361</xm:f>
          </x14:formula1>
          <xm:sqref>IVW655367:IVW655390</xm:sqref>
        </x14:dataValidation>
        <x14:dataValidation type="list" allowBlank="1" showInputMessage="1" showErrorMessage="1" xr:uid="{C8439E82-7C25-48FA-A681-224155B65ED1}">
          <x14:formula1>
            <xm:f>項目!C17:$JFK$655361</xm:f>
          </x14:formula1>
          <xm:sqref>JFS655367:JFS655390</xm:sqref>
        </x14:dataValidation>
        <x14:dataValidation type="list" allowBlank="1" showInputMessage="1" showErrorMessage="1" xr:uid="{5D3458E8-E14C-4210-AC54-A929BA8A9046}">
          <x14:formula1>
            <xm:f>項目!C17:$JPG$655361</xm:f>
          </x14:formula1>
          <xm:sqref>JPO655367:JPO655390</xm:sqref>
        </x14:dataValidation>
        <x14:dataValidation type="list" allowBlank="1" showInputMessage="1" showErrorMessage="1" xr:uid="{BE1C191C-9A3D-4A5A-BA2F-6E6410A24C4D}">
          <x14:formula1>
            <xm:f>項目!C17:$JZC$655361</xm:f>
          </x14:formula1>
          <xm:sqref>JZK655367:JZK655390</xm:sqref>
        </x14:dataValidation>
        <x14:dataValidation type="list" allowBlank="1" showInputMessage="1" showErrorMessage="1" xr:uid="{0142B1DB-78B8-474E-8FB0-BAB5BB0D4C53}">
          <x14:formula1>
            <xm:f>項目!C17:$KIY$655361</xm:f>
          </x14:formula1>
          <xm:sqref>KJG655367:KJG655390</xm:sqref>
        </x14:dataValidation>
        <x14:dataValidation type="list" allowBlank="1" showInputMessage="1" showErrorMessage="1" xr:uid="{166F6747-3A5B-4C34-9EF7-47BC45CE044B}">
          <x14:formula1>
            <xm:f>項目!C17:$KSU$655361</xm:f>
          </x14:formula1>
          <xm:sqref>KTC655367:KTC655390</xm:sqref>
        </x14:dataValidation>
        <x14:dataValidation type="list" allowBlank="1" showInputMessage="1" showErrorMessage="1" xr:uid="{13CDE688-70B6-46C5-9012-E49AD3E4E5A4}">
          <x14:formula1>
            <xm:f>項目!C17:$LCQ$655361</xm:f>
          </x14:formula1>
          <xm:sqref>LCY655367:LCY655390</xm:sqref>
        </x14:dataValidation>
        <x14:dataValidation type="list" allowBlank="1" showInputMessage="1" showErrorMessage="1" xr:uid="{164FEDED-25E6-4D4B-9B90-5AAA51574644}">
          <x14:formula1>
            <xm:f>項目!C17:$LMM$655361</xm:f>
          </x14:formula1>
          <xm:sqref>LMU655367:LMU655390</xm:sqref>
        </x14:dataValidation>
        <x14:dataValidation type="list" allowBlank="1" showInputMessage="1" showErrorMessage="1" xr:uid="{8CC8A279-43AE-4B7E-8236-2A4D3F624206}">
          <x14:formula1>
            <xm:f>項目!C17:$LWI$655361</xm:f>
          </x14:formula1>
          <xm:sqref>LWQ655367:LWQ655390</xm:sqref>
        </x14:dataValidation>
        <x14:dataValidation type="list" allowBlank="1" showInputMessage="1" showErrorMessage="1" xr:uid="{71237374-C37C-474B-88AA-CFBC439752C0}">
          <x14:formula1>
            <xm:f>項目!C17:$MGE$655361</xm:f>
          </x14:formula1>
          <xm:sqref>MGM655367:MGM655390</xm:sqref>
        </x14:dataValidation>
        <x14:dataValidation type="list" allowBlank="1" showInputMessage="1" showErrorMessage="1" xr:uid="{15BC3050-4437-4C68-9A61-6AB16D0EBBCD}">
          <x14:formula1>
            <xm:f>項目!C17:$MQA$655361</xm:f>
          </x14:formula1>
          <xm:sqref>MQI655367:MQI655390</xm:sqref>
        </x14:dataValidation>
        <x14:dataValidation type="list" allowBlank="1" showInputMessage="1" showErrorMessage="1" xr:uid="{37397732-BE45-4533-8205-5913AFF2EDBD}">
          <x14:formula1>
            <xm:f>項目!C17:$MZW$655361</xm:f>
          </x14:formula1>
          <xm:sqref>NAE655367:NAE655390</xm:sqref>
        </x14:dataValidation>
        <x14:dataValidation type="list" allowBlank="1" showInputMessage="1" showErrorMessage="1" xr:uid="{B2998F95-AD92-4A19-8663-303375601C3C}">
          <x14:formula1>
            <xm:f>項目!C17:$NJS$655361</xm:f>
          </x14:formula1>
          <xm:sqref>NKA655367:NKA655390</xm:sqref>
        </x14:dataValidation>
        <x14:dataValidation type="list" allowBlank="1" showInputMessage="1" showErrorMessage="1" xr:uid="{9BB37B9D-ADEC-4B52-827D-C06B4940BB70}">
          <x14:formula1>
            <xm:f>項目!C17:$NTO$655361</xm:f>
          </x14:formula1>
          <xm:sqref>NTW655367:NTW655390</xm:sqref>
        </x14:dataValidation>
        <x14:dataValidation type="list" allowBlank="1" showInputMessage="1" showErrorMessage="1" xr:uid="{C248F2FB-4A72-48C7-8953-1AB8D8BE23D7}">
          <x14:formula1>
            <xm:f>項目!C17:$ODK$655361</xm:f>
          </x14:formula1>
          <xm:sqref>ODS655367:ODS655390</xm:sqref>
        </x14:dataValidation>
        <x14:dataValidation type="list" allowBlank="1" showInputMessage="1" showErrorMessage="1" xr:uid="{220D093E-F9BC-4FF7-A857-854443ADB410}">
          <x14:formula1>
            <xm:f>項目!C17:$ONG$655361</xm:f>
          </x14:formula1>
          <xm:sqref>ONO655367:ONO655390</xm:sqref>
        </x14:dataValidation>
        <x14:dataValidation type="list" allowBlank="1" showInputMessage="1" showErrorMessage="1" xr:uid="{D1C54877-D286-4E58-AD5E-C50ECFBA3681}">
          <x14:formula1>
            <xm:f>項目!C17:$OXC$655361</xm:f>
          </x14:formula1>
          <xm:sqref>OXK655367:OXK655390</xm:sqref>
        </x14:dataValidation>
        <x14:dataValidation type="list" allowBlank="1" showInputMessage="1" showErrorMessage="1" xr:uid="{4D88B79F-3275-490E-81BE-35155D271490}">
          <x14:formula1>
            <xm:f>項目!C17:$PGY$655361</xm:f>
          </x14:formula1>
          <xm:sqref>PHG655367:PHG655390</xm:sqref>
        </x14:dataValidation>
        <x14:dataValidation type="list" allowBlank="1" showInputMessage="1" showErrorMessage="1" xr:uid="{7C6E3ED1-B1BD-403A-8C9E-FD1C879A5200}">
          <x14:formula1>
            <xm:f>項目!C17:$PQU$655361</xm:f>
          </x14:formula1>
          <xm:sqref>PRC655367:PRC655390</xm:sqref>
        </x14:dataValidation>
        <x14:dataValidation type="list" allowBlank="1" showInputMessage="1" showErrorMessage="1" xr:uid="{4DCECA8C-9DC8-4596-A26B-184C7C6A4556}">
          <x14:formula1>
            <xm:f>項目!C17:$QAQ$655361</xm:f>
          </x14:formula1>
          <xm:sqref>QAY655367:QAY655390</xm:sqref>
        </x14:dataValidation>
        <x14:dataValidation type="list" allowBlank="1" showInputMessage="1" showErrorMessage="1" xr:uid="{8CE7D52E-F288-4946-9C34-8297DB28D4F8}">
          <x14:formula1>
            <xm:f>項目!C17:$QKM$655361</xm:f>
          </x14:formula1>
          <xm:sqref>QKU655367:QKU655390</xm:sqref>
        </x14:dataValidation>
        <x14:dataValidation type="list" allowBlank="1" showInputMessage="1" showErrorMessage="1" xr:uid="{3F99E8CC-5CDE-4862-8BDE-2CC0F225DCF8}">
          <x14:formula1>
            <xm:f>項目!C17:$QUI$655361</xm:f>
          </x14:formula1>
          <xm:sqref>QUQ655367:QUQ655390</xm:sqref>
        </x14:dataValidation>
        <x14:dataValidation type="list" allowBlank="1" showInputMessage="1" showErrorMessage="1" xr:uid="{AAD36E70-DBB2-4CD8-BB9C-387F57AC3AD4}">
          <x14:formula1>
            <xm:f>項目!C17:$REE$655361</xm:f>
          </x14:formula1>
          <xm:sqref>REM655367:REM655390</xm:sqref>
        </x14:dataValidation>
        <x14:dataValidation type="list" allowBlank="1" showInputMessage="1" showErrorMessage="1" xr:uid="{A9CF9A08-B717-429C-8E02-03884529CF99}">
          <x14:formula1>
            <xm:f>項目!C17:$ROA$655361</xm:f>
          </x14:formula1>
          <xm:sqref>ROI655367:ROI655390</xm:sqref>
        </x14:dataValidation>
        <x14:dataValidation type="list" allowBlank="1" showInputMessage="1" showErrorMessage="1" xr:uid="{B6FFA411-148C-4D64-84F3-68A562E51A73}">
          <x14:formula1>
            <xm:f>項目!C17:$RXW$655361</xm:f>
          </x14:formula1>
          <xm:sqref>RYE655367:RYE655390</xm:sqref>
        </x14:dataValidation>
        <x14:dataValidation type="list" allowBlank="1" showInputMessage="1" showErrorMessage="1" xr:uid="{8FACDD01-2162-4C5B-8E3A-355AD1D5C03C}">
          <x14:formula1>
            <xm:f>項目!C17:$SHS$655361</xm:f>
          </x14:formula1>
          <xm:sqref>SIA655367:SIA655390</xm:sqref>
        </x14:dataValidation>
        <x14:dataValidation type="list" allowBlank="1" showInputMessage="1" showErrorMessage="1" xr:uid="{57BEA80D-E0EA-4654-86F1-46500BEC677A}">
          <x14:formula1>
            <xm:f>項目!C17:$SRO$655361</xm:f>
          </x14:formula1>
          <xm:sqref>SRW655367:SRW655390</xm:sqref>
        </x14:dataValidation>
        <x14:dataValidation type="list" allowBlank="1" showInputMessage="1" showErrorMessage="1" xr:uid="{A19783AC-47D5-4205-930F-3E00DCEF86F2}">
          <x14:formula1>
            <xm:f>項目!C17:$TBK$655361</xm:f>
          </x14:formula1>
          <xm:sqref>TBS655367:TBS655390</xm:sqref>
        </x14:dataValidation>
        <x14:dataValidation type="list" allowBlank="1" showInputMessage="1" showErrorMessage="1" xr:uid="{76263ABC-0F0A-4B9B-AE6A-DD42A36E6CEA}">
          <x14:formula1>
            <xm:f>項目!C17:$TLG$655361</xm:f>
          </x14:formula1>
          <xm:sqref>TLO655367:TLO655390</xm:sqref>
        </x14:dataValidation>
        <x14:dataValidation type="list" allowBlank="1" showInputMessage="1" showErrorMessage="1" xr:uid="{88A855E4-C041-4CA4-A0E3-BB353602304A}">
          <x14:formula1>
            <xm:f>項目!C17:$TVC$655361</xm:f>
          </x14:formula1>
          <xm:sqref>TVK655367:TVK655390</xm:sqref>
        </x14:dataValidation>
        <x14:dataValidation type="list" allowBlank="1" showInputMessage="1" showErrorMessage="1" xr:uid="{C23E1FB7-2920-413D-A842-2CB01F0BF9A7}">
          <x14:formula1>
            <xm:f>項目!C17:$UEY$655361</xm:f>
          </x14:formula1>
          <xm:sqref>UFG655367:UFG655390</xm:sqref>
        </x14:dataValidation>
        <x14:dataValidation type="list" allowBlank="1" showInputMessage="1" showErrorMessage="1" xr:uid="{D2853F46-93F0-4FF7-B837-6E93DB09B6DF}">
          <x14:formula1>
            <xm:f>項目!C17:$UOU$655361</xm:f>
          </x14:formula1>
          <xm:sqref>UPC655367:UPC655390</xm:sqref>
        </x14:dataValidation>
        <x14:dataValidation type="list" allowBlank="1" showInputMessage="1" showErrorMessage="1" xr:uid="{2B25DCBA-1A3C-45AC-8681-651560583EB9}">
          <x14:formula1>
            <xm:f>項目!C17:$UYQ$655361</xm:f>
          </x14:formula1>
          <xm:sqref>UYY655367:UYY655390</xm:sqref>
        </x14:dataValidation>
        <x14:dataValidation type="list" allowBlank="1" showInputMessage="1" showErrorMessage="1" xr:uid="{07BC5E82-0531-4D17-838C-9232B3F343A9}">
          <x14:formula1>
            <xm:f>項目!C17:$VIM$655361</xm:f>
          </x14:formula1>
          <xm:sqref>VIU655367:VIU655390</xm:sqref>
        </x14:dataValidation>
        <x14:dataValidation type="list" allowBlank="1" showInputMessage="1" showErrorMessage="1" xr:uid="{92D82F2E-3C88-447F-8295-AAD34E596927}">
          <x14:formula1>
            <xm:f>項目!C17:$VSI$655361</xm:f>
          </x14:formula1>
          <xm:sqref>VSQ655367:VSQ655390</xm:sqref>
        </x14:dataValidation>
        <x14:dataValidation type="list" allowBlank="1" showInputMessage="1" showErrorMessage="1" xr:uid="{1E3F40DE-34DD-45B1-B230-6300BF922462}">
          <x14:formula1>
            <xm:f>項目!C17:$WCE$655361</xm:f>
          </x14:formula1>
          <xm:sqref>WCM655367:WCM655390</xm:sqref>
        </x14:dataValidation>
        <x14:dataValidation type="list" allowBlank="1" showInputMessage="1" showErrorMessage="1" xr:uid="{29967659-FD79-4406-94D6-F0D0C6B718E9}">
          <x14:formula1>
            <xm:f>項目!C17:$WMA$655361</xm:f>
          </x14:formula1>
          <xm:sqref>WMI655367:WMI655390</xm:sqref>
        </x14:dataValidation>
        <x14:dataValidation type="list" allowBlank="1" showInputMessage="1" showErrorMessage="1" xr:uid="{2CB0A671-136F-43BC-AFAC-9F7700677BDC}">
          <x14:formula1>
            <xm:f>項目!C17:$WVW$655361</xm:f>
          </x14:formula1>
          <xm:sqref>WWE655367:WWE655390</xm:sqref>
        </x14:dataValidation>
        <x14:dataValidation type="list" allowBlank="1" showInputMessage="1" showErrorMessage="1" xr:uid="{DA12EC67-FDE5-4E77-B548-700D308C5758}">
          <x14:formula1>
            <xm:f>項目!C17:$P$720897</xm:f>
          </x14:formula1>
          <xm:sqref>W720903:W720926</xm:sqref>
        </x14:dataValidation>
        <x14:dataValidation type="list" allowBlank="1" showInputMessage="1" showErrorMessage="1" xr:uid="{DA9BB1AE-51B8-4CC9-9881-5074012481CF}">
          <x14:formula1>
            <xm:f>項目!C17:$JK$720897</xm:f>
          </x14:formula1>
          <xm:sqref>JS720903:JS720926</xm:sqref>
        </x14:dataValidation>
        <x14:dataValidation type="list" allowBlank="1" showInputMessage="1" showErrorMessage="1" xr:uid="{586EF675-6C0A-4938-BE4C-41A19A3B2355}">
          <x14:formula1>
            <xm:f>項目!C17:$TG$720897</xm:f>
          </x14:formula1>
          <xm:sqref>TO720903:TO720926</xm:sqref>
        </x14:dataValidation>
        <x14:dataValidation type="list" allowBlank="1" showInputMessage="1" showErrorMessage="1" xr:uid="{C6C618C1-470C-4F76-99C4-953BD43C75D3}">
          <x14:formula1>
            <xm:f>項目!C17:$ADC$720897</xm:f>
          </x14:formula1>
          <xm:sqref>ADK720903:ADK720926</xm:sqref>
        </x14:dataValidation>
        <x14:dataValidation type="list" allowBlank="1" showInputMessage="1" showErrorMessage="1" xr:uid="{9220AB92-2AF6-44F2-B2FB-B9339A0C23C8}">
          <x14:formula1>
            <xm:f>項目!C17:$AMY$720897</xm:f>
          </x14:formula1>
          <xm:sqref>ANG720903:ANG720926</xm:sqref>
        </x14:dataValidation>
        <x14:dataValidation type="list" allowBlank="1" showInputMessage="1" showErrorMessage="1" xr:uid="{F3B4480E-FBD3-4607-8C13-209396B12A10}">
          <x14:formula1>
            <xm:f>項目!C17:$AWU$720897</xm:f>
          </x14:formula1>
          <xm:sqref>AXC720903:AXC720926</xm:sqref>
        </x14:dataValidation>
        <x14:dataValidation type="list" allowBlank="1" showInputMessage="1" showErrorMessage="1" xr:uid="{39A8E776-B643-4FE7-B1F8-55CB4688DDAD}">
          <x14:formula1>
            <xm:f>項目!C17:$BGQ$720897</xm:f>
          </x14:formula1>
          <xm:sqref>BGY720903:BGY720926</xm:sqref>
        </x14:dataValidation>
        <x14:dataValidation type="list" allowBlank="1" showInputMessage="1" showErrorMessage="1" xr:uid="{11E2E405-2AD1-4448-AC7E-36CEE65B9561}">
          <x14:formula1>
            <xm:f>項目!C17:$BQM$720897</xm:f>
          </x14:formula1>
          <xm:sqref>BQU720903:BQU720926</xm:sqref>
        </x14:dataValidation>
        <x14:dataValidation type="list" allowBlank="1" showInputMessage="1" showErrorMessage="1" xr:uid="{86779E2C-A9D7-4BDE-A8B3-51217238479C}">
          <x14:formula1>
            <xm:f>項目!C17:$CAI$720897</xm:f>
          </x14:formula1>
          <xm:sqref>CAQ720903:CAQ720926</xm:sqref>
        </x14:dataValidation>
        <x14:dataValidation type="list" allowBlank="1" showInputMessage="1" showErrorMessage="1" xr:uid="{FCAF576B-905F-4B85-840B-95DAED205D0D}">
          <x14:formula1>
            <xm:f>項目!C17:$CKE$720897</xm:f>
          </x14:formula1>
          <xm:sqref>CKM720903:CKM720926</xm:sqref>
        </x14:dataValidation>
        <x14:dataValidation type="list" allowBlank="1" showInputMessage="1" showErrorMessage="1" xr:uid="{41B7C365-2D00-416C-BBCD-53C21A419C0B}">
          <x14:formula1>
            <xm:f>項目!C17:$CUA$720897</xm:f>
          </x14:formula1>
          <xm:sqref>CUI720903:CUI720926</xm:sqref>
        </x14:dataValidation>
        <x14:dataValidation type="list" allowBlank="1" showInputMessage="1" showErrorMessage="1" xr:uid="{C6B777AC-48E2-4EAD-B50C-7A81F72BCF7F}">
          <x14:formula1>
            <xm:f>項目!C17:$DDW$720897</xm:f>
          </x14:formula1>
          <xm:sqref>DEE720903:DEE720926</xm:sqref>
        </x14:dataValidation>
        <x14:dataValidation type="list" allowBlank="1" showInputMessage="1" showErrorMessage="1" xr:uid="{079F456B-6DA8-4422-93A7-0D851B5228EE}">
          <x14:formula1>
            <xm:f>項目!C17:$DNS$720897</xm:f>
          </x14:formula1>
          <xm:sqref>DOA720903:DOA720926</xm:sqref>
        </x14:dataValidation>
        <x14:dataValidation type="list" allowBlank="1" showInputMessage="1" showErrorMessage="1" xr:uid="{67CC3A87-8626-4C41-B832-0BC3928A40FF}">
          <x14:formula1>
            <xm:f>項目!C17:$DXO$720897</xm:f>
          </x14:formula1>
          <xm:sqref>DXW720903:DXW720926</xm:sqref>
        </x14:dataValidation>
        <x14:dataValidation type="list" allowBlank="1" showInputMessage="1" showErrorMessage="1" xr:uid="{AEF98101-D020-42AB-9723-28A36AD758B1}">
          <x14:formula1>
            <xm:f>項目!C17:$EHK$720897</xm:f>
          </x14:formula1>
          <xm:sqref>EHS720903:EHS720926</xm:sqref>
        </x14:dataValidation>
        <x14:dataValidation type="list" allowBlank="1" showInputMessage="1" showErrorMessage="1" xr:uid="{67D941EA-DE0F-4715-AEF8-4E9EEDD861A8}">
          <x14:formula1>
            <xm:f>項目!C17:$ERG$720897</xm:f>
          </x14:formula1>
          <xm:sqref>ERO720903:ERO720926</xm:sqref>
        </x14:dataValidation>
        <x14:dataValidation type="list" allowBlank="1" showInputMessage="1" showErrorMessage="1" xr:uid="{7822B72C-82F4-47C6-8056-EEC13A5091C2}">
          <x14:formula1>
            <xm:f>項目!C17:$FBC$720897</xm:f>
          </x14:formula1>
          <xm:sqref>FBK720903:FBK720926</xm:sqref>
        </x14:dataValidation>
        <x14:dataValidation type="list" allowBlank="1" showInputMessage="1" showErrorMessage="1" xr:uid="{E203711B-1972-4D91-BF09-8C1F80DC2B49}">
          <x14:formula1>
            <xm:f>項目!C17:$FKY$720897</xm:f>
          </x14:formula1>
          <xm:sqref>FLG720903:FLG720926</xm:sqref>
        </x14:dataValidation>
        <x14:dataValidation type="list" allowBlank="1" showInputMessage="1" showErrorMessage="1" xr:uid="{4CD84352-837B-4471-A1EB-6655BBFD15D5}">
          <x14:formula1>
            <xm:f>項目!C17:$FUU$720897</xm:f>
          </x14:formula1>
          <xm:sqref>FVC720903:FVC720926</xm:sqref>
        </x14:dataValidation>
        <x14:dataValidation type="list" allowBlank="1" showInputMessage="1" showErrorMessage="1" xr:uid="{A257F05C-89C1-4EA6-B4AB-2EEE59C87129}">
          <x14:formula1>
            <xm:f>項目!C17:$GEQ$720897</xm:f>
          </x14:formula1>
          <xm:sqref>GEY720903:GEY720926</xm:sqref>
        </x14:dataValidation>
        <x14:dataValidation type="list" allowBlank="1" showInputMessage="1" showErrorMessage="1" xr:uid="{17488B33-972E-4401-8A2F-E5F350B7BCF4}">
          <x14:formula1>
            <xm:f>項目!C17:$GOM$720897</xm:f>
          </x14:formula1>
          <xm:sqref>GOU720903:GOU720926</xm:sqref>
        </x14:dataValidation>
        <x14:dataValidation type="list" allowBlank="1" showInputMessage="1" showErrorMessage="1" xr:uid="{D591A39A-9326-49F1-B270-82D30344B9F4}">
          <x14:formula1>
            <xm:f>項目!C17:$GYI$720897</xm:f>
          </x14:formula1>
          <xm:sqref>GYQ720903:GYQ720926</xm:sqref>
        </x14:dataValidation>
        <x14:dataValidation type="list" allowBlank="1" showInputMessage="1" showErrorMessage="1" xr:uid="{37CD0A6F-8A82-49D6-9C22-B48558FCD165}">
          <x14:formula1>
            <xm:f>項目!C17:$HIE$720897</xm:f>
          </x14:formula1>
          <xm:sqref>HIM720903:HIM720926</xm:sqref>
        </x14:dataValidation>
        <x14:dataValidation type="list" allowBlank="1" showInputMessage="1" showErrorMessage="1" xr:uid="{8EF51E40-725F-4D56-82EA-DA96434E3FD1}">
          <x14:formula1>
            <xm:f>項目!C17:$HSA$720897</xm:f>
          </x14:formula1>
          <xm:sqref>HSI720903:HSI720926</xm:sqref>
        </x14:dataValidation>
        <x14:dataValidation type="list" allowBlank="1" showInputMessage="1" showErrorMessage="1" xr:uid="{4B9B6E80-AAC6-443E-9996-24C684FB347E}">
          <x14:formula1>
            <xm:f>項目!C17:$IBW$720897</xm:f>
          </x14:formula1>
          <xm:sqref>ICE720903:ICE720926</xm:sqref>
        </x14:dataValidation>
        <x14:dataValidation type="list" allowBlank="1" showInputMessage="1" showErrorMessage="1" xr:uid="{198208CB-15AC-43BB-BA5F-59B51A0426A2}">
          <x14:formula1>
            <xm:f>項目!C17:$ILS$720897</xm:f>
          </x14:formula1>
          <xm:sqref>IMA720903:IMA720926</xm:sqref>
        </x14:dataValidation>
        <x14:dataValidation type="list" allowBlank="1" showInputMessage="1" showErrorMessage="1" xr:uid="{AC37C214-EFE4-4A6F-82C4-690FC71C322E}">
          <x14:formula1>
            <xm:f>項目!C17:$IVO$720897</xm:f>
          </x14:formula1>
          <xm:sqref>IVW720903:IVW720926</xm:sqref>
        </x14:dataValidation>
        <x14:dataValidation type="list" allowBlank="1" showInputMessage="1" showErrorMessage="1" xr:uid="{06B55E41-3757-4023-8243-E547CC810CDC}">
          <x14:formula1>
            <xm:f>項目!C17:$JFK$720897</xm:f>
          </x14:formula1>
          <xm:sqref>JFS720903:JFS720926</xm:sqref>
        </x14:dataValidation>
        <x14:dataValidation type="list" allowBlank="1" showInputMessage="1" showErrorMessage="1" xr:uid="{F9BC39DA-8F19-4AD7-9022-B75EFFB04ECA}">
          <x14:formula1>
            <xm:f>項目!C17:$JPG$720897</xm:f>
          </x14:formula1>
          <xm:sqref>JPO720903:JPO720926</xm:sqref>
        </x14:dataValidation>
        <x14:dataValidation type="list" allowBlank="1" showInputMessage="1" showErrorMessage="1" xr:uid="{A6BE5AD2-62D8-487E-9BD5-85CD8811B85F}">
          <x14:formula1>
            <xm:f>項目!C17:$JZC$720897</xm:f>
          </x14:formula1>
          <xm:sqref>JZK720903:JZK720926</xm:sqref>
        </x14:dataValidation>
        <x14:dataValidation type="list" allowBlank="1" showInputMessage="1" showErrorMessage="1" xr:uid="{85825F31-FF4E-47D0-8A74-873A06A576FF}">
          <x14:formula1>
            <xm:f>項目!C17:$KIY$720897</xm:f>
          </x14:formula1>
          <xm:sqref>KJG720903:KJG720926</xm:sqref>
        </x14:dataValidation>
        <x14:dataValidation type="list" allowBlank="1" showInputMessage="1" showErrorMessage="1" xr:uid="{2822F778-2448-42F3-99DA-3ADC9CEE6983}">
          <x14:formula1>
            <xm:f>項目!C17:$KSU$720897</xm:f>
          </x14:formula1>
          <xm:sqref>KTC720903:KTC720926</xm:sqref>
        </x14:dataValidation>
        <x14:dataValidation type="list" allowBlank="1" showInputMessage="1" showErrorMessage="1" xr:uid="{827D0F19-D6CE-4F6C-8FDB-B714EF899D03}">
          <x14:formula1>
            <xm:f>項目!C17:$LCQ$720897</xm:f>
          </x14:formula1>
          <xm:sqref>LCY720903:LCY720926</xm:sqref>
        </x14:dataValidation>
        <x14:dataValidation type="list" allowBlank="1" showInputMessage="1" showErrorMessage="1" xr:uid="{C81C675D-3295-467B-8E03-E2E1F7E8B3CA}">
          <x14:formula1>
            <xm:f>項目!C17:$LMM$720897</xm:f>
          </x14:formula1>
          <xm:sqref>LMU720903:LMU720926</xm:sqref>
        </x14:dataValidation>
        <x14:dataValidation type="list" allowBlank="1" showInputMessage="1" showErrorMessage="1" xr:uid="{1F9A2D1B-674B-4003-8D79-ABA0BFBD9F2E}">
          <x14:formula1>
            <xm:f>項目!C17:$LWI$720897</xm:f>
          </x14:formula1>
          <xm:sqref>LWQ720903:LWQ720926</xm:sqref>
        </x14:dataValidation>
        <x14:dataValidation type="list" allowBlank="1" showInputMessage="1" showErrorMessage="1" xr:uid="{5A79E0DB-853F-4C57-BC89-422215568255}">
          <x14:formula1>
            <xm:f>項目!C17:$MGE$720897</xm:f>
          </x14:formula1>
          <xm:sqref>MGM720903:MGM720926</xm:sqref>
        </x14:dataValidation>
        <x14:dataValidation type="list" allowBlank="1" showInputMessage="1" showErrorMessage="1" xr:uid="{AAF34D3F-411D-48C0-9905-225532DBB2DF}">
          <x14:formula1>
            <xm:f>項目!C17:$MQA$720897</xm:f>
          </x14:formula1>
          <xm:sqref>MQI720903:MQI720926</xm:sqref>
        </x14:dataValidation>
        <x14:dataValidation type="list" allowBlank="1" showInputMessage="1" showErrorMessage="1" xr:uid="{00DC6291-1E72-42D7-AA5E-57B48C689BB9}">
          <x14:formula1>
            <xm:f>項目!C17:$MZW$720897</xm:f>
          </x14:formula1>
          <xm:sqref>NAE720903:NAE720926</xm:sqref>
        </x14:dataValidation>
        <x14:dataValidation type="list" allowBlank="1" showInputMessage="1" showErrorMessage="1" xr:uid="{3E3F4F88-DC4D-46DC-978D-1F06D6615F26}">
          <x14:formula1>
            <xm:f>項目!C17:$NJS$720897</xm:f>
          </x14:formula1>
          <xm:sqref>NKA720903:NKA720926</xm:sqref>
        </x14:dataValidation>
        <x14:dataValidation type="list" allowBlank="1" showInputMessage="1" showErrorMessage="1" xr:uid="{D5927C4B-0D58-43A9-89A4-B44718A20C70}">
          <x14:formula1>
            <xm:f>項目!C17:$NTO$720897</xm:f>
          </x14:formula1>
          <xm:sqref>NTW720903:NTW720926</xm:sqref>
        </x14:dataValidation>
        <x14:dataValidation type="list" allowBlank="1" showInputMessage="1" showErrorMessage="1" xr:uid="{380056B6-13B1-4776-85E2-20CCDC2AEB63}">
          <x14:formula1>
            <xm:f>項目!C17:$ODK$720897</xm:f>
          </x14:formula1>
          <xm:sqref>ODS720903:ODS720926</xm:sqref>
        </x14:dataValidation>
        <x14:dataValidation type="list" allowBlank="1" showInputMessage="1" showErrorMessage="1" xr:uid="{8EF10969-AFCA-4717-B621-4BBFD77875A0}">
          <x14:formula1>
            <xm:f>項目!C17:$ONG$720897</xm:f>
          </x14:formula1>
          <xm:sqref>ONO720903:ONO720926</xm:sqref>
        </x14:dataValidation>
        <x14:dataValidation type="list" allowBlank="1" showInputMessage="1" showErrorMessage="1" xr:uid="{4205AE45-FFBF-432C-A7F4-AE99FC08D3BE}">
          <x14:formula1>
            <xm:f>項目!C17:$OXC$720897</xm:f>
          </x14:formula1>
          <xm:sqref>OXK720903:OXK720926</xm:sqref>
        </x14:dataValidation>
        <x14:dataValidation type="list" allowBlank="1" showInputMessage="1" showErrorMessage="1" xr:uid="{7B95324F-CE54-4883-89F5-958732119ED5}">
          <x14:formula1>
            <xm:f>項目!C17:$PGY$720897</xm:f>
          </x14:formula1>
          <xm:sqref>PHG720903:PHG720926</xm:sqref>
        </x14:dataValidation>
        <x14:dataValidation type="list" allowBlank="1" showInputMessage="1" showErrorMessage="1" xr:uid="{790405E0-2C9F-48F9-A124-87B79161B31D}">
          <x14:formula1>
            <xm:f>項目!C17:$PQU$720897</xm:f>
          </x14:formula1>
          <xm:sqref>PRC720903:PRC720926</xm:sqref>
        </x14:dataValidation>
        <x14:dataValidation type="list" allowBlank="1" showInputMessage="1" showErrorMessage="1" xr:uid="{5C291CF3-093F-407C-8C75-1250FB1E468A}">
          <x14:formula1>
            <xm:f>項目!C17:$QAQ$720897</xm:f>
          </x14:formula1>
          <xm:sqref>QAY720903:QAY720926</xm:sqref>
        </x14:dataValidation>
        <x14:dataValidation type="list" allowBlank="1" showInputMessage="1" showErrorMessage="1" xr:uid="{9675802D-2B8A-4F44-AD87-36F8CBCFB39C}">
          <x14:formula1>
            <xm:f>項目!C17:$QKM$720897</xm:f>
          </x14:formula1>
          <xm:sqref>QKU720903:QKU720926</xm:sqref>
        </x14:dataValidation>
        <x14:dataValidation type="list" allowBlank="1" showInputMessage="1" showErrorMessage="1" xr:uid="{09A3F461-45FE-4D46-8B70-44A8E88E38A1}">
          <x14:formula1>
            <xm:f>項目!C17:$QUI$720897</xm:f>
          </x14:formula1>
          <xm:sqref>QUQ720903:QUQ720926</xm:sqref>
        </x14:dataValidation>
        <x14:dataValidation type="list" allowBlank="1" showInputMessage="1" showErrorMessage="1" xr:uid="{97007D3C-EEDF-4095-96A8-82D374929A26}">
          <x14:formula1>
            <xm:f>項目!C17:$REE$720897</xm:f>
          </x14:formula1>
          <xm:sqref>REM720903:REM720926</xm:sqref>
        </x14:dataValidation>
        <x14:dataValidation type="list" allowBlank="1" showInputMessage="1" showErrorMessage="1" xr:uid="{F273E3C0-5534-4DDF-8A19-E7D8C06EE93E}">
          <x14:formula1>
            <xm:f>項目!C17:$ROA$720897</xm:f>
          </x14:formula1>
          <xm:sqref>ROI720903:ROI720926</xm:sqref>
        </x14:dataValidation>
        <x14:dataValidation type="list" allowBlank="1" showInputMessage="1" showErrorMessage="1" xr:uid="{AC771901-B480-4E26-87DC-7000BB7B8082}">
          <x14:formula1>
            <xm:f>項目!C17:$RXW$720897</xm:f>
          </x14:formula1>
          <xm:sqref>RYE720903:RYE720926</xm:sqref>
        </x14:dataValidation>
        <x14:dataValidation type="list" allowBlank="1" showInputMessage="1" showErrorMessage="1" xr:uid="{280EE261-DC79-461B-B913-431B90B41F19}">
          <x14:formula1>
            <xm:f>項目!C17:$SHS$720897</xm:f>
          </x14:formula1>
          <xm:sqref>SIA720903:SIA720926</xm:sqref>
        </x14:dataValidation>
        <x14:dataValidation type="list" allowBlank="1" showInputMessage="1" showErrorMessage="1" xr:uid="{D5E68798-99F0-45E2-9D2A-1929957D6050}">
          <x14:formula1>
            <xm:f>項目!C17:$SRO$720897</xm:f>
          </x14:formula1>
          <xm:sqref>SRW720903:SRW720926</xm:sqref>
        </x14:dataValidation>
        <x14:dataValidation type="list" allowBlank="1" showInputMessage="1" showErrorMessage="1" xr:uid="{90276A7B-92BA-421A-87DA-A9848B546B86}">
          <x14:formula1>
            <xm:f>項目!C17:$TBK$720897</xm:f>
          </x14:formula1>
          <xm:sqref>TBS720903:TBS720926</xm:sqref>
        </x14:dataValidation>
        <x14:dataValidation type="list" allowBlank="1" showInputMessage="1" showErrorMessage="1" xr:uid="{01D86C35-F0BB-4F0D-9E4E-9372B985000D}">
          <x14:formula1>
            <xm:f>項目!C17:$TLG$720897</xm:f>
          </x14:formula1>
          <xm:sqref>TLO720903:TLO720926</xm:sqref>
        </x14:dataValidation>
        <x14:dataValidation type="list" allowBlank="1" showInputMessage="1" showErrorMessage="1" xr:uid="{8233BC59-FBA0-4552-ADD7-22F6AE38A134}">
          <x14:formula1>
            <xm:f>項目!C17:$TVC$720897</xm:f>
          </x14:formula1>
          <xm:sqref>TVK720903:TVK720926</xm:sqref>
        </x14:dataValidation>
        <x14:dataValidation type="list" allowBlank="1" showInputMessage="1" showErrorMessage="1" xr:uid="{A4FB5DF2-255E-44AE-AB37-7DBEA2090DB2}">
          <x14:formula1>
            <xm:f>項目!C17:$UEY$720897</xm:f>
          </x14:formula1>
          <xm:sqref>UFG720903:UFG720926</xm:sqref>
        </x14:dataValidation>
        <x14:dataValidation type="list" allowBlank="1" showInputMessage="1" showErrorMessage="1" xr:uid="{85F015A2-B9B7-4A4C-8B85-85DBD92F5E1F}">
          <x14:formula1>
            <xm:f>項目!C17:$UOU$720897</xm:f>
          </x14:formula1>
          <xm:sqref>UPC720903:UPC720926</xm:sqref>
        </x14:dataValidation>
        <x14:dataValidation type="list" allowBlank="1" showInputMessage="1" showErrorMessage="1" xr:uid="{52DC5F8B-0CAA-4931-8E8A-D6D1F2BD344D}">
          <x14:formula1>
            <xm:f>項目!C17:$UYQ$720897</xm:f>
          </x14:formula1>
          <xm:sqref>UYY720903:UYY720926</xm:sqref>
        </x14:dataValidation>
        <x14:dataValidation type="list" allowBlank="1" showInputMessage="1" showErrorMessage="1" xr:uid="{B2879CC3-D03D-46AC-AB8A-6665E8A69F57}">
          <x14:formula1>
            <xm:f>項目!C17:$VIM$720897</xm:f>
          </x14:formula1>
          <xm:sqref>VIU720903:VIU720926</xm:sqref>
        </x14:dataValidation>
        <x14:dataValidation type="list" allowBlank="1" showInputMessage="1" showErrorMessage="1" xr:uid="{774CE742-D533-4FC8-8040-495803C4C011}">
          <x14:formula1>
            <xm:f>項目!C17:$VSI$720897</xm:f>
          </x14:formula1>
          <xm:sqref>VSQ720903:VSQ720926</xm:sqref>
        </x14:dataValidation>
        <x14:dataValidation type="list" allowBlank="1" showInputMessage="1" showErrorMessage="1" xr:uid="{651D057E-F919-4617-A163-4B4265C9414C}">
          <x14:formula1>
            <xm:f>項目!C17:$WCE$720897</xm:f>
          </x14:formula1>
          <xm:sqref>WCM720903:WCM720926</xm:sqref>
        </x14:dataValidation>
        <x14:dataValidation type="list" allowBlank="1" showInputMessage="1" showErrorMessage="1" xr:uid="{0FE3B291-B8EF-42B6-ACC1-43E037ED8F63}">
          <x14:formula1>
            <xm:f>項目!C17:$WMA$720897</xm:f>
          </x14:formula1>
          <xm:sqref>WMI720903:WMI720926</xm:sqref>
        </x14:dataValidation>
        <x14:dataValidation type="list" allowBlank="1" showInputMessage="1" showErrorMessage="1" xr:uid="{CED6A78E-9ACB-4F90-9690-17831FC04124}">
          <x14:formula1>
            <xm:f>項目!C17:$WVW$720897</xm:f>
          </x14:formula1>
          <xm:sqref>WWE720903:WWE720926</xm:sqref>
        </x14:dataValidation>
        <x14:dataValidation type="list" allowBlank="1" showInputMessage="1" showErrorMessage="1" xr:uid="{F1246094-A226-4DA9-9E3C-30EB36DE4B79}">
          <x14:formula1>
            <xm:f>項目!C17:$P$786433</xm:f>
          </x14:formula1>
          <xm:sqref>W786439:W786462</xm:sqref>
        </x14:dataValidation>
        <x14:dataValidation type="list" allowBlank="1" showInputMessage="1" showErrorMessage="1" xr:uid="{AF36E969-463C-42CB-9975-9DF4B7946DAB}">
          <x14:formula1>
            <xm:f>項目!C17:$JK$786433</xm:f>
          </x14:formula1>
          <xm:sqref>JS786439:JS786462</xm:sqref>
        </x14:dataValidation>
        <x14:dataValidation type="list" allowBlank="1" showInputMessage="1" showErrorMessage="1" xr:uid="{00DB7D1D-7EC6-4F4E-8F96-C5AC9A82F9C4}">
          <x14:formula1>
            <xm:f>項目!C17:$TG$786433</xm:f>
          </x14:formula1>
          <xm:sqref>TO786439:TO786462</xm:sqref>
        </x14:dataValidation>
        <x14:dataValidation type="list" allowBlank="1" showInputMessage="1" showErrorMessage="1" xr:uid="{8E972D3E-C142-4D60-91E6-B6D840349CAC}">
          <x14:formula1>
            <xm:f>項目!C17:$ADC$786433</xm:f>
          </x14:formula1>
          <xm:sqref>ADK786439:ADK786462</xm:sqref>
        </x14:dataValidation>
        <x14:dataValidation type="list" allowBlank="1" showInputMessage="1" showErrorMessage="1" xr:uid="{9E973975-1614-45A7-9DF5-892302AE45E1}">
          <x14:formula1>
            <xm:f>項目!C17:$AMY$786433</xm:f>
          </x14:formula1>
          <xm:sqref>ANG786439:ANG786462</xm:sqref>
        </x14:dataValidation>
        <x14:dataValidation type="list" allowBlank="1" showInputMessage="1" showErrorMessage="1" xr:uid="{AD9116B9-3BB7-4909-9EEA-1657CE7A7FC9}">
          <x14:formula1>
            <xm:f>項目!C17:$AWU$786433</xm:f>
          </x14:formula1>
          <xm:sqref>AXC786439:AXC786462</xm:sqref>
        </x14:dataValidation>
        <x14:dataValidation type="list" allowBlank="1" showInputMessage="1" showErrorMessage="1" xr:uid="{4875BB8F-5ED4-4378-A45E-49469E9EBCF8}">
          <x14:formula1>
            <xm:f>項目!C17:$BGQ$786433</xm:f>
          </x14:formula1>
          <xm:sqref>BGY786439:BGY786462</xm:sqref>
        </x14:dataValidation>
        <x14:dataValidation type="list" allowBlank="1" showInputMessage="1" showErrorMessage="1" xr:uid="{FA2450D4-0585-4773-BC15-01B499A491D6}">
          <x14:formula1>
            <xm:f>項目!C17:$BQM$786433</xm:f>
          </x14:formula1>
          <xm:sqref>BQU786439:BQU786462</xm:sqref>
        </x14:dataValidation>
        <x14:dataValidation type="list" allowBlank="1" showInputMessage="1" showErrorMessage="1" xr:uid="{836206E6-B773-45FA-951C-A809D5CCFC34}">
          <x14:formula1>
            <xm:f>項目!C17:$CAI$786433</xm:f>
          </x14:formula1>
          <xm:sqref>CAQ786439:CAQ786462</xm:sqref>
        </x14:dataValidation>
        <x14:dataValidation type="list" allowBlank="1" showInputMessage="1" showErrorMessage="1" xr:uid="{57AF37F4-B375-48E7-B952-5D403E5E4527}">
          <x14:formula1>
            <xm:f>項目!C17:$CKE$786433</xm:f>
          </x14:formula1>
          <xm:sqref>CKM786439:CKM786462</xm:sqref>
        </x14:dataValidation>
        <x14:dataValidation type="list" allowBlank="1" showInputMessage="1" showErrorMessage="1" xr:uid="{C06449C6-26B1-4E5A-919D-FDB86CF548C6}">
          <x14:formula1>
            <xm:f>項目!C17:$CUA$786433</xm:f>
          </x14:formula1>
          <xm:sqref>CUI786439:CUI786462</xm:sqref>
        </x14:dataValidation>
        <x14:dataValidation type="list" allowBlank="1" showInputMessage="1" showErrorMessage="1" xr:uid="{8FD140CD-0BD8-46CC-8F13-D085239A3628}">
          <x14:formula1>
            <xm:f>項目!C17:$DDW$786433</xm:f>
          </x14:formula1>
          <xm:sqref>DEE786439:DEE786462</xm:sqref>
        </x14:dataValidation>
        <x14:dataValidation type="list" allowBlank="1" showInputMessage="1" showErrorMessage="1" xr:uid="{5A076835-FC54-4E8E-AC1B-B100F5E64820}">
          <x14:formula1>
            <xm:f>項目!C17:$DNS$786433</xm:f>
          </x14:formula1>
          <xm:sqref>DOA786439:DOA786462</xm:sqref>
        </x14:dataValidation>
        <x14:dataValidation type="list" allowBlank="1" showInputMessage="1" showErrorMessage="1" xr:uid="{F5757A57-C838-4F4E-A522-F42A9327CA20}">
          <x14:formula1>
            <xm:f>項目!C17:$DXO$786433</xm:f>
          </x14:formula1>
          <xm:sqref>DXW786439:DXW786462</xm:sqref>
        </x14:dataValidation>
        <x14:dataValidation type="list" allowBlank="1" showInputMessage="1" showErrorMessage="1" xr:uid="{B51A9F72-628A-419C-9AD6-2C9ED7B2D955}">
          <x14:formula1>
            <xm:f>項目!C17:$EHK$786433</xm:f>
          </x14:formula1>
          <xm:sqref>EHS786439:EHS786462</xm:sqref>
        </x14:dataValidation>
        <x14:dataValidation type="list" allowBlank="1" showInputMessage="1" showErrorMessage="1" xr:uid="{2BEC50EC-A1D6-4076-BE17-0CFF59F50032}">
          <x14:formula1>
            <xm:f>項目!C17:$ERG$786433</xm:f>
          </x14:formula1>
          <xm:sqref>ERO786439:ERO786462</xm:sqref>
        </x14:dataValidation>
        <x14:dataValidation type="list" allowBlank="1" showInputMessage="1" showErrorMessage="1" xr:uid="{587C2143-A0D1-4A9A-AA53-BCC06E5D4031}">
          <x14:formula1>
            <xm:f>項目!C17:$FBC$786433</xm:f>
          </x14:formula1>
          <xm:sqref>FBK786439:FBK786462</xm:sqref>
        </x14:dataValidation>
        <x14:dataValidation type="list" allowBlank="1" showInputMessage="1" showErrorMessage="1" xr:uid="{CEF88B45-988D-4F29-9268-5231D958740B}">
          <x14:formula1>
            <xm:f>項目!C17:$FKY$786433</xm:f>
          </x14:formula1>
          <xm:sqref>FLG786439:FLG786462</xm:sqref>
        </x14:dataValidation>
        <x14:dataValidation type="list" allowBlank="1" showInputMessage="1" showErrorMessage="1" xr:uid="{564F7BA1-6F1C-44F2-84CE-04C025969799}">
          <x14:formula1>
            <xm:f>項目!C17:$FUU$786433</xm:f>
          </x14:formula1>
          <xm:sqref>FVC786439:FVC786462</xm:sqref>
        </x14:dataValidation>
        <x14:dataValidation type="list" allowBlank="1" showInputMessage="1" showErrorMessage="1" xr:uid="{0EA19374-74A7-453D-9786-F33CCD2E5003}">
          <x14:formula1>
            <xm:f>項目!C17:$GEQ$786433</xm:f>
          </x14:formula1>
          <xm:sqref>GEY786439:GEY786462</xm:sqref>
        </x14:dataValidation>
        <x14:dataValidation type="list" allowBlank="1" showInputMessage="1" showErrorMessage="1" xr:uid="{BE820558-52A2-41BC-9497-ABD104A8918E}">
          <x14:formula1>
            <xm:f>項目!C17:$GOM$786433</xm:f>
          </x14:formula1>
          <xm:sqref>GOU786439:GOU786462</xm:sqref>
        </x14:dataValidation>
        <x14:dataValidation type="list" allowBlank="1" showInputMessage="1" showErrorMessage="1" xr:uid="{A311C04F-04FB-4ED8-9F7E-54A111B54095}">
          <x14:formula1>
            <xm:f>項目!C17:$GYI$786433</xm:f>
          </x14:formula1>
          <xm:sqref>GYQ786439:GYQ786462</xm:sqref>
        </x14:dataValidation>
        <x14:dataValidation type="list" allowBlank="1" showInputMessage="1" showErrorMessage="1" xr:uid="{60289D65-7CC4-48C4-88F5-42A0BA60CD3D}">
          <x14:formula1>
            <xm:f>項目!C17:$HIE$786433</xm:f>
          </x14:formula1>
          <xm:sqref>HIM786439:HIM786462</xm:sqref>
        </x14:dataValidation>
        <x14:dataValidation type="list" allowBlank="1" showInputMessage="1" showErrorMessage="1" xr:uid="{EA1D4736-C348-4073-AFB8-2D2A107D9D5D}">
          <x14:formula1>
            <xm:f>項目!C17:$HSA$786433</xm:f>
          </x14:formula1>
          <xm:sqref>HSI786439:HSI786462</xm:sqref>
        </x14:dataValidation>
        <x14:dataValidation type="list" allowBlank="1" showInputMessage="1" showErrorMessage="1" xr:uid="{48F346E9-11AE-401A-BB1E-A17D97334C4D}">
          <x14:formula1>
            <xm:f>項目!C17:$IBW$786433</xm:f>
          </x14:formula1>
          <xm:sqref>ICE786439:ICE786462</xm:sqref>
        </x14:dataValidation>
        <x14:dataValidation type="list" allowBlank="1" showInputMessage="1" showErrorMessage="1" xr:uid="{7DF181E2-46A2-40F1-8F70-46862C2974EC}">
          <x14:formula1>
            <xm:f>項目!C17:$ILS$786433</xm:f>
          </x14:formula1>
          <xm:sqref>IMA786439:IMA786462</xm:sqref>
        </x14:dataValidation>
        <x14:dataValidation type="list" allowBlank="1" showInputMessage="1" showErrorMessage="1" xr:uid="{FF6AFDC8-0B26-4EDF-B6D1-E9BEA18674AC}">
          <x14:formula1>
            <xm:f>項目!C17:$IVO$786433</xm:f>
          </x14:formula1>
          <xm:sqref>IVW786439:IVW786462</xm:sqref>
        </x14:dataValidation>
        <x14:dataValidation type="list" allowBlank="1" showInputMessage="1" showErrorMessage="1" xr:uid="{7A5BAA1A-07D0-428C-8647-9EE9E18AA06A}">
          <x14:formula1>
            <xm:f>項目!C17:$JFK$786433</xm:f>
          </x14:formula1>
          <xm:sqref>JFS786439:JFS786462</xm:sqref>
        </x14:dataValidation>
        <x14:dataValidation type="list" allowBlank="1" showInputMessage="1" showErrorMessage="1" xr:uid="{3814D672-AC8F-4941-9221-91AA3F97C5F2}">
          <x14:formula1>
            <xm:f>項目!C17:$JPG$786433</xm:f>
          </x14:formula1>
          <xm:sqref>JPO786439:JPO786462</xm:sqref>
        </x14:dataValidation>
        <x14:dataValidation type="list" allowBlank="1" showInputMessage="1" showErrorMessage="1" xr:uid="{733AD7BD-32E4-4F25-A9FF-EBCC06A99440}">
          <x14:formula1>
            <xm:f>項目!C17:$JZC$786433</xm:f>
          </x14:formula1>
          <xm:sqref>JZK786439:JZK786462</xm:sqref>
        </x14:dataValidation>
        <x14:dataValidation type="list" allowBlank="1" showInputMessage="1" showErrorMessage="1" xr:uid="{FFEFC95E-82E7-4612-ABE8-16303AB63A2C}">
          <x14:formula1>
            <xm:f>項目!C17:$KIY$786433</xm:f>
          </x14:formula1>
          <xm:sqref>KJG786439:KJG786462</xm:sqref>
        </x14:dataValidation>
        <x14:dataValidation type="list" allowBlank="1" showInputMessage="1" showErrorMessage="1" xr:uid="{CA690BA4-C7CC-4368-AB6D-3B37B02B6BA6}">
          <x14:formula1>
            <xm:f>項目!C17:$KSU$786433</xm:f>
          </x14:formula1>
          <xm:sqref>KTC786439:KTC786462</xm:sqref>
        </x14:dataValidation>
        <x14:dataValidation type="list" allowBlank="1" showInputMessage="1" showErrorMessage="1" xr:uid="{D0FBD54A-0BB1-49B9-AD7B-D0886509F25B}">
          <x14:formula1>
            <xm:f>項目!C17:$LCQ$786433</xm:f>
          </x14:formula1>
          <xm:sqref>LCY786439:LCY786462</xm:sqref>
        </x14:dataValidation>
        <x14:dataValidation type="list" allowBlank="1" showInputMessage="1" showErrorMessage="1" xr:uid="{229E8566-E466-4028-8545-4E70E5E39118}">
          <x14:formula1>
            <xm:f>項目!C17:$LMM$786433</xm:f>
          </x14:formula1>
          <xm:sqref>LMU786439:LMU786462</xm:sqref>
        </x14:dataValidation>
        <x14:dataValidation type="list" allowBlank="1" showInputMessage="1" showErrorMessage="1" xr:uid="{935912B3-F861-4D01-B3E5-D17CB38531F8}">
          <x14:formula1>
            <xm:f>項目!C17:$LWI$786433</xm:f>
          </x14:formula1>
          <xm:sqref>LWQ786439:LWQ786462</xm:sqref>
        </x14:dataValidation>
        <x14:dataValidation type="list" allowBlank="1" showInputMessage="1" showErrorMessage="1" xr:uid="{1D108D04-FFA9-47C6-B140-B096E9D4A6BC}">
          <x14:formula1>
            <xm:f>項目!C17:$MGE$786433</xm:f>
          </x14:formula1>
          <xm:sqref>MGM786439:MGM786462</xm:sqref>
        </x14:dataValidation>
        <x14:dataValidation type="list" allowBlank="1" showInputMessage="1" showErrorMessage="1" xr:uid="{CE5510FF-C13C-411F-AA69-966DBECD1F40}">
          <x14:formula1>
            <xm:f>項目!C17:$MQA$786433</xm:f>
          </x14:formula1>
          <xm:sqref>MQI786439:MQI786462</xm:sqref>
        </x14:dataValidation>
        <x14:dataValidation type="list" allowBlank="1" showInputMessage="1" showErrorMessage="1" xr:uid="{5EBC4617-A80D-4E88-A563-895A1E47390A}">
          <x14:formula1>
            <xm:f>項目!C17:$MZW$786433</xm:f>
          </x14:formula1>
          <xm:sqref>NAE786439:NAE786462</xm:sqref>
        </x14:dataValidation>
        <x14:dataValidation type="list" allowBlank="1" showInputMessage="1" showErrorMessage="1" xr:uid="{FDEBB27B-468E-4544-80DB-20D73600786C}">
          <x14:formula1>
            <xm:f>項目!C17:$NJS$786433</xm:f>
          </x14:formula1>
          <xm:sqref>NKA786439:NKA786462</xm:sqref>
        </x14:dataValidation>
        <x14:dataValidation type="list" allowBlank="1" showInputMessage="1" showErrorMessage="1" xr:uid="{266B5AB5-0834-4014-B8A4-689858A07005}">
          <x14:formula1>
            <xm:f>項目!C17:$NTO$786433</xm:f>
          </x14:formula1>
          <xm:sqref>NTW786439:NTW786462</xm:sqref>
        </x14:dataValidation>
        <x14:dataValidation type="list" allowBlank="1" showInputMessage="1" showErrorMessage="1" xr:uid="{C41B6F66-946B-4F8E-AF9A-2D4E76E9ED72}">
          <x14:formula1>
            <xm:f>項目!C17:$ODK$786433</xm:f>
          </x14:formula1>
          <xm:sqref>ODS786439:ODS786462</xm:sqref>
        </x14:dataValidation>
        <x14:dataValidation type="list" allowBlank="1" showInputMessage="1" showErrorMessage="1" xr:uid="{C2C3E4DB-6925-4E88-9637-085DDA5BD498}">
          <x14:formula1>
            <xm:f>項目!C17:$ONG$786433</xm:f>
          </x14:formula1>
          <xm:sqref>ONO786439:ONO786462</xm:sqref>
        </x14:dataValidation>
        <x14:dataValidation type="list" allowBlank="1" showInputMessage="1" showErrorMessage="1" xr:uid="{A321F8CA-D1E2-4D5A-B6A3-1643DAE1C451}">
          <x14:formula1>
            <xm:f>項目!C17:$OXC$786433</xm:f>
          </x14:formula1>
          <xm:sqref>OXK786439:OXK786462</xm:sqref>
        </x14:dataValidation>
        <x14:dataValidation type="list" allowBlank="1" showInputMessage="1" showErrorMessage="1" xr:uid="{926F8CCF-E7B4-4DFC-9D4F-BFC4C28BE7DB}">
          <x14:formula1>
            <xm:f>項目!C17:$PGY$786433</xm:f>
          </x14:formula1>
          <xm:sqref>PHG786439:PHG786462</xm:sqref>
        </x14:dataValidation>
        <x14:dataValidation type="list" allowBlank="1" showInputMessage="1" showErrorMessage="1" xr:uid="{7BB29966-6D38-4CE0-B3F6-F8A49D36FE7A}">
          <x14:formula1>
            <xm:f>項目!C17:$PQU$786433</xm:f>
          </x14:formula1>
          <xm:sqref>PRC786439:PRC786462</xm:sqref>
        </x14:dataValidation>
        <x14:dataValidation type="list" allowBlank="1" showInputMessage="1" showErrorMessage="1" xr:uid="{EF2934A7-9248-4FC9-AA71-410B7586C8E7}">
          <x14:formula1>
            <xm:f>項目!C17:$QAQ$786433</xm:f>
          </x14:formula1>
          <xm:sqref>QAY786439:QAY786462</xm:sqref>
        </x14:dataValidation>
        <x14:dataValidation type="list" allowBlank="1" showInputMessage="1" showErrorMessage="1" xr:uid="{992CE152-376C-4294-AA84-5AC6BB7D8E9A}">
          <x14:formula1>
            <xm:f>項目!C17:$QKM$786433</xm:f>
          </x14:formula1>
          <xm:sqref>QKU786439:QKU786462</xm:sqref>
        </x14:dataValidation>
        <x14:dataValidation type="list" allowBlank="1" showInputMessage="1" showErrorMessage="1" xr:uid="{88426DB3-8893-4D2B-AEF0-6A09BC198BC9}">
          <x14:formula1>
            <xm:f>項目!C17:$QUI$786433</xm:f>
          </x14:formula1>
          <xm:sqref>QUQ786439:QUQ786462</xm:sqref>
        </x14:dataValidation>
        <x14:dataValidation type="list" allowBlank="1" showInputMessage="1" showErrorMessage="1" xr:uid="{A34B5038-FEE9-4DCA-9CB4-0FEDC09DAAE9}">
          <x14:formula1>
            <xm:f>項目!C17:$REE$786433</xm:f>
          </x14:formula1>
          <xm:sqref>REM786439:REM786462</xm:sqref>
        </x14:dataValidation>
        <x14:dataValidation type="list" allowBlank="1" showInputMessage="1" showErrorMessage="1" xr:uid="{F43D8FAE-D6FE-4248-94F6-C5FD18815BC3}">
          <x14:formula1>
            <xm:f>項目!C17:$ROA$786433</xm:f>
          </x14:formula1>
          <xm:sqref>ROI786439:ROI786462</xm:sqref>
        </x14:dataValidation>
        <x14:dataValidation type="list" allowBlank="1" showInputMessage="1" showErrorMessage="1" xr:uid="{A03993DB-7373-4583-BB77-29F56108CC32}">
          <x14:formula1>
            <xm:f>項目!C17:$RXW$786433</xm:f>
          </x14:formula1>
          <xm:sqref>RYE786439:RYE786462</xm:sqref>
        </x14:dataValidation>
        <x14:dataValidation type="list" allowBlank="1" showInputMessage="1" showErrorMessage="1" xr:uid="{F3A86961-0E44-4AEA-B1D4-1A3EEA1870CD}">
          <x14:formula1>
            <xm:f>項目!C17:$SHS$786433</xm:f>
          </x14:formula1>
          <xm:sqref>SIA786439:SIA786462</xm:sqref>
        </x14:dataValidation>
        <x14:dataValidation type="list" allowBlank="1" showInputMessage="1" showErrorMessage="1" xr:uid="{F769BD3B-052E-4342-80AD-7222DA42EB7A}">
          <x14:formula1>
            <xm:f>項目!C17:$SRO$786433</xm:f>
          </x14:formula1>
          <xm:sqref>SRW786439:SRW786462</xm:sqref>
        </x14:dataValidation>
        <x14:dataValidation type="list" allowBlank="1" showInputMessage="1" showErrorMessage="1" xr:uid="{4AB61C8D-67CC-425B-A904-359FA91EEE0B}">
          <x14:formula1>
            <xm:f>項目!C17:$TBK$786433</xm:f>
          </x14:formula1>
          <xm:sqref>TBS786439:TBS786462</xm:sqref>
        </x14:dataValidation>
        <x14:dataValidation type="list" allowBlank="1" showInputMessage="1" showErrorMessage="1" xr:uid="{A8D7F6E4-2298-4A9D-9469-E5ACD6421818}">
          <x14:formula1>
            <xm:f>項目!C17:$TLG$786433</xm:f>
          </x14:formula1>
          <xm:sqref>TLO786439:TLO786462</xm:sqref>
        </x14:dataValidation>
        <x14:dataValidation type="list" allowBlank="1" showInputMessage="1" showErrorMessage="1" xr:uid="{51F1E0DB-EDAB-4018-B98B-E2B36CAABEE8}">
          <x14:formula1>
            <xm:f>項目!C17:$TVC$786433</xm:f>
          </x14:formula1>
          <xm:sqref>TVK786439:TVK786462</xm:sqref>
        </x14:dataValidation>
        <x14:dataValidation type="list" allowBlank="1" showInputMessage="1" showErrorMessage="1" xr:uid="{9E3B4EE7-2ACE-42BC-B577-4B2431F2A398}">
          <x14:formula1>
            <xm:f>項目!C17:$UEY$786433</xm:f>
          </x14:formula1>
          <xm:sqref>UFG786439:UFG786462</xm:sqref>
        </x14:dataValidation>
        <x14:dataValidation type="list" allowBlank="1" showInputMessage="1" showErrorMessage="1" xr:uid="{058ADEEC-1C79-491B-A5D2-E469E28AE18D}">
          <x14:formula1>
            <xm:f>項目!C17:$UOU$786433</xm:f>
          </x14:formula1>
          <xm:sqref>UPC786439:UPC786462</xm:sqref>
        </x14:dataValidation>
        <x14:dataValidation type="list" allowBlank="1" showInputMessage="1" showErrorMessage="1" xr:uid="{732A703F-7783-49AA-83DC-FB09162C1E8E}">
          <x14:formula1>
            <xm:f>項目!C17:$UYQ$786433</xm:f>
          </x14:formula1>
          <xm:sqref>UYY786439:UYY786462</xm:sqref>
        </x14:dataValidation>
        <x14:dataValidation type="list" allowBlank="1" showInputMessage="1" showErrorMessage="1" xr:uid="{9C3B95BA-B2A1-442F-94A0-275DB9D79D22}">
          <x14:formula1>
            <xm:f>項目!C17:$VIM$786433</xm:f>
          </x14:formula1>
          <xm:sqref>VIU786439:VIU786462</xm:sqref>
        </x14:dataValidation>
        <x14:dataValidation type="list" allowBlank="1" showInputMessage="1" showErrorMessage="1" xr:uid="{9FA0B8C8-EE3E-4943-9219-DF6663F8746E}">
          <x14:formula1>
            <xm:f>項目!C17:$VSI$786433</xm:f>
          </x14:formula1>
          <xm:sqref>VSQ786439:VSQ786462</xm:sqref>
        </x14:dataValidation>
        <x14:dataValidation type="list" allowBlank="1" showInputMessage="1" showErrorMessage="1" xr:uid="{096AA108-95BE-4BC3-9E0D-59E2ACD29E09}">
          <x14:formula1>
            <xm:f>項目!C17:$WCE$786433</xm:f>
          </x14:formula1>
          <xm:sqref>WCM786439:WCM786462</xm:sqref>
        </x14:dataValidation>
        <x14:dataValidation type="list" allowBlank="1" showInputMessage="1" showErrorMessage="1" xr:uid="{2623040C-2D84-4FB1-A274-CEB58A682E1F}">
          <x14:formula1>
            <xm:f>項目!C17:$WMA$786433</xm:f>
          </x14:formula1>
          <xm:sqref>WMI786439:WMI786462</xm:sqref>
        </x14:dataValidation>
        <x14:dataValidation type="list" allowBlank="1" showInputMessage="1" showErrorMessage="1" xr:uid="{A7715EA4-C244-4FD4-8D43-2A4D81ACC9FA}">
          <x14:formula1>
            <xm:f>項目!C17:$WVW$786433</xm:f>
          </x14:formula1>
          <xm:sqref>WWE786439:WWE786462</xm:sqref>
        </x14:dataValidation>
        <x14:dataValidation type="list" allowBlank="1" showInputMessage="1" showErrorMessage="1" xr:uid="{57E1B221-CC15-4F0D-8718-0351FFFD12F2}">
          <x14:formula1>
            <xm:f>項目!C17:$P$851969</xm:f>
          </x14:formula1>
          <xm:sqref>W851975:W851998</xm:sqref>
        </x14:dataValidation>
        <x14:dataValidation type="list" allowBlank="1" showInputMessage="1" showErrorMessage="1" xr:uid="{4416CDCB-9065-4D9B-8AAD-D8C68D62DFED}">
          <x14:formula1>
            <xm:f>項目!C17:$JK$851969</xm:f>
          </x14:formula1>
          <xm:sqref>JS851975:JS851998</xm:sqref>
        </x14:dataValidation>
        <x14:dataValidation type="list" allowBlank="1" showInputMessage="1" showErrorMessage="1" xr:uid="{C61A34C4-9242-4976-A173-A54FFF7959A8}">
          <x14:formula1>
            <xm:f>項目!C17:$TG$851969</xm:f>
          </x14:formula1>
          <xm:sqref>TO851975:TO851998</xm:sqref>
        </x14:dataValidation>
        <x14:dataValidation type="list" allowBlank="1" showInputMessage="1" showErrorMessage="1" xr:uid="{86BDF3F6-27CD-4862-9F2E-2D7E298B3C5C}">
          <x14:formula1>
            <xm:f>項目!C17:$ADC$851969</xm:f>
          </x14:formula1>
          <xm:sqref>ADK851975:ADK851998</xm:sqref>
        </x14:dataValidation>
        <x14:dataValidation type="list" allowBlank="1" showInputMessage="1" showErrorMessage="1" xr:uid="{98FCBF84-460D-4250-852C-DCE616FC5BFC}">
          <x14:formula1>
            <xm:f>項目!C17:$AMY$851969</xm:f>
          </x14:formula1>
          <xm:sqref>ANG851975:ANG851998</xm:sqref>
        </x14:dataValidation>
        <x14:dataValidation type="list" allowBlank="1" showInputMessage="1" showErrorMessage="1" xr:uid="{317CC2D4-5D7A-40EF-BB50-BD101E7E88A0}">
          <x14:formula1>
            <xm:f>項目!C17:$AWU$851969</xm:f>
          </x14:formula1>
          <xm:sqref>AXC851975:AXC851998</xm:sqref>
        </x14:dataValidation>
        <x14:dataValidation type="list" allowBlank="1" showInputMessage="1" showErrorMessage="1" xr:uid="{915AB384-686B-4067-AB62-25B77FBC7FFA}">
          <x14:formula1>
            <xm:f>項目!C17:$BGQ$851969</xm:f>
          </x14:formula1>
          <xm:sqref>BGY851975:BGY851998</xm:sqref>
        </x14:dataValidation>
        <x14:dataValidation type="list" allowBlank="1" showInputMessage="1" showErrorMessage="1" xr:uid="{EE5BA715-2786-4268-8B73-165A19E2FB35}">
          <x14:formula1>
            <xm:f>項目!C17:$BQM$851969</xm:f>
          </x14:formula1>
          <xm:sqref>BQU851975:BQU851998</xm:sqref>
        </x14:dataValidation>
        <x14:dataValidation type="list" allowBlank="1" showInputMessage="1" showErrorMessage="1" xr:uid="{D604BBF2-DA03-4F40-9F39-E8B3E297893A}">
          <x14:formula1>
            <xm:f>項目!C17:$CAI$851969</xm:f>
          </x14:formula1>
          <xm:sqref>CAQ851975:CAQ851998</xm:sqref>
        </x14:dataValidation>
        <x14:dataValidation type="list" allowBlank="1" showInputMessage="1" showErrorMessage="1" xr:uid="{697DC701-A94C-4CF7-8C36-82791E22BB90}">
          <x14:formula1>
            <xm:f>項目!C17:$CKE$851969</xm:f>
          </x14:formula1>
          <xm:sqref>CKM851975:CKM851998</xm:sqref>
        </x14:dataValidation>
        <x14:dataValidation type="list" allowBlank="1" showInputMessage="1" showErrorMessage="1" xr:uid="{B18E7127-4A10-4978-856E-5CE1BA929139}">
          <x14:formula1>
            <xm:f>項目!C17:$CUA$851969</xm:f>
          </x14:formula1>
          <xm:sqref>CUI851975:CUI851998</xm:sqref>
        </x14:dataValidation>
        <x14:dataValidation type="list" allowBlank="1" showInputMessage="1" showErrorMessage="1" xr:uid="{AA01508C-B1A8-41BF-BF12-EBED2067887F}">
          <x14:formula1>
            <xm:f>項目!C17:$DDW$851969</xm:f>
          </x14:formula1>
          <xm:sqref>DEE851975:DEE851998</xm:sqref>
        </x14:dataValidation>
        <x14:dataValidation type="list" allowBlank="1" showInputMessage="1" showErrorMessage="1" xr:uid="{CD31B38B-C6CC-45CE-B7EA-67797BCEAFB9}">
          <x14:formula1>
            <xm:f>項目!C17:$DNS$851969</xm:f>
          </x14:formula1>
          <xm:sqref>DOA851975:DOA851998</xm:sqref>
        </x14:dataValidation>
        <x14:dataValidation type="list" allowBlank="1" showInputMessage="1" showErrorMessage="1" xr:uid="{6592FFF0-FD08-4173-9683-BEDE1EDCB82F}">
          <x14:formula1>
            <xm:f>項目!C17:$DXO$851969</xm:f>
          </x14:formula1>
          <xm:sqref>DXW851975:DXW851998</xm:sqref>
        </x14:dataValidation>
        <x14:dataValidation type="list" allowBlank="1" showInputMessage="1" showErrorMessage="1" xr:uid="{B19D9BAB-698A-4A20-8CA6-9973CF8A62F4}">
          <x14:formula1>
            <xm:f>項目!C17:$EHK$851969</xm:f>
          </x14:formula1>
          <xm:sqref>EHS851975:EHS851998</xm:sqref>
        </x14:dataValidation>
        <x14:dataValidation type="list" allowBlank="1" showInputMessage="1" showErrorMessage="1" xr:uid="{E1CFE6B5-4EED-4705-87AB-9D3DA6DCC4DE}">
          <x14:formula1>
            <xm:f>項目!C17:$ERG$851969</xm:f>
          </x14:formula1>
          <xm:sqref>ERO851975:ERO851998</xm:sqref>
        </x14:dataValidation>
        <x14:dataValidation type="list" allowBlank="1" showInputMessage="1" showErrorMessage="1" xr:uid="{97CB1D7D-97F7-4166-AA1D-CCAE44B78DCA}">
          <x14:formula1>
            <xm:f>項目!C17:$FBC$851969</xm:f>
          </x14:formula1>
          <xm:sqref>FBK851975:FBK851998</xm:sqref>
        </x14:dataValidation>
        <x14:dataValidation type="list" allowBlank="1" showInputMessage="1" showErrorMessage="1" xr:uid="{F2E04FD6-CAC8-4265-B00B-09FB9B218B02}">
          <x14:formula1>
            <xm:f>項目!C17:$FKY$851969</xm:f>
          </x14:formula1>
          <xm:sqref>FLG851975:FLG851998</xm:sqref>
        </x14:dataValidation>
        <x14:dataValidation type="list" allowBlank="1" showInputMessage="1" showErrorMessage="1" xr:uid="{44277E3E-AA9C-4B6B-A30C-9D74335C1DF5}">
          <x14:formula1>
            <xm:f>項目!C17:$FUU$851969</xm:f>
          </x14:formula1>
          <xm:sqref>FVC851975:FVC851998</xm:sqref>
        </x14:dataValidation>
        <x14:dataValidation type="list" allowBlank="1" showInputMessage="1" showErrorMessage="1" xr:uid="{F14A88B3-EAAD-459D-AE2F-CA913E237584}">
          <x14:formula1>
            <xm:f>項目!C17:$GEQ$851969</xm:f>
          </x14:formula1>
          <xm:sqref>GEY851975:GEY851998</xm:sqref>
        </x14:dataValidation>
        <x14:dataValidation type="list" allowBlank="1" showInputMessage="1" showErrorMessage="1" xr:uid="{0ABB7565-44C6-4F7A-AF74-A37127EEF369}">
          <x14:formula1>
            <xm:f>項目!C17:$GOM$851969</xm:f>
          </x14:formula1>
          <xm:sqref>GOU851975:GOU851998</xm:sqref>
        </x14:dataValidation>
        <x14:dataValidation type="list" allowBlank="1" showInputMessage="1" showErrorMessage="1" xr:uid="{96AD9E97-B26B-49B1-9787-1D6288593DC8}">
          <x14:formula1>
            <xm:f>項目!C17:$GYI$851969</xm:f>
          </x14:formula1>
          <xm:sqref>GYQ851975:GYQ851998</xm:sqref>
        </x14:dataValidation>
        <x14:dataValidation type="list" allowBlank="1" showInputMessage="1" showErrorMessage="1" xr:uid="{973B353F-D889-4276-B689-B513793DDF16}">
          <x14:formula1>
            <xm:f>項目!C17:$HIE$851969</xm:f>
          </x14:formula1>
          <xm:sqref>HIM851975:HIM851998</xm:sqref>
        </x14:dataValidation>
        <x14:dataValidation type="list" allowBlank="1" showInputMessage="1" showErrorMessage="1" xr:uid="{6CB4D3B1-0C1F-46BD-8B09-DF376F171787}">
          <x14:formula1>
            <xm:f>項目!C17:$HSA$851969</xm:f>
          </x14:formula1>
          <xm:sqref>HSI851975:HSI851998</xm:sqref>
        </x14:dataValidation>
        <x14:dataValidation type="list" allowBlank="1" showInputMessage="1" showErrorMessage="1" xr:uid="{3AAE4416-7D39-438C-8134-FA1404EC4DD7}">
          <x14:formula1>
            <xm:f>項目!C17:$IBW$851969</xm:f>
          </x14:formula1>
          <xm:sqref>ICE851975:ICE851998</xm:sqref>
        </x14:dataValidation>
        <x14:dataValidation type="list" allowBlank="1" showInputMessage="1" showErrorMessage="1" xr:uid="{5F0E47B4-338C-4ED4-A342-EADC4E506001}">
          <x14:formula1>
            <xm:f>項目!C17:$ILS$851969</xm:f>
          </x14:formula1>
          <xm:sqref>IMA851975:IMA851998</xm:sqref>
        </x14:dataValidation>
        <x14:dataValidation type="list" allowBlank="1" showInputMessage="1" showErrorMessage="1" xr:uid="{588DF61F-654E-4B95-B236-24C21167FAA5}">
          <x14:formula1>
            <xm:f>項目!C17:$IVO$851969</xm:f>
          </x14:formula1>
          <xm:sqref>IVW851975:IVW851998</xm:sqref>
        </x14:dataValidation>
        <x14:dataValidation type="list" allowBlank="1" showInputMessage="1" showErrorMessage="1" xr:uid="{04F0B5D5-0B37-4940-8CEC-98ABF8DC40DB}">
          <x14:formula1>
            <xm:f>項目!C17:$JFK$851969</xm:f>
          </x14:formula1>
          <xm:sqref>JFS851975:JFS851998</xm:sqref>
        </x14:dataValidation>
        <x14:dataValidation type="list" allowBlank="1" showInputMessage="1" showErrorMessage="1" xr:uid="{D90B1E6D-EF64-4F34-B9C2-9C273EF32AE1}">
          <x14:formula1>
            <xm:f>項目!C17:$JPG$851969</xm:f>
          </x14:formula1>
          <xm:sqref>JPO851975:JPO851998</xm:sqref>
        </x14:dataValidation>
        <x14:dataValidation type="list" allowBlank="1" showInputMessage="1" showErrorMessage="1" xr:uid="{79410758-37CE-4D05-A13F-05BEEACBEE79}">
          <x14:formula1>
            <xm:f>項目!C17:$JZC$851969</xm:f>
          </x14:formula1>
          <xm:sqref>JZK851975:JZK851998</xm:sqref>
        </x14:dataValidation>
        <x14:dataValidation type="list" allowBlank="1" showInputMessage="1" showErrorMessage="1" xr:uid="{4705CD6A-205E-4151-BBE9-9AB3103F5F56}">
          <x14:formula1>
            <xm:f>項目!C17:$KIY$851969</xm:f>
          </x14:formula1>
          <xm:sqref>KJG851975:KJG851998</xm:sqref>
        </x14:dataValidation>
        <x14:dataValidation type="list" allowBlank="1" showInputMessage="1" showErrorMessage="1" xr:uid="{3ACC38FC-0942-491D-BDF5-19811E19AC0E}">
          <x14:formula1>
            <xm:f>項目!C17:$KSU$851969</xm:f>
          </x14:formula1>
          <xm:sqref>KTC851975:KTC851998</xm:sqref>
        </x14:dataValidation>
        <x14:dataValidation type="list" allowBlank="1" showInputMessage="1" showErrorMessage="1" xr:uid="{DB7DE1CE-8D74-421C-843C-062C0895B26F}">
          <x14:formula1>
            <xm:f>項目!C17:$LCQ$851969</xm:f>
          </x14:formula1>
          <xm:sqref>LCY851975:LCY851998</xm:sqref>
        </x14:dataValidation>
        <x14:dataValidation type="list" allowBlank="1" showInputMessage="1" showErrorMessage="1" xr:uid="{89675F6C-CF92-4558-8F9B-C80E31AA6DBB}">
          <x14:formula1>
            <xm:f>項目!C17:$LMM$851969</xm:f>
          </x14:formula1>
          <xm:sqref>LMU851975:LMU851998</xm:sqref>
        </x14:dataValidation>
        <x14:dataValidation type="list" allowBlank="1" showInputMessage="1" showErrorMessage="1" xr:uid="{C2438776-BC4D-4D15-8261-D125C117F831}">
          <x14:formula1>
            <xm:f>項目!C17:$LWI$851969</xm:f>
          </x14:formula1>
          <xm:sqref>LWQ851975:LWQ851998</xm:sqref>
        </x14:dataValidation>
        <x14:dataValidation type="list" allowBlank="1" showInputMessage="1" showErrorMessage="1" xr:uid="{C110E2A9-9573-4477-9960-3F7065117E55}">
          <x14:formula1>
            <xm:f>項目!C17:$MGE$851969</xm:f>
          </x14:formula1>
          <xm:sqref>MGM851975:MGM851998</xm:sqref>
        </x14:dataValidation>
        <x14:dataValidation type="list" allowBlank="1" showInputMessage="1" showErrorMessage="1" xr:uid="{B1CC7670-8178-498B-8AE4-A8CA9FC66752}">
          <x14:formula1>
            <xm:f>項目!C17:$MQA$851969</xm:f>
          </x14:formula1>
          <xm:sqref>MQI851975:MQI851998</xm:sqref>
        </x14:dataValidation>
        <x14:dataValidation type="list" allowBlank="1" showInputMessage="1" showErrorMessage="1" xr:uid="{A3E6C094-BA3D-4667-B487-742F4BA52EB7}">
          <x14:formula1>
            <xm:f>項目!C17:$MZW$851969</xm:f>
          </x14:formula1>
          <xm:sqref>NAE851975:NAE851998</xm:sqref>
        </x14:dataValidation>
        <x14:dataValidation type="list" allowBlank="1" showInputMessage="1" showErrorMessage="1" xr:uid="{9B5ABD52-7B56-459F-B76E-A896097A2D00}">
          <x14:formula1>
            <xm:f>項目!C17:$NJS$851969</xm:f>
          </x14:formula1>
          <xm:sqref>NKA851975:NKA851998</xm:sqref>
        </x14:dataValidation>
        <x14:dataValidation type="list" allowBlank="1" showInputMessage="1" showErrorMessage="1" xr:uid="{424D2A76-7505-4B54-8EE7-8B0B688347AD}">
          <x14:formula1>
            <xm:f>項目!C17:$NTO$851969</xm:f>
          </x14:formula1>
          <xm:sqref>NTW851975:NTW851998</xm:sqref>
        </x14:dataValidation>
        <x14:dataValidation type="list" allowBlank="1" showInputMessage="1" showErrorMessage="1" xr:uid="{EF3C29EB-042C-451F-A3C1-D7B7F83A39C0}">
          <x14:formula1>
            <xm:f>項目!C17:$ODK$851969</xm:f>
          </x14:formula1>
          <xm:sqref>ODS851975:ODS851998</xm:sqref>
        </x14:dataValidation>
        <x14:dataValidation type="list" allowBlank="1" showInputMessage="1" showErrorMessage="1" xr:uid="{8E494C96-33A4-4E18-BB8E-EEA11BAF9888}">
          <x14:formula1>
            <xm:f>項目!C17:$ONG$851969</xm:f>
          </x14:formula1>
          <xm:sqref>ONO851975:ONO851998</xm:sqref>
        </x14:dataValidation>
        <x14:dataValidation type="list" allowBlank="1" showInputMessage="1" showErrorMessage="1" xr:uid="{41061D2D-8A6B-48CB-9111-FA624BC16AAE}">
          <x14:formula1>
            <xm:f>項目!C17:$OXC$851969</xm:f>
          </x14:formula1>
          <xm:sqref>OXK851975:OXK851998</xm:sqref>
        </x14:dataValidation>
        <x14:dataValidation type="list" allowBlank="1" showInputMessage="1" showErrorMessage="1" xr:uid="{FD158C04-1701-45CB-AB49-B5A14019E749}">
          <x14:formula1>
            <xm:f>項目!C17:$PGY$851969</xm:f>
          </x14:formula1>
          <xm:sqref>PHG851975:PHG851998</xm:sqref>
        </x14:dataValidation>
        <x14:dataValidation type="list" allowBlank="1" showInputMessage="1" showErrorMessage="1" xr:uid="{AC922476-DAE3-4B3F-9D72-42C78E3CE8D2}">
          <x14:formula1>
            <xm:f>項目!C17:$PQU$851969</xm:f>
          </x14:formula1>
          <xm:sqref>PRC851975:PRC851998</xm:sqref>
        </x14:dataValidation>
        <x14:dataValidation type="list" allowBlank="1" showInputMessage="1" showErrorMessage="1" xr:uid="{51634C55-4CA6-4250-B645-117CB8B33819}">
          <x14:formula1>
            <xm:f>項目!C17:$QAQ$851969</xm:f>
          </x14:formula1>
          <xm:sqref>QAY851975:QAY851998</xm:sqref>
        </x14:dataValidation>
        <x14:dataValidation type="list" allowBlank="1" showInputMessage="1" showErrorMessage="1" xr:uid="{7CE57410-D6D5-412B-AFD8-AD989AB4D0C1}">
          <x14:formula1>
            <xm:f>項目!C17:$QKM$851969</xm:f>
          </x14:formula1>
          <xm:sqref>QKU851975:QKU851998</xm:sqref>
        </x14:dataValidation>
        <x14:dataValidation type="list" allowBlank="1" showInputMessage="1" showErrorMessage="1" xr:uid="{08BEF82E-A8B2-4DF5-8E0A-A2E1C8EA08CB}">
          <x14:formula1>
            <xm:f>項目!C17:$QUI$851969</xm:f>
          </x14:formula1>
          <xm:sqref>QUQ851975:QUQ851998</xm:sqref>
        </x14:dataValidation>
        <x14:dataValidation type="list" allowBlank="1" showInputMessage="1" showErrorMessage="1" xr:uid="{A0A26C2E-55D3-47C5-8E0D-06482B9EA5C2}">
          <x14:formula1>
            <xm:f>項目!C17:$REE$851969</xm:f>
          </x14:formula1>
          <xm:sqref>REM851975:REM851998</xm:sqref>
        </x14:dataValidation>
        <x14:dataValidation type="list" allowBlank="1" showInputMessage="1" showErrorMessage="1" xr:uid="{46D3C642-F8BD-4150-8C02-9A7CF6DA4F97}">
          <x14:formula1>
            <xm:f>項目!C17:$ROA$851969</xm:f>
          </x14:formula1>
          <xm:sqref>ROI851975:ROI851998</xm:sqref>
        </x14:dataValidation>
        <x14:dataValidation type="list" allowBlank="1" showInputMessage="1" showErrorMessage="1" xr:uid="{3FB62DFF-4484-43C5-B454-7C6F91B68E8F}">
          <x14:formula1>
            <xm:f>項目!C17:$RXW$851969</xm:f>
          </x14:formula1>
          <xm:sqref>RYE851975:RYE851998</xm:sqref>
        </x14:dataValidation>
        <x14:dataValidation type="list" allowBlank="1" showInputMessage="1" showErrorMessage="1" xr:uid="{3AE4D348-A6EE-4F37-812D-4B403ECD8D5A}">
          <x14:formula1>
            <xm:f>項目!C17:$SHS$851969</xm:f>
          </x14:formula1>
          <xm:sqref>SIA851975:SIA851998</xm:sqref>
        </x14:dataValidation>
        <x14:dataValidation type="list" allowBlank="1" showInputMessage="1" showErrorMessage="1" xr:uid="{57E57586-86EB-49F1-B4C3-3655C67FBCB8}">
          <x14:formula1>
            <xm:f>項目!C17:$SRO$851969</xm:f>
          </x14:formula1>
          <xm:sqref>SRW851975:SRW851998</xm:sqref>
        </x14:dataValidation>
        <x14:dataValidation type="list" allowBlank="1" showInputMessage="1" showErrorMessage="1" xr:uid="{E3B58744-63CF-472A-9D21-29FE10CD50EF}">
          <x14:formula1>
            <xm:f>項目!C17:$TBK$851969</xm:f>
          </x14:formula1>
          <xm:sqref>TBS851975:TBS851998</xm:sqref>
        </x14:dataValidation>
        <x14:dataValidation type="list" allowBlank="1" showInputMessage="1" showErrorMessage="1" xr:uid="{A7E93E5F-5270-4ACF-A648-50D239C8A4F1}">
          <x14:formula1>
            <xm:f>項目!C17:$TLG$851969</xm:f>
          </x14:formula1>
          <xm:sqref>TLO851975:TLO851998</xm:sqref>
        </x14:dataValidation>
        <x14:dataValidation type="list" allowBlank="1" showInputMessage="1" showErrorMessage="1" xr:uid="{850F1979-5536-47DC-9B2B-7037FE3FA6F2}">
          <x14:formula1>
            <xm:f>項目!C17:$TVC$851969</xm:f>
          </x14:formula1>
          <xm:sqref>TVK851975:TVK851998</xm:sqref>
        </x14:dataValidation>
        <x14:dataValidation type="list" allowBlank="1" showInputMessage="1" showErrorMessage="1" xr:uid="{974E6C93-E54B-416A-9940-7972B882BF2B}">
          <x14:formula1>
            <xm:f>項目!C17:$UEY$851969</xm:f>
          </x14:formula1>
          <xm:sqref>UFG851975:UFG851998</xm:sqref>
        </x14:dataValidation>
        <x14:dataValidation type="list" allowBlank="1" showInputMessage="1" showErrorMessage="1" xr:uid="{E7C93E2F-185D-4789-BB98-415E19616711}">
          <x14:formula1>
            <xm:f>項目!C17:$UOU$851969</xm:f>
          </x14:formula1>
          <xm:sqref>UPC851975:UPC851998</xm:sqref>
        </x14:dataValidation>
        <x14:dataValidation type="list" allowBlank="1" showInputMessage="1" showErrorMessage="1" xr:uid="{D8A3EDA6-FAF1-4BE9-9BD4-7D5CED247C62}">
          <x14:formula1>
            <xm:f>項目!C17:$UYQ$851969</xm:f>
          </x14:formula1>
          <xm:sqref>UYY851975:UYY851998</xm:sqref>
        </x14:dataValidation>
        <x14:dataValidation type="list" allowBlank="1" showInputMessage="1" showErrorMessage="1" xr:uid="{34F93AA2-AC43-421A-82CE-BFEB15416323}">
          <x14:formula1>
            <xm:f>項目!C17:$VIM$851969</xm:f>
          </x14:formula1>
          <xm:sqref>VIU851975:VIU851998</xm:sqref>
        </x14:dataValidation>
        <x14:dataValidation type="list" allowBlank="1" showInputMessage="1" showErrorMessage="1" xr:uid="{714E8188-81CF-4164-A09B-BD0151C78FEB}">
          <x14:formula1>
            <xm:f>項目!C17:$VSI$851969</xm:f>
          </x14:formula1>
          <xm:sqref>VSQ851975:VSQ851998</xm:sqref>
        </x14:dataValidation>
        <x14:dataValidation type="list" allowBlank="1" showInputMessage="1" showErrorMessage="1" xr:uid="{2DA77575-7274-44BA-A80E-17D339DD2B48}">
          <x14:formula1>
            <xm:f>項目!C17:$WCE$851969</xm:f>
          </x14:formula1>
          <xm:sqref>WCM851975:WCM851998</xm:sqref>
        </x14:dataValidation>
        <x14:dataValidation type="list" allowBlank="1" showInputMessage="1" showErrorMessage="1" xr:uid="{D1056ED2-3181-4B33-9AB8-857A4F342009}">
          <x14:formula1>
            <xm:f>項目!C17:$WMA$851969</xm:f>
          </x14:formula1>
          <xm:sqref>WMI851975:WMI851998</xm:sqref>
        </x14:dataValidation>
        <x14:dataValidation type="list" allowBlank="1" showInputMessage="1" showErrorMessage="1" xr:uid="{7F2112A0-F906-4C90-A249-A3FE0D86F71B}">
          <x14:formula1>
            <xm:f>項目!C17:$WVW$851969</xm:f>
          </x14:formula1>
          <xm:sqref>WWE851975:WWE851998</xm:sqref>
        </x14:dataValidation>
        <x14:dataValidation type="list" allowBlank="1" showInputMessage="1" showErrorMessage="1" xr:uid="{4FC6FA0C-BA18-483D-BC16-55FC1614B7B4}">
          <x14:formula1>
            <xm:f>項目!C17:$P$917505</xm:f>
          </x14:formula1>
          <xm:sqref>W917511:W917534</xm:sqref>
        </x14:dataValidation>
        <x14:dataValidation type="list" allowBlank="1" showInputMessage="1" showErrorMessage="1" xr:uid="{DE1F1999-9EC6-4071-941D-620E9B5BA0ED}">
          <x14:formula1>
            <xm:f>項目!C17:$JK$917505</xm:f>
          </x14:formula1>
          <xm:sqref>JS917511:JS917534</xm:sqref>
        </x14:dataValidation>
        <x14:dataValidation type="list" allowBlank="1" showInputMessage="1" showErrorMessage="1" xr:uid="{C7FB5F13-E76E-494D-B446-CB957EBD18E5}">
          <x14:formula1>
            <xm:f>項目!C17:$TG$917505</xm:f>
          </x14:formula1>
          <xm:sqref>TO917511:TO917534</xm:sqref>
        </x14:dataValidation>
        <x14:dataValidation type="list" allowBlank="1" showInputMessage="1" showErrorMessage="1" xr:uid="{00E4311D-5AA9-4F11-BEF4-2CBE6F599FD6}">
          <x14:formula1>
            <xm:f>項目!C17:$ADC$917505</xm:f>
          </x14:formula1>
          <xm:sqref>ADK917511:ADK917534</xm:sqref>
        </x14:dataValidation>
        <x14:dataValidation type="list" allowBlank="1" showInputMessage="1" showErrorMessage="1" xr:uid="{E15ED9DC-DFC4-4B86-9703-9B89D13A2951}">
          <x14:formula1>
            <xm:f>項目!C17:$AMY$917505</xm:f>
          </x14:formula1>
          <xm:sqref>ANG917511:ANG917534</xm:sqref>
        </x14:dataValidation>
        <x14:dataValidation type="list" allowBlank="1" showInputMessage="1" showErrorMessage="1" xr:uid="{06CF0444-A477-45AA-8C17-B58A4DDBEE9F}">
          <x14:formula1>
            <xm:f>項目!C17:$AWU$917505</xm:f>
          </x14:formula1>
          <xm:sqref>AXC917511:AXC917534</xm:sqref>
        </x14:dataValidation>
        <x14:dataValidation type="list" allowBlank="1" showInputMessage="1" showErrorMessage="1" xr:uid="{DCE3A37D-6D3A-420E-8ED7-AD502369CC6A}">
          <x14:formula1>
            <xm:f>項目!C17:$BGQ$917505</xm:f>
          </x14:formula1>
          <xm:sqref>BGY917511:BGY917534</xm:sqref>
        </x14:dataValidation>
        <x14:dataValidation type="list" allowBlank="1" showInputMessage="1" showErrorMessage="1" xr:uid="{F2583498-7677-4045-8D07-5A4C9390BBC1}">
          <x14:formula1>
            <xm:f>項目!C17:$BQM$917505</xm:f>
          </x14:formula1>
          <xm:sqref>BQU917511:BQU917534</xm:sqref>
        </x14:dataValidation>
        <x14:dataValidation type="list" allowBlank="1" showInputMessage="1" showErrorMessage="1" xr:uid="{902820D2-014B-431E-9D82-9AA1C884785B}">
          <x14:formula1>
            <xm:f>項目!C17:$CAI$917505</xm:f>
          </x14:formula1>
          <xm:sqref>CAQ917511:CAQ917534</xm:sqref>
        </x14:dataValidation>
        <x14:dataValidation type="list" allowBlank="1" showInputMessage="1" showErrorMessage="1" xr:uid="{A8BC0FF6-F543-4AAA-82F5-684C9AE00840}">
          <x14:formula1>
            <xm:f>項目!C17:$CKE$917505</xm:f>
          </x14:formula1>
          <xm:sqref>CKM917511:CKM917534</xm:sqref>
        </x14:dataValidation>
        <x14:dataValidation type="list" allowBlank="1" showInputMessage="1" showErrorMessage="1" xr:uid="{3EFB0CBB-2B65-4A8C-9186-9EF8CFDF2E98}">
          <x14:formula1>
            <xm:f>項目!C17:$CUA$917505</xm:f>
          </x14:formula1>
          <xm:sqref>CUI917511:CUI917534</xm:sqref>
        </x14:dataValidation>
        <x14:dataValidation type="list" allowBlank="1" showInputMessage="1" showErrorMessage="1" xr:uid="{6BAAC805-067E-421F-B969-513C841B1018}">
          <x14:formula1>
            <xm:f>項目!C17:$DDW$917505</xm:f>
          </x14:formula1>
          <xm:sqref>DEE917511:DEE917534</xm:sqref>
        </x14:dataValidation>
        <x14:dataValidation type="list" allowBlank="1" showInputMessage="1" showErrorMessage="1" xr:uid="{5B1C3282-C3B4-4C4F-B12E-68EBE32C312A}">
          <x14:formula1>
            <xm:f>項目!C17:$DNS$917505</xm:f>
          </x14:formula1>
          <xm:sqref>DOA917511:DOA917534</xm:sqref>
        </x14:dataValidation>
        <x14:dataValidation type="list" allowBlank="1" showInputMessage="1" showErrorMessage="1" xr:uid="{60DD23A3-B1E1-4DA2-B1B6-7731B1EC715D}">
          <x14:formula1>
            <xm:f>項目!C17:$DXO$917505</xm:f>
          </x14:formula1>
          <xm:sqref>DXW917511:DXW917534</xm:sqref>
        </x14:dataValidation>
        <x14:dataValidation type="list" allowBlank="1" showInputMessage="1" showErrorMessage="1" xr:uid="{75011376-C3F0-4753-8AD2-9D309E078E95}">
          <x14:formula1>
            <xm:f>項目!C17:$EHK$917505</xm:f>
          </x14:formula1>
          <xm:sqref>EHS917511:EHS917534</xm:sqref>
        </x14:dataValidation>
        <x14:dataValidation type="list" allowBlank="1" showInputMessage="1" showErrorMessage="1" xr:uid="{A577B9F0-911D-434C-A873-2451A0A5B186}">
          <x14:formula1>
            <xm:f>項目!C17:$ERG$917505</xm:f>
          </x14:formula1>
          <xm:sqref>ERO917511:ERO917534</xm:sqref>
        </x14:dataValidation>
        <x14:dataValidation type="list" allowBlank="1" showInputMessage="1" showErrorMessage="1" xr:uid="{18990065-59DE-43F8-8E17-E2404A226704}">
          <x14:formula1>
            <xm:f>項目!C17:$FBC$917505</xm:f>
          </x14:formula1>
          <xm:sqref>FBK917511:FBK917534</xm:sqref>
        </x14:dataValidation>
        <x14:dataValidation type="list" allowBlank="1" showInputMessage="1" showErrorMessage="1" xr:uid="{BE8807EF-1666-46EA-8E97-B8E70275780A}">
          <x14:formula1>
            <xm:f>項目!C17:$FKY$917505</xm:f>
          </x14:formula1>
          <xm:sqref>FLG917511:FLG917534</xm:sqref>
        </x14:dataValidation>
        <x14:dataValidation type="list" allowBlank="1" showInputMessage="1" showErrorMessage="1" xr:uid="{611C52DB-339D-490E-9DBA-3CDE2C2A7B8B}">
          <x14:formula1>
            <xm:f>項目!C17:$FUU$917505</xm:f>
          </x14:formula1>
          <xm:sqref>FVC917511:FVC917534</xm:sqref>
        </x14:dataValidation>
        <x14:dataValidation type="list" allowBlank="1" showInputMessage="1" showErrorMessage="1" xr:uid="{20AD7E02-E99E-4942-865B-25EAFAA957F4}">
          <x14:formula1>
            <xm:f>項目!C17:$GEQ$917505</xm:f>
          </x14:formula1>
          <xm:sqref>GEY917511:GEY917534</xm:sqref>
        </x14:dataValidation>
        <x14:dataValidation type="list" allowBlank="1" showInputMessage="1" showErrorMessage="1" xr:uid="{AA5F8A18-79DA-4FF1-949D-02C204A1C2E5}">
          <x14:formula1>
            <xm:f>項目!C17:$GOM$917505</xm:f>
          </x14:formula1>
          <xm:sqref>GOU917511:GOU917534</xm:sqref>
        </x14:dataValidation>
        <x14:dataValidation type="list" allowBlank="1" showInputMessage="1" showErrorMessage="1" xr:uid="{F23F5FCA-582E-4E3D-A621-6E98395964DC}">
          <x14:formula1>
            <xm:f>項目!C17:$GYI$917505</xm:f>
          </x14:formula1>
          <xm:sqref>GYQ917511:GYQ917534</xm:sqref>
        </x14:dataValidation>
        <x14:dataValidation type="list" allowBlank="1" showInputMessage="1" showErrorMessage="1" xr:uid="{AD4F7A6A-B649-424B-BA0D-921F280FF79B}">
          <x14:formula1>
            <xm:f>項目!C17:$HIE$917505</xm:f>
          </x14:formula1>
          <xm:sqref>HIM917511:HIM917534</xm:sqref>
        </x14:dataValidation>
        <x14:dataValidation type="list" allowBlank="1" showInputMessage="1" showErrorMessage="1" xr:uid="{C83564B9-6AC5-4E98-998B-85C65EB11557}">
          <x14:formula1>
            <xm:f>項目!C17:$HSA$917505</xm:f>
          </x14:formula1>
          <xm:sqref>HSI917511:HSI917534</xm:sqref>
        </x14:dataValidation>
        <x14:dataValidation type="list" allowBlank="1" showInputMessage="1" showErrorMessage="1" xr:uid="{20750D07-52F8-4A1D-B7EE-DFD82BD9B1F6}">
          <x14:formula1>
            <xm:f>項目!C17:$IBW$917505</xm:f>
          </x14:formula1>
          <xm:sqref>ICE917511:ICE917534</xm:sqref>
        </x14:dataValidation>
        <x14:dataValidation type="list" allowBlank="1" showInputMessage="1" showErrorMessage="1" xr:uid="{A4042348-09ED-456E-8AB7-F3F6337F93B8}">
          <x14:formula1>
            <xm:f>項目!C17:$ILS$917505</xm:f>
          </x14:formula1>
          <xm:sqref>IMA917511:IMA917534</xm:sqref>
        </x14:dataValidation>
        <x14:dataValidation type="list" allowBlank="1" showInputMessage="1" showErrorMessage="1" xr:uid="{6DEEFC69-CC82-4B84-9E55-2A8501418851}">
          <x14:formula1>
            <xm:f>項目!C17:$IVO$917505</xm:f>
          </x14:formula1>
          <xm:sqref>IVW917511:IVW917534</xm:sqref>
        </x14:dataValidation>
        <x14:dataValidation type="list" allowBlank="1" showInputMessage="1" showErrorMessage="1" xr:uid="{5376D00D-533C-4505-9944-2A082B3BC36C}">
          <x14:formula1>
            <xm:f>項目!C17:$JFK$917505</xm:f>
          </x14:formula1>
          <xm:sqref>JFS917511:JFS917534</xm:sqref>
        </x14:dataValidation>
        <x14:dataValidation type="list" allowBlank="1" showInputMessage="1" showErrorMessage="1" xr:uid="{FC62A5D8-93BA-4FF0-92D9-0CADF8FB7C77}">
          <x14:formula1>
            <xm:f>項目!C17:$JPG$917505</xm:f>
          </x14:formula1>
          <xm:sqref>JPO917511:JPO917534</xm:sqref>
        </x14:dataValidation>
        <x14:dataValidation type="list" allowBlank="1" showInputMessage="1" showErrorMessage="1" xr:uid="{96AB5067-71E6-4BF6-8421-12494EF3C84B}">
          <x14:formula1>
            <xm:f>項目!C17:$JZC$917505</xm:f>
          </x14:formula1>
          <xm:sqref>JZK917511:JZK917534</xm:sqref>
        </x14:dataValidation>
        <x14:dataValidation type="list" allowBlank="1" showInputMessage="1" showErrorMessage="1" xr:uid="{8B26A1F9-6878-4E08-959A-7931EDC17FAD}">
          <x14:formula1>
            <xm:f>項目!C17:$KIY$917505</xm:f>
          </x14:formula1>
          <xm:sqref>KJG917511:KJG917534</xm:sqref>
        </x14:dataValidation>
        <x14:dataValidation type="list" allowBlank="1" showInputMessage="1" showErrorMessage="1" xr:uid="{FE22B560-68CD-47B9-8ED3-366EB79F44A4}">
          <x14:formula1>
            <xm:f>項目!C17:$KSU$917505</xm:f>
          </x14:formula1>
          <xm:sqref>KTC917511:KTC917534</xm:sqref>
        </x14:dataValidation>
        <x14:dataValidation type="list" allowBlank="1" showInputMessage="1" showErrorMessage="1" xr:uid="{5B9902CE-451F-4E50-AA96-BDB82EB44169}">
          <x14:formula1>
            <xm:f>項目!C17:$LCQ$917505</xm:f>
          </x14:formula1>
          <xm:sqref>LCY917511:LCY917534</xm:sqref>
        </x14:dataValidation>
        <x14:dataValidation type="list" allowBlank="1" showInputMessage="1" showErrorMessage="1" xr:uid="{E020477C-DBB2-43BD-BA63-8D1C2ADDA3B4}">
          <x14:formula1>
            <xm:f>項目!C17:$LMM$917505</xm:f>
          </x14:formula1>
          <xm:sqref>LMU917511:LMU917534</xm:sqref>
        </x14:dataValidation>
        <x14:dataValidation type="list" allowBlank="1" showInputMessage="1" showErrorMessage="1" xr:uid="{0545169D-3515-4F00-8410-37B27ED3EF93}">
          <x14:formula1>
            <xm:f>項目!C17:$LWI$917505</xm:f>
          </x14:formula1>
          <xm:sqref>LWQ917511:LWQ917534</xm:sqref>
        </x14:dataValidation>
        <x14:dataValidation type="list" allowBlank="1" showInputMessage="1" showErrorMessage="1" xr:uid="{78D76058-4B66-4E42-846D-6E661A8FC22C}">
          <x14:formula1>
            <xm:f>項目!C17:$MGE$917505</xm:f>
          </x14:formula1>
          <xm:sqref>MGM917511:MGM917534</xm:sqref>
        </x14:dataValidation>
        <x14:dataValidation type="list" allowBlank="1" showInputMessage="1" showErrorMessage="1" xr:uid="{D2CAB3CC-E66D-4B55-B78F-5743E5507614}">
          <x14:formula1>
            <xm:f>項目!C17:$MQA$917505</xm:f>
          </x14:formula1>
          <xm:sqref>MQI917511:MQI917534</xm:sqref>
        </x14:dataValidation>
        <x14:dataValidation type="list" allowBlank="1" showInputMessage="1" showErrorMessage="1" xr:uid="{913348D3-589B-4427-8504-A95D417D2D56}">
          <x14:formula1>
            <xm:f>項目!C17:$MZW$917505</xm:f>
          </x14:formula1>
          <xm:sqref>NAE917511:NAE917534</xm:sqref>
        </x14:dataValidation>
        <x14:dataValidation type="list" allowBlank="1" showInputMessage="1" showErrorMessage="1" xr:uid="{3B51C23E-558F-4605-A29E-AA764362AF52}">
          <x14:formula1>
            <xm:f>項目!C17:$NJS$917505</xm:f>
          </x14:formula1>
          <xm:sqref>NKA917511:NKA917534</xm:sqref>
        </x14:dataValidation>
        <x14:dataValidation type="list" allowBlank="1" showInputMessage="1" showErrorMessage="1" xr:uid="{8808137D-F47F-4B78-A889-79A126FF104B}">
          <x14:formula1>
            <xm:f>項目!C17:$NTO$917505</xm:f>
          </x14:formula1>
          <xm:sqref>NTW917511:NTW917534</xm:sqref>
        </x14:dataValidation>
        <x14:dataValidation type="list" allowBlank="1" showInputMessage="1" showErrorMessage="1" xr:uid="{7457ABFA-8990-4DB7-9088-67E4E0E12808}">
          <x14:formula1>
            <xm:f>項目!C17:$ODK$917505</xm:f>
          </x14:formula1>
          <xm:sqref>ODS917511:ODS917534</xm:sqref>
        </x14:dataValidation>
        <x14:dataValidation type="list" allowBlank="1" showInputMessage="1" showErrorMessage="1" xr:uid="{571B5A9F-5465-415E-99EB-807BB0020924}">
          <x14:formula1>
            <xm:f>項目!C17:$ONG$917505</xm:f>
          </x14:formula1>
          <xm:sqref>ONO917511:ONO917534</xm:sqref>
        </x14:dataValidation>
        <x14:dataValidation type="list" allowBlank="1" showInputMessage="1" showErrorMessage="1" xr:uid="{27DC121E-F807-4333-A318-E724346BF1E4}">
          <x14:formula1>
            <xm:f>項目!C17:$OXC$917505</xm:f>
          </x14:formula1>
          <xm:sqref>OXK917511:OXK917534</xm:sqref>
        </x14:dataValidation>
        <x14:dataValidation type="list" allowBlank="1" showInputMessage="1" showErrorMessage="1" xr:uid="{D7FDE625-3435-4D13-8668-D6523B8B6684}">
          <x14:formula1>
            <xm:f>項目!C17:$PGY$917505</xm:f>
          </x14:formula1>
          <xm:sqref>PHG917511:PHG917534</xm:sqref>
        </x14:dataValidation>
        <x14:dataValidation type="list" allowBlank="1" showInputMessage="1" showErrorMessage="1" xr:uid="{2972A06A-1488-4467-9048-ABB5546DA327}">
          <x14:formula1>
            <xm:f>項目!C17:$PQU$917505</xm:f>
          </x14:formula1>
          <xm:sqref>PRC917511:PRC917534</xm:sqref>
        </x14:dataValidation>
        <x14:dataValidation type="list" allowBlank="1" showInputMessage="1" showErrorMessage="1" xr:uid="{573A775E-2B35-45F4-A411-9092D83AE670}">
          <x14:formula1>
            <xm:f>項目!C17:$QAQ$917505</xm:f>
          </x14:formula1>
          <xm:sqref>QAY917511:QAY917534</xm:sqref>
        </x14:dataValidation>
        <x14:dataValidation type="list" allowBlank="1" showInputMessage="1" showErrorMessage="1" xr:uid="{9964857D-63E6-43F5-B6A0-232630B9C937}">
          <x14:formula1>
            <xm:f>項目!C17:$QKM$917505</xm:f>
          </x14:formula1>
          <xm:sqref>QKU917511:QKU917534</xm:sqref>
        </x14:dataValidation>
        <x14:dataValidation type="list" allowBlank="1" showInputMessage="1" showErrorMessage="1" xr:uid="{88E134FD-EBBF-4ECA-ADB3-0B2D630DD483}">
          <x14:formula1>
            <xm:f>項目!C17:$QUI$917505</xm:f>
          </x14:formula1>
          <xm:sqref>QUQ917511:QUQ917534</xm:sqref>
        </x14:dataValidation>
        <x14:dataValidation type="list" allowBlank="1" showInputMessage="1" showErrorMessage="1" xr:uid="{71A05B99-42EE-48B0-9390-0E49F5354DBE}">
          <x14:formula1>
            <xm:f>項目!C17:$REE$917505</xm:f>
          </x14:formula1>
          <xm:sqref>REM917511:REM917534</xm:sqref>
        </x14:dataValidation>
        <x14:dataValidation type="list" allowBlank="1" showInputMessage="1" showErrorMessage="1" xr:uid="{A12282BB-6642-4B31-B1ED-5F53CC0C9D91}">
          <x14:formula1>
            <xm:f>項目!C17:$ROA$917505</xm:f>
          </x14:formula1>
          <xm:sqref>ROI917511:ROI917534</xm:sqref>
        </x14:dataValidation>
        <x14:dataValidation type="list" allowBlank="1" showInputMessage="1" showErrorMessage="1" xr:uid="{6E156A7A-AC15-44B9-9120-C6EEB92F314A}">
          <x14:formula1>
            <xm:f>項目!C17:$RXW$917505</xm:f>
          </x14:formula1>
          <xm:sqref>RYE917511:RYE917534</xm:sqref>
        </x14:dataValidation>
        <x14:dataValidation type="list" allowBlank="1" showInputMessage="1" showErrorMessage="1" xr:uid="{46DE5B64-0381-460B-8B05-0921F936D0C6}">
          <x14:formula1>
            <xm:f>項目!C17:$SHS$917505</xm:f>
          </x14:formula1>
          <xm:sqref>SIA917511:SIA917534</xm:sqref>
        </x14:dataValidation>
        <x14:dataValidation type="list" allowBlank="1" showInputMessage="1" showErrorMessage="1" xr:uid="{3DC33834-AEFC-4736-A368-E8083D25C3E0}">
          <x14:formula1>
            <xm:f>項目!C17:$SRO$917505</xm:f>
          </x14:formula1>
          <xm:sqref>SRW917511:SRW917534</xm:sqref>
        </x14:dataValidation>
        <x14:dataValidation type="list" allowBlank="1" showInputMessage="1" showErrorMessage="1" xr:uid="{DC5F4CD1-3657-4F07-96F7-6E96BEB20760}">
          <x14:formula1>
            <xm:f>項目!C17:$TBK$917505</xm:f>
          </x14:formula1>
          <xm:sqref>TBS917511:TBS917534</xm:sqref>
        </x14:dataValidation>
        <x14:dataValidation type="list" allowBlank="1" showInputMessage="1" showErrorMessage="1" xr:uid="{A35DDBE1-0077-4A2A-A991-6A86462C4B24}">
          <x14:formula1>
            <xm:f>項目!C17:$TLG$917505</xm:f>
          </x14:formula1>
          <xm:sqref>TLO917511:TLO917534</xm:sqref>
        </x14:dataValidation>
        <x14:dataValidation type="list" allowBlank="1" showInputMessage="1" showErrorMessage="1" xr:uid="{9667E8DB-BC43-47C5-AE01-22F20D6F874E}">
          <x14:formula1>
            <xm:f>項目!C17:$TVC$917505</xm:f>
          </x14:formula1>
          <xm:sqref>TVK917511:TVK917534</xm:sqref>
        </x14:dataValidation>
        <x14:dataValidation type="list" allowBlank="1" showInputMessage="1" showErrorMessage="1" xr:uid="{1A6DCE07-29E4-4730-89A2-15BB9EA4B02A}">
          <x14:formula1>
            <xm:f>項目!C17:$UEY$917505</xm:f>
          </x14:formula1>
          <xm:sqref>UFG917511:UFG917534</xm:sqref>
        </x14:dataValidation>
        <x14:dataValidation type="list" allowBlank="1" showInputMessage="1" showErrorMessage="1" xr:uid="{B19C1D3C-A663-46FE-81CB-D252CCB85C83}">
          <x14:formula1>
            <xm:f>項目!C17:$UOU$917505</xm:f>
          </x14:formula1>
          <xm:sqref>UPC917511:UPC917534</xm:sqref>
        </x14:dataValidation>
        <x14:dataValidation type="list" allowBlank="1" showInputMessage="1" showErrorMessage="1" xr:uid="{39C3E713-D976-41F1-BAA2-08D5F609C589}">
          <x14:formula1>
            <xm:f>項目!C17:$UYQ$917505</xm:f>
          </x14:formula1>
          <xm:sqref>UYY917511:UYY917534</xm:sqref>
        </x14:dataValidation>
        <x14:dataValidation type="list" allowBlank="1" showInputMessage="1" showErrorMessage="1" xr:uid="{15C30F60-BC27-4F8A-84BC-3D2EAF02406A}">
          <x14:formula1>
            <xm:f>項目!C17:$VIM$917505</xm:f>
          </x14:formula1>
          <xm:sqref>VIU917511:VIU917534</xm:sqref>
        </x14:dataValidation>
        <x14:dataValidation type="list" allowBlank="1" showInputMessage="1" showErrorMessage="1" xr:uid="{22295458-B0AA-48E9-B75F-5857A388DA58}">
          <x14:formula1>
            <xm:f>項目!C17:$VSI$917505</xm:f>
          </x14:formula1>
          <xm:sqref>VSQ917511:VSQ917534</xm:sqref>
        </x14:dataValidation>
        <x14:dataValidation type="list" allowBlank="1" showInputMessage="1" showErrorMessage="1" xr:uid="{90F69835-8B00-4306-83D0-AB7C9C51682C}">
          <x14:formula1>
            <xm:f>項目!C17:$WCE$917505</xm:f>
          </x14:formula1>
          <xm:sqref>WCM917511:WCM917534</xm:sqref>
        </x14:dataValidation>
        <x14:dataValidation type="list" allowBlank="1" showInputMessage="1" showErrorMessage="1" xr:uid="{8453E779-A30D-4335-828B-ECD926D1566A}">
          <x14:formula1>
            <xm:f>項目!C17:$WMA$917505</xm:f>
          </x14:formula1>
          <xm:sqref>WMI917511:WMI917534</xm:sqref>
        </x14:dataValidation>
        <x14:dataValidation type="list" allowBlank="1" showInputMessage="1" showErrorMessage="1" xr:uid="{551749E1-2568-4614-A049-44BABC6F8B42}">
          <x14:formula1>
            <xm:f>項目!C17:$WVW$917505</xm:f>
          </x14:formula1>
          <xm:sqref>WWE917511:WWE917534</xm:sqref>
        </x14:dataValidation>
        <x14:dataValidation type="list" allowBlank="1" showInputMessage="1" showErrorMessage="1" xr:uid="{0E35A273-D656-4F91-B026-657C8F68B796}">
          <x14:formula1>
            <xm:f>項目!C17:$P$983041</xm:f>
          </x14:formula1>
          <xm:sqref>W983047:W983070</xm:sqref>
        </x14:dataValidation>
        <x14:dataValidation type="list" allowBlank="1" showInputMessage="1" showErrorMessage="1" xr:uid="{680F2DCF-94C7-45CA-88CC-DE54B6E1C739}">
          <x14:formula1>
            <xm:f>項目!C17:$JK$983041</xm:f>
          </x14:formula1>
          <xm:sqref>JS983047:JS983070</xm:sqref>
        </x14:dataValidation>
        <x14:dataValidation type="list" allowBlank="1" showInputMessage="1" showErrorMessage="1" xr:uid="{B15CE5A2-7C45-4496-B635-7ED2373B0744}">
          <x14:formula1>
            <xm:f>項目!C17:$TG$983041</xm:f>
          </x14:formula1>
          <xm:sqref>TO983047:TO983070</xm:sqref>
        </x14:dataValidation>
        <x14:dataValidation type="list" allowBlank="1" showInputMessage="1" showErrorMessage="1" xr:uid="{29C84151-EC31-4449-871E-DA633D62E335}">
          <x14:formula1>
            <xm:f>項目!C17:$ADC$983041</xm:f>
          </x14:formula1>
          <xm:sqref>ADK983047:ADK983070</xm:sqref>
        </x14:dataValidation>
        <x14:dataValidation type="list" allowBlank="1" showInputMessage="1" showErrorMessage="1" xr:uid="{5199451D-A48E-497E-B139-CE3781FA663E}">
          <x14:formula1>
            <xm:f>項目!C17:$AMY$983041</xm:f>
          </x14:formula1>
          <xm:sqref>ANG983047:ANG983070</xm:sqref>
        </x14:dataValidation>
        <x14:dataValidation type="list" allowBlank="1" showInputMessage="1" showErrorMessage="1" xr:uid="{CB79BA1B-3795-41B4-BB26-0DEAD89CD7D4}">
          <x14:formula1>
            <xm:f>項目!C17:$AWU$983041</xm:f>
          </x14:formula1>
          <xm:sqref>AXC983047:AXC983070</xm:sqref>
        </x14:dataValidation>
        <x14:dataValidation type="list" allowBlank="1" showInputMessage="1" showErrorMessage="1" xr:uid="{B2BD7347-AF1A-4EAB-807A-98CA76BF20B8}">
          <x14:formula1>
            <xm:f>項目!C17:$BGQ$983041</xm:f>
          </x14:formula1>
          <xm:sqref>BGY983047:BGY983070</xm:sqref>
        </x14:dataValidation>
        <x14:dataValidation type="list" allowBlank="1" showInputMessage="1" showErrorMessage="1" xr:uid="{03C099ED-210C-4966-A40A-64265478F60B}">
          <x14:formula1>
            <xm:f>項目!C17:$BQM$983041</xm:f>
          </x14:formula1>
          <xm:sqref>BQU983047:BQU983070</xm:sqref>
        </x14:dataValidation>
        <x14:dataValidation type="list" allowBlank="1" showInputMessage="1" showErrorMessage="1" xr:uid="{3DDC4527-DD65-42CB-BFA3-95A7B40438D5}">
          <x14:formula1>
            <xm:f>項目!C17:$CAI$983041</xm:f>
          </x14:formula1>
          <xm:sqref>CAQ983047:CAQ983070</xm:sqref>
        </x14:dataValidation>
        <x14:dataValidation type="list" allowBlank="1" showInputMessage="1" showErrorMessage="1" xr:uid="{D2D3F033-C588-4AD8-9E4D-5E427D939461}">
          <x14:formula1>
            <xm:f>項目!C17:$CKE$983041</xm:f>
          </x14:formula1>
          <xm:sqref>CKM983047:CKM983070</xm:sqref>
        </x14:dataValidation>
        <x14:dataValidation type="list" allowBlank="1" showInputMessage="1" showErrorMessage="1" xr:uid="{7C507AA8-F51D-420B-B45B-5AD6702CF4D5}">
          <x14:formula1>
            <xm:f>項目!C17:$CUA$983041</xm:f>
          </x14:formula1>
          <xm:sqref>CUI983047:CUI983070</xm:sqref>
        </x14:dataValidation>
        <x14:dataValidation type="list" allowBlank="1" showInputMessage="1" showErrorMessage="1" xr:uid="{6C755CCA-243E-4D46-A826-61C203625265}">
          <x14:formula1>
            <xm:f>項目!C17:$DDW$983041</xm:f>
          </x14:formula1>
          <xm:sqref>DEE983047:DEE983070</xm:sqref>
        </x14:dataValidation>
        <x14:dataValidation type="list" allowBlank="1" showInputMessage="1" showErrorMessage="1" xr:uid="{40E117E2-9514-4F40-BCD5-CD1BF31C94F7}">
          <x14:formula1>
            <xm:f>項目!C17:$DNS$983041</xm:f>
          </x14:formula1>
          <xm:sqref>DOA983047:DOA983070</xm:sqref>
        </x14:dataValidation>
        <x14:dataValidation type="list" allowBlank="1" showInputMessage="1" showErrorMessage="1" xr:uid="{CBC61C53-9C64-4411-9D42-EDC54FB3C678}">
          <x14:formula1>
            <xm:f>項目!C17:$DXO$983041</xm:f>
          </x14:formula1>
          <xm:sqref>DXW983047:DXW983070</xm:sqref>
        </x14:dataValidation>
        <x14:dataValidation type="list" allowBlank="1" showInputMessage="1" showErrorMessage="1" xr:uid="{3FC20354-253E-415B-84AD-B814132A967B}">
          <x14:formula1>
            <xm:f>項目!C17:$EHK$983041</xm:f>
          </x14:formula1>
          <xm:sqref>EHS983047:EHS983070</xm:sqref>
        </x14:dataValidation>
        <x14:dataValidation type="list" allowBlank="1" showInputMessage="1" showErrorMessage="1" xr:uid="{7D9B0EF3-8362-4884-AAD5-FABC1AB9F1D6}">
          <x14:formula1>
            <xm:f>項目!C17:$ERG$983041</xm:f>
          </x14:formula1>
          <xm:sqref>ERO983047:ERO983070</xm:sqref>
        </x14:dataValidation>
        <x14:dataValidation type="list" allowBlank="1" showInputMessage="1" showErrorMessage="1" xr:uid="{BC437E27-EDB1-4778-8954-087C36E2A120}">
          <x14:formula1>
            <xm:f>項目!C17:$FBC$983041</xm:f>
          </x14:formula1>
          <xm:sqref>FBK983047:FBK983070</xm:sqref>
        </x14:dataValidation>
        <x14:dataValidation type="list" allowBlank="1" showInputMessage="1" showErrorMessage="1" xr:uid="{2242F2FD-AEA6-4D48-B072-742F348C1511}">
          <x14:formula1>
            <xm:f>項目!C17:$FKY$983041</xm:f>
          </x14:formula1>
          <xm:sqref>FLG983047:FLG983070</xm:sqref>
        </x14:dataValidation>
        <x14:dataValidation type="list" allowBlank="1" showInputMessage="1" showErrorMessage="1" xr:uid="{E0A269E3-306C-44BD-A7AB-2C06829D466F}">
          <x14:formula1>
            <xm:f>項目!C17:$FUU$983041</xm:f>
          </x14:formula1>
          <xm:sqref>FVC983047:FVC983070</xm:sqref>
        </x14:dataValidation>
        <x14:dataValidation type="list" allowBlank="1" showInputMessage="1" showErrorMessage="1" xr:uid="{5355F5A8-8FB1-4FF3-AEA3-620C3B7A8E46}">
          <x14:formula1>
            <xm:f>項目!C17:$GEQ$983041</xm:f>
          </x14:formula1>
          <xm:sqref>GEY983047:GEY983070</xm:sqref>
        </x14:dataValidation>
        <x14:dataValidation type="list" allowBlank="1" showInputMessage="1" showErrorMessage="1" xr:uid="{A7A40196-953A-4809-A5B5-3C0C7BF6E98B}">
          <x14:formula1>
            <xm:f>項目!C17:$GOM$983041</xm:f>
          </x14:formula1>
          <xm:sqref>GOU983047:GOU983070</xm:sqref>
        </x14:dataValidation>
        <x14:dataValidation type="list" allowBlank="1" showInputMessage="1" showErrorMessage="1" xr:uid="{32A27D75-217F-4357-8688-48A2B64B81C9}">
          <x14:formula1>
            <xm:f>項目!C17:$GYI$983041</xm:f>
          </x14:formula1>
          <xm:sqref>GYQ983047:GYQ983070</xm:sqref>
        </x14:dataValidation>
        <x14:dataValidation type="list" allowBlank="1" showInputMessage="1" showErrorMessage="1" xr:uid="{A1B534CA-15EC-4B4A-83F7-56FADE08A9D3}">
          <x14:formula1>
            <xm:f>項目!C17:$HIE$983041</xm:f>
          </x14:formula1>
          <xm:sqref>HIM983047:HIM983070</xm:sqref>
        </x14:dataValidation>
        <x14:dataValidation type="list" allowBlank="1" showInputMessage="1" showErrorMessage="1" xr:uid="{86FAF7AD-5AEA-4C13-BB9B-1F98591CBCBE}">
          <x14:formula1>
            <xm:f>項目!C17:$HSA$983041</xm:f>
          </x14:formula1>
          <xm:sqref>HSI983047:HSI983070</xm:sqref>
        </x14:dataValidation>
        <x14:dataValidation type="list" allowBlank="1" showInputMessage="1" showErrorMessage="1" xr:uid="{6C95EA44-56B0-4B48-843B-812AADACD3B2}">
          <x14:formula1>
            <xm:f>項目!C17:$IBW$983041</xm:f>
          </x14:formula1>
          <xm:sqref>ICE983047:ICE983070</xm:sqref>
        </x14:dataValidation>
        <x14:dataValidation type="list" allowBlank="1" showInputMessage="1" showErrorMessage="1" xr:uid="{F5D297E9-0159-4913-9BCB-1B65A26FBBBF}">
          <x14:formula1>
            <xm:f>項目!C17:$ILS$983041</xm:f>
          </x14:formula1>
          <xm:sqref>IMA983047:IMA983070</xm:sqref>
        </x14:dataValidation>
        <x14:dataValidation type="list" allowBlank="1" showInputMessage="1" showErrorMessage="1" xr:uid="{01D89C54-5D91-44EA-947B-42670E470CFA}">
          <x14:formula1>
            <xm:f>項目!C17:$IVO$983041</xm:f>
          </x14:formula1>
          <xm:sqref>IVW983047:IVW983070</xm:sqref>
        </x14:dataValidation>
        <x14:dataValidation type="list" allowBlank="1" showInputMessage="1" showErrorMessage="1" xr:uid="{B5866773-DF89-4C48-A912-89B5656657FB}">
          <x14:formula1>
            <xm:f>項目!C17:$JFK$983041</xm:f>
          </x14:formula1>
          <xm:sqref>JFS983047:JFS983070</xm:sqref>
        </x14:dataValidation>
        <x14:dataValidation type="list" allowBlank="1" showInputMessage="1" showErrorMessage="1" xr:uid="{60C3BD7F-729A-4423-8EB7-0D7D45B04643}">
          <x14:formula1>
            <xm:f>項目!C17:$JPG$983041</xm:f>
          </x14:formula1>
          <xm:sqref>JPO983047:JPO983070</xm:sqref>
        </x14:dataValidation>
        <x14:dataValidation type="list" allowBlank="1" showInputMessage="1" showErrorMessage="1" xr:uid="{2FE16AB7-EE0B-4973-A7C0-AC4DA314FF31}">
          <x14:formula1>
            <xm:f>項目!C17:$JZC$983041</xm:f>
          </x14:formula1>
          <xm:sqref>JZK983047:JZK983070</xm:sqref>
        </x14:dataValidation>
        <x14:dataValidation type="list" allowBlank="1" showInputMessage="1" showErrorMessage="1" xr:uid="{87678FEB-111C-4972-80F6-8DC99EAE5269}">
          <x14:formula1>
            <xm:f>項目!C17:$KIY$983041</xm:f>
          </x14:formula1>
          <xm:sqref>KJG983047:KJG983070</xm:sqref>
        </x14:dataValidation>
        <x14:dataValidation type="list" allowBlank="1" showInputMessage="1" showErrorMessage="1" xr:uid="{BF8A9A37-380C-4766-ACFC-CDE58DF5A556}">
          <x14:formula1>
            <xm:f>項目!C17:$KSU$983041</xm:f>
          </x14:formula1>
          <xm:sqref>KTC983047:KTC983070</xm:sqref>
        </x14:dataValidation>
        <x14:dataValidation type="list" allowBlank="1" showInputMessage="1" showErrorMessage="1" xr:uid="{AA7DC5B5-398E-427E-8539-829FFBDD786D}">
          <x14:formula1>
            <xm:f>項目!C17:$LCQ$983041</xm:f>
          </x14:formula1>
          <xm:sqref>LCY983047:LCY983070</xm:sqref>
        </x14:dataValidation>
        <x14:dataValidation type="list" allowBlank="1" showInputMessage="1" showErrorMessage="1" xr:uid="{D6E8DA85-D7E9-4A30-B506-1171CC4611DE}">
          <x14:formula1>
            <xm:f>項目!C17:$LMM$983041</xm:f>
          </x14:formula1>
          <xm:sqref>LMU983047:LMU983070</xm:sqref>
        </x14:dataValidation>
        <x14:dataValidation type="list" allowBlank="1" showInputMessage="1" showErrorMessage="1" xr:uid="{1F3C5B29-B615-4748-946D-DFC8B0A2EE27}">
          <x14:formula1>
            <xm:f>項目!C17:$LWI$983041</xm:f>
          </x14:formula1>
          <xm:sqref>LWQ983047:LWQ983070</xm:sqref>
        </x14:dataValidation>
        <x14:dataValidation type="list" allowBlank="1" showInputMessage="1" showErrorMessage="1" xr:uid="{13580FDF-890C-4245-A849-76A41E760A86}">
          <x14:formula1>
            <xm:f>項目!C17:$MGE$983041</xm:f>
          </x14:formula1>
          <xm:sqref>MGM983047:MGM983070</xm:sqref>
        </x14:dataValidation>
        <x14:dataValidation type="list" allowBlank="1" showInputMessage="1" showErrorMessage="1" xr:uid="{60F10F7A-5091-4C23-8CAD-172057961494}">
          <x14:formula1>
            <xm:f>項目!C17:$MQA$983041</xm:f>
          </x14:formula1>
          <xm:sqref>MQI983047:MQI983070</xm:sqref>
        </x14:dataValidation>
        <x14:dataValidation type="list" allowBlank="1" showInputMessage="1" showErrorMessage="1" xr:uid="{0DEF2F96-A76D-4349-8361-869E09D26766}">
          <x14:formula1>
            <xm:f>項目!C17:$MZW$983041</xm:f>
          </x14:formula1>
          <xm:sqref>NAE983047:NAE983070</xm:sqref>
        </x14:dataValidation>
        <x14:dataValidation type="list" allowBlank="1" showInputMessage="1" showErrorMessage="1" xr:uid="{4DFBE59E-9471-4FCC-9A74-DB44991D5E1E}">
          <x14:formula1>
            <xm:f>項目!C17:$NJS$983041</xm:f>
          </x14:formula1>
          <xm:sqref>NKA983047:NKA983070</xm:sqref>
        </x14:dataValidation>
        <x14:dataValidation type="list" allowBlank="1" showInputMessage="1" showErrorMessage="1" xr:uid="{AD568ACA-6BD6-41E4-B2CF-82A8979B2713}">
          <x14:formula1>
            <xm:f>項目!C17:$NTO$983041</xm:f>
          </x14:formula1>
          <xm:sqref>NTW983047:NTW983070</xm:sqref>
        </x14:dataValidation>
        <x14:dataValidation type="list" allowBlank="1" showInputMessage="1" showErrorMessage="1" xr:uid="{42493B07-8AB4-4EC6-8016-85F090C35F2A}">
          <x14:formula1>
            <xm:f>項目!C17:$ODK$983041</xm:f>
          </x14:formula1>
          <xm:sqref>ODS983047:ODS983070</xm:sqref>
        </x14:dataValidation>
        <x14:dataValidation type="list" allowBlank="1" showInputMessage="1" showErrorMessage="1" xr:uid="{8379DC45-BA88-4EAD-BAC1-1990AB3B3AF3}">
          <x14:formula1>
            <xm:f>項目!C17:$ONG$983041</xm:f>
          </x14:formula1>
          <xm:sqref>ONO983047:ONO983070</xm:sqref>
        </x14:dataValidation>
        <x14:dataValidation type="list" allowBlank="1" showInputMessage="1" showErrorMessage="1" xr:uid="{C7A66989-E68C-4410-90AF-F0C074A78E2E}">
          <x14:formula1>
            <xm:f>項目!C17:$OXC$983041</xm:f>
          </x14:formula1>
          <xm:sqref>OXK983047:OXK983070</xm:sqref>
        </x14:dataValidation>
        <x14:dataValidation type="list" allowBlank="1" showInputMessage="1" showErrorMessage="1" xr:uid="{3E1B6F68-6983-4983-81D4-1F95606619B9}">
          <x14:formula1>
            <xm:f>項目!C17:$PGY$983041</xm:f>
          </x14:formula1>
          <xm:sqref>PHG983047:PHG983070</xm:sqref>
        </x14:dataValidation>
        <x14:dataValidation type="list" allowBlank="1" showInputMessage="1" showErrorMessage="1" xr:uid="{9909AAA7-FAE6-49AA-9D46-AF7ECD88ECEC}">
          <x14:formula1>
            <xm:f>項目!C17:$PQU$983041</xm:f>
          </x14:formula1>
          <xm:sqref>PRC983047:PRC983070</xm:sqref>
        </x14:dataValidation>
        <x14:dataValidation type="list" allowBlank="1" showInputMessage="1" showErrorMessage="1" xr:uid="{48C8D40A-9C6B-4F44-905F-1BC5AF38994F}">
          <x14:formula1>
            <xm:f>項目!C17:$QAQ$983041</xm:f>
          </x14:formula1>
          <xm:sqref>QAY983047:QAY983070</xm:sqref>
        </x14:dataValidation>
        <x14:dataValidation type="list" allowBlank="1" showInputMessage="1" showErrorMessage="1" xr:uid="{E14158AF-3781-4B54-97D2-DA2EB362A82C}">
          <x14:formula1>
            <xm:f>項目!C17:$QKM$983041</xm:f>
          </x14:formula1>
          <xm:sqref>QKU983047:QKU983070</xm:sqref>
        </x14:dataValidation>
        <x14:dataValidation type="list" allowBlank="1" showInputMessage="1" showErrorMessage="1" xr:uid="{6E0925B9-50C2-4E55-ABCD-F89AC9B86CF5}">
          <x14:formula1>
            <xm:f>項目!C17:$QUI$983041</xm:f>
          </x14:formula1>
          <xm:sqref>QUQ983047:QUQ983070</xm:sqref>
        </x14:dataValidation>
        <x14:dataValidation type="list" allowBlank="1" showInputMessage="1" showErrorMessage="1" xr:uid="{D284AC13-DBBD-4548-BCEA-D624A7984857}">
          <x14:formula1>
            <xm:f>項目!C17:$REE$983041</xm:f>
          </x14:formula1>
          <xm:sqref>REM983047:REM983070</xm:sqref>
        </x14:dataValidation>
        <x14:dataValidation type="list" allowBlank="1" showInputMessage="1" showErrorMessage="1" xr:uid="{0E6E51C0-7E8D-4012-A51B-91A4F6AF15AA}">
          <x14:formula1>
            <xm:f>項目!C17:$ROA$983041</xm:f>
          </x14:formula1>
          <xm:sqref>ROI983047:ROI983070</xm:sqref>
        </x14:dataValidation>
        <x14:dataValidation type="list" allowBlank="1" showInputMessage="1" showErrorMessage="1" xr:uid="{2FAF8893-5C2F-4681-A1AB-BCCF88BFDE6B}">
          <x14:formula1>
            <xm:f>項目!C17:$RXW$983041</xm:f>
          </x14:formula1>
          <xm:sqref>RYE983047:RYE983070</xm:sqref>
        </x14:dataValidation>
        <x14:dataValidation type="list" allowBlank="1" showInputMessage="1" showErrorMessage="1" xr:uid="{4FB5CCCF-63F6-4054-B99C-C09ED1DC9376}">
          <x14:formula1>
            <xm:f>項目!C17:$SHS$983041</xm:f>
          </x14:formula1>
          <xm:sqref>SIA983047:SIA983070</xm:sqref>
        </x14:dataValidation>
        <x14:dataValidation type="list" allowBlank="1" showInputMessage="1" showErrorMessage="1" xr:uid="{4FE9E221-E9F9-455A-BF39-9A2CD75FDCDB}">
          <x14:formula1>
            <xm:f>項目!C17:$SRO$983041</xm:f>
          </x14:formula1>
          <xm:sqref>SRW983047:SRW983070</xm:sqref>
        </x14:dataValidation>
        <x14:dataValidation type="list" allowBlank="1" showInputMessage="1" showErrorMessage="1" xr:uid="{589FC5AA-3BE5-43D5-905A-C5F576A90567}">
          <x14:formula1>
            <xm:f>項目!C17:$TBK$983041</xm:f>
          </x14:formula1>
          <xm:sqref>TBS983047:TBS983070</xm:sqref>
        </x14:dataValidation>
        <x14:dataValidation type="list" allowBlank="1" showInputMessage="1" showErrorMessage="1" xr:uid="{4346ADE2-C0D9-4C91-BA7A-7A788115031D}">
          <x14:formula1>
            <xm:f>項目!C17:$TLG$983041</xm:f>
          </x14:formula1>
          <xm:sqref>TLO983047:TLO983070</xm:sqref>
        </x14:dataValidation>
        <x14:dataValidation type="list" allowBlank="1" showInputMessage="1" showErrorMessage="1" xr:uid="{961450C1-D8CA-495A-B931-B7F815CEA384}">
          <x14:formula1>
            <xm:f>項目!C17:$TVC$983041</xm:f>
          </x14:formula1>
          <xm:sqref>TVK983047:TVK983070</xm:sqref>
        </x14:dataValidation>
        <x14:dataValidation type="list" allowBlank="1" showInputMessage="1" showErrorMessage="1" xr:uid="{9291EEC2-D7AF-40E4-A717-8D09D5A64E6E}">
          <x14:formula1>
            <xm:f>項目!C17:$UEY$983041</xm:f>
          </x14:formula1>
          <xm:sqref>UFG983047:UFG983070</xm:sqref>
        </x14:dataValidation>
        <x14:dataValidation type="list" allowBlank="1" showInputMessage="1" showErrorMessage="1" xr:uid="{ED25AC5B-CD3B-48C9-AA1A-A297544D4590}">
          <x14:formula1>
            <xm:f>項目!C17:$UOU$983041</xm:f>
          </x14:formula1>
          <xm:sqref>UPC983047:UPC983070</xm:sqref>
        </x14:dataValidation>
        <x14:dataValidation type="list" allowBlank="1" showInputMessage="1" showErrorMessage="1" xr:uid="{07E119E7-F22A-465E-92F8-C32A646FD0C2}">
          <x14:formula1>
            <xm:f>項目!C17:$UYQ$983041</xm:f>
          </x14:formula1>
          <xm:sqref>UYY983047:UYY983070</xm:sqref>
        </x14:dataValidation>
        <x14:dataValidation type="list" allowBlank="1" showInputMessage="1" showErrorMessage="1" xr:uid="{310E6CFA-830D-4410-A371-61BE1077CC14}">
          <x14:formula1>
            <xm:f>項目!C17:$VIM$983041</xm:f>
          </x14:formula1>
          <xm:sqref>VIU983047:VIU983070</xm:sqref>
        </x14:dataValidation>
        <x14:dataValidation type="list" allowBlank="1" showInputMessage="1" showErrorMessage="1" xr:uid="{4D519253-F0EC-4D18-9F4D-F556743D0785}">
          <x14:formula1>
            <xm:f>項目!C17:$VSI$983041</xm:f>
          </x14:formula1>
          <xm:sqref>VSQ983047:VSQ983070</xm:sqref>
        </x14:dataValidation>
        <x14:dataValidation type="list" allowBlank="1" showInputMessage="1" showErrorMessage="1" xr:uid="{9A9C535A-2A83-4528-897E-85F212CB1930}">
          <x14:formula1>
            <xm:f>項目!C17:$WCE$983041</xm:f>
          </x14:formula1>
          <xm:sqref>WCM983047:WCM983070</xm:sqref>
        </x14:dataValidation>
        <x14:dataValidation type="list" allowBlank="1" showInputMessage="1" showErrorMessage="1" xr:uid="{63A8D7F7-F989-4374-AC2D-2C95BF2804B1}">
          <x14:formula1>
            <xm:f>項目!C17:$WMA$983041</xm:f>
          </x14:formula1>
          <xm:sqref>WMI983047:WMI983070</xm:sqref>
        </x14:dataValidation>
        <x14:dataValidation type="list" allowBlank="1" showInputMessage="1" showErrorMessage="1" xr:uid="{084423F9-1BF9-4784-BF89-CB263BD5ACA6}">
          <x14:formula1>
            <xm:f>項目!C17:$WVW$983041</xm:f>
          </x14:formula1>
          <xm:sqref>WWE983047:WWE983070</xm:sqref>
        </x14:dataValidation>
        <x14:dataValidation type="list" allowBlank="1" showInputMessage="1" showErrorMessage="1" xr:uid="{198EC579-FCD1-4322-BF28-F1C6C51971D8}">
          <x14:formula1>
            <xm:f>項目!C17:$G$983041</xm:f>
          </x14:formula1>
          <xm:sqref>K983047:K983070</xm:sqref>
        </x14:dataValidation>
        <x14:dataValidation type="list" allowBlank="1" showInputMessage="1" showErrorMessage="1" xr:uid="{5AF517F0-32BC-4B60-9D2F-4ED3FD16278C}">
          <x14:formula1>
            <xm:f>項目!C17:$G$917505</xm:f>
          </x14:formula1>
          <xm:sqref>K917511:K917534</xm:sqref>
        </x14:dataValidation>
        <x14:dataValidation type="list" allowBlank="1" showInputMessage="1" showErrorMessage="1" xr:uid="{A0DD69AD-C7C7-4874-AA4F-3ED5DD4468A6}">
          <x14:formula1>
            <xm:f>項目!C17:$G$851969</xm:f>
          </x14:formula1>
          <xm:sqref>K851975:K851998</xm:sqref>
        </x14:dataValidation>
        <x14:dataValidation type="list" allowBlank="1" showInputMessage="1" showErrorMessage="1" xr:uid="{079C46FD-D0CB-4706-AA36-1C4ADF8C6D84}">
          <x14:formula1>
            <xm:f>項目!C17:$G$786433</xm:f>
          </x14:formula1>
          <xm:sqref>K786439:K786462</xm:sqref>
        </x14:dataValidation>
        <x14:dataValidation type="list" allowBlank="1" showInputMessage="1" showErrorMessage="1" xr:uid="{B69A8F75-412E-4BC7-AF70-025B551CFE5F}">
          <x14:formula1>
            <xm:f>項目!C17:$G$720897</xm:f>
          </x14:formula1>
          <xm:sqref>K720903:K720926</xm:sqref>
        </x14:dataValidation>
        <x14:dataValidation type="list" allowBlank="1" showInputMessage="1" showErrorMessage="1" xr:uid="{FBEFAB85-7A4B-4C0B-AD54-A56DD98A726F}">
          <x14:formula1>
            <xm:f>項目!C17:$G$655361</xm:f>
          </x14:formula1>
          <xm:sqref>K655367:K655390</xm:sqref>
        </x14:dataValidation>
        <x14:dataValidation type="list" allowBlank="1" showInputMessage="1" showErrorMessage="1" xr:uid="{1DA4D31B-DCF7-4B63-A415-11115EB37D6D}">
          <x14:formula1>
            <xm:f>項目!C17:$G$589825</xm:f>
          </x14:formula1>
          <xm:sqref>K589831:K589854</xm:sqref>
        </x14:dataValidation>
        <x14:dataValidation type="list" allowBlank="1" showInputMessage="1" showErrorMessage="1" xr:uid="{24204816-6CAB-4983-9F68-ED371FBC60E3}">
          <x14:formula1>
            <xm:f>項目!C17:$G$524289</xm:f>
          </x14:formula1>
          <xm:sqref>K524295:K524318</xm:sqref>
        </x14:dataValidation>
        <x14:dataValidation type="list" allowBlank="1" showInputMessage="1" showErrorMessage="1" xr:uid="{3161DA74-B8DF-4236-9F9A-F9ED66A2D2A4}">
          <x14:formula1>
            <xm:f>項目!C17:$G$458753</xm:f>
          </x14:formula1>
          <xm:sqref>K458759:K458782</xm:sqref>
        </x14:dataValidation>
        <x14:dataValidation type="list" allowBlank="1" showInputMessage="1" showErrorMessage="1" xr:uid="{23943A47-4022-434F-AD48-6A450EDB9D8B}">
          <x14:formula1>
            <xm:f>項目!C17:$G$393217</xm:f>
          </x14:formula1>
          <xm:sqref>K393223:K393246</xm:sqref>
        </x14:dataValidation>
        <x14:dataValidation type="list" allowBlank="1" showInputMessage="1" showErrorMessage="1" xr:uid="{6EC6A2E9-4971-4573-AFD7-2875269E8EB5}">
          <x14:formula1>
            <xm:f>項目!C17:$G$327681</xm:f>
          </x14:formula1>
          <xm:sqref>K327687:K327710</xm:sqref>
        </x14:dataValidation>
        <x14:dataValidation type="list" allowBlank="1" showInputMessage="1" showErrorMessage="1" xr:uid="{1C7C858F-737D-4205-A10E-EAF2FA167655}">
          <x14:formula1>
            <xm:f>項目!C17:$G$262145</xm:f>
          </x14:formula1>
          <xm:sqref>K262151:K262174</xm:sqref>
        </x14:dataValidation>
        <x14:dataValidation type="list" allowBlank="1" showInputMessage="1" showErrorMessage="1" xr:uid="{FC433889-B2DF-4FAF-A413-5A92DEC69042}">
          <x14:formula1>
            <xm:f>項目!C17:$G$196609</xm:f>
          </x14:formula1>
          <xm:sqref>K196615:K196638</xm:sqref>
        </x14:dataValidation>
        <x14:dataValidation type="list" allowBlank="1" showInputMessage="1" showErrorMessage="1" xr:uid="{77C8CB23-1449-408A-8F69-E0825B8B4F14}">
          <x14:formula1>
            <xm:f>項目!C17:$G$131073</xm:f>
          </x14:formula1>
          <xm:sqref>K131079:K131102</xm:sqref>
        </x14:dataValidation>
        <x14:dataValidation type="list" allowBlank="1" showInputMessage="1" showErrorMessage="1" xr:uid="{300AB305-629E-405D-97E2-BECE04CA8E36}">
          <x14:formula1>
            <xm:f>項目!C17:$G$65537</xm:f>
          </x14:formula1>
          <xm:sqref>K65543:K65566</xm:sqref>
        </x14:dataValidation>
        <x14:dataValidation type="list" allowBlank="1" showInputMessage="1" showErrorMessage="1" xr:uid="{65FF69EA-913B-43BE-AC07-45AADB9C011E}">
          <x14:formula1>
            <xm:f>項目!A$4:$A65538</xm:f>
          </x14:formula1>
          <xm:sqref>F131079:F131102 F196615:F196638 F262151:F262174 F327687:F327710 F393223:F393246 F458759:F458782 F524295:F524318 F589831:F589854 F655367:F655390 F720903:F720926 F786439:F786462 F851975:F851998 F917511:F917534 F983047:F983070 F65543:F65566 J65543:J65566 J131079:J131102 J196615:J196638 J262151:J262174 J327687:J327710 J393223:J393246 J458759:J458782 J524295:J524318 J589831:J589854 J655367:J655390 J720903:J720926 J786439:J786462 J851975:J851998 J917511:J917534 J983047:J983070</xm:sqref>
        </x14:dataValidation>
        <x14:dataValidation type="list" allowBlank="1" showInputMessage="1" showErrorMessage="1" xr:uid="{C99C5264-5414-4F87-BB48-4CEA25BF8418}">
          <x14:formula1>
            <xm:f>項目!A$4:$I65538</xm:f>
          </x14:formula1>
          <xm:sqref>N65543:N65566 N131079:N131102 N196615:N196638 N262151:N262174 N327687:N327710 N393223:N393246 N458759:N458782 N524295:N524318 N589831:N589854 N655367:N655390 N720903:N720926 N786439:N786462 N851975:N851998 N917511:N917534 N983047:N983070</xm:sqref>
        </x14:dataValidation>
        <x14:dataValidation type="list" allowBlank="1" showInputMessage="1" showErrorMessage="1" xr:uid="{B21B66C7-07D2-4A20-AA31-83A67E05FBF3}">
          <x14:formula1>
            <xm:f>項目!A4:$IS$65538</xm:f>
          </x14:formula1>
          <xm:sqref>JB65543:JB65566</xm:sqref>
        </x14:dataValidation>
        <x14:dataValidation type="list" allowBlank="1" showInputMessage="1" showErrorMessage="1" xr:uid="{115BD89C-F2D7-4094-9FD8-50ED823BC22D}">
          <x14:formula1>
            <xm:f>項目!A4:$SO$65538</xm:f>
          </x14:formula1>
          <xm:sqref>SX65543:SX65566</xm:sqref>
        </x14:dataValidation>
        <x14:dataValidation type="list" allowBlank="1" showInputMessage="1" showErrorMessage="1" xr:uid="{156AFD1A-396E-419A-974C-11723FCF2A45}">
          <x14:formula1>
            <xm:f>項目!A4:$ACK$65538</xm:f>
          </x14:formula1>
          <xm:sqref>ACT65543:ACT65566</xm:sqref>
        </x14:dataValidation>
        <x14:dataValidation type="list" allowBlank="1" showInputMessage="1" showErrorMessage="1" xr:uid="{E3CE8E2F-7829-43C9-B6E8-838A696587C9}">
          <x14:formula1>
            <xm:f>項目!A4:$AMG$65538</xm:f>
          </x14:formula1>
          <xm:sqref>AMP65543:AMP65566</xm:sqref>
        </x14:dataValidation>
        <x14:dataValidation type="list" allowBlank="1" showInputMessage="1" showErrorMessage="1" xr:uid="{FEAE5452-A68E-421B-8F19-85386B7016DA}">
          <x14:formula1>
            <xm:f>項目!A4:$AWC$65538</xm:f>
          </x14:formula1>
          <xm:sqref>AWL65543:AWL65566</xm:sqref>
        </x14:dataValidation>
        <x14:dataValidation type="list" allowBlank="1" showInputMessage="1" showErrorMessage="1" xr:uid="{581A1A39-EEE8-43BA-A959-0FE5A9F58A31}">
          <x14:formula1>
            <xm:f>項目!A4:$BFY$65538</xm:f>
          </x14:formula1>
          <xm:sqref>BGH65543:BGH65566</xm:sqref>
        </x14:dataValidation>
        <x14:dataValidation type="list" allowBlank="1" showInputMessage="1" showErrorMessage="1" xr:uid="{0673EE65-81C3-48FA-B94C-5E3D414830A0}">
          <x14:formula1>
            <xm:f>項目!A4:$BPU$65538</xm:f>
          </x14:formula1>
          <xm:sqref>BQD65543:BQD65566</xm:sqref>
        </x14:dataValidation>
        <x14:dataValidation type="list" allowBlank="1" showInputMessage="1" showErrorMessage="1" xr:uid="{1444E16A-C6D4-4DD7-BE40-F89EDA950C98}">
          <x14:formula1>
            <xm:f>項目!A4:$BZQ$65538</xm:f>
          </x14:formula1>
          <xm:sqref>BZZ65543:BZZ65566</xm:sqref>
        </x14:dataValidation>
        <x14:dataValidation type="list" allowBlank="1" showInputMessage="1" showErrorMessage="1" xr:uid="{B84140C2-9C79-44C5-BEAE-EC2426F196DD}">
          <x14:formula1>
            <xm:f>項目!A4:$CJM$65538</xm:f>
          </x14:formula1>
          <xm:sqref>CJV65543:CJV65566</xm:sqref>
        </x14:dataValidation>
        <x14:dataValidation type="list" allowBlank="1" showInputMessage="1" showErrorMessage="1" xr:uid="{1091C270-584C-48BC-A6B0-5A1010EC9E76}">
          <x14:formula1>
            <xm:f>項目!A4:$CTI$65538</xm:f>
          </x14:formula1>
          <xm:sqref>CTR65543:CTR65566</xm:sqref>
        </x14:dataValidation>
        <x14:dataValidation type="list" allowBlank="1" showInputMessage="1" showErrorMessage="1" xr:uid="{B1F5B7D3-451A-4234-BE00-673B5CF86A06}">
          <x14:formula1>
            <xm:f>項目!A4:$DDE$65538</xm:f>
          </x14:formula1>
          <xm:sqref>DDN65543:DDN65566</xm:sqref>
        </x14:dataValidation>
        <x14:dataValidation type="list" allowBlank="1" showInputMessage="1" showErrorMessage="1" xr:uid="{7EA3ABCD-B091-4FF5-8027-2F1B305B021A}">
          <x14:formula1>
            <xm:f>項目!A4:$DNA$65538</xm:f>
          </x14:formula1>
          <xm:sqref>DNJ65543:DNJ65566</xm:sqref>
        </x14:dataValidation>
        <x14:dataValidation type="list" allowBlank="1" showInputMessage="1" showErrorMessage="1" xr:uid="{EF0DCA18-AE11-44A1-B2D2-20D08944E226}">
          <x14:formula1>
            <xm:f>項目!A4:$DWW$65538</xm:f>
          </x14:formula1>
          <xm:sqref>DXF65543:DXF65566</xm:sqref>
        </x14:dataValidation>
        <x14:dataValidation type="list" allowBlank="1" showInputMessage="1" showErrorMessage="1" xr:uid="{C7030A5A-EDDD-40BB-A830-3EF2AD26C16B}">
          <x14:formula1>
            <xm:f>項目!A4:$EGS$65538</xm:f>
          </x14:formula1>
          <xm:sqref>EHB65543:EHB65566</xm:sqref>
        </x14:dataValidation>
        <x14:dataValidation type="list" allowBlank="1" showInputMessage="1" showErrorMessage="1" xr:uid="{B27695E8-A527-4E15-90A7-6B71C801E33F}">
          <x14:formula1>
            <xm:f>項目!A4:$EQO$65538</xm:f>
          </x14:formula1>
          <xm:sqref>EQX65543:EQX65566</xm:sqref>
        </x14:dataValidation>
        <x14:dataValidation type="list" allowBlank="1" showInputMessage="1" showErrorMessage="1" xr:uid="{FF74D9B1-0927-47D9-9B03-FB0832495BC0}">
          <x14:formula1>
            <xm:f>項目!A4:$FAK$65538</xm:f>
          </x14:formula1>
          <xm:sqref>FAT65543:FAT65566</xm:sqref>
        </x14:dataValidation>
        <x14:dataValidation type="list" allowBlank="1" showInputMessage="1" showErrorMessage="1" xr:uid="{EBE8B4C7-1A08-4DD7-80AE-1BA96F8E6316}">
          <x14:formula1>
            <xm:f>項目!A4:$FKG$65538</xm:f>
          </x14:formula1>
          <xm:sqref>FKP65543:FKP65566</xm:sqref>
        </x14:dataValidation>
        <x14:dataValidation type="list" allowBlank="1" showInputMessage="1" showErrorMessage="1" xr:uid="{C53CA9F5-6DBD-4554-9DD5-6C4FB3CCC2F3}">
          <x14:formula1>
            <xm:f>項目!A4:$FUC$65538</xm:f>
          </x14:formula1>
          <xm:sqref>FUL65543:FUL65566</xm:sqref>
        </x14:dataValidation>
        <x14:dataValidation type="list" allowBlank="1" showInputMessage="1" showErrorMessage="1" xr:uid="{7CE67D63-6377-48D0-955B-8C321BB9EDBE}">
          <x14:formula1>
            <xm:f>項目!A4:$GDY$65538</xm:f>
          </x14:formula1>
          <xm:sqref>GEH65543:GEH65566</xm:sqref>
        </x14:dataValidation>
        <x14:dataValidation type="list" allowBlank="1" showInputMessage="1" showErrorMessage="1" xr:uid="{79A1FF61-0F89-49B5-9D7D-D111BD965BB7}">
          <x14:formula1>
            <xm:f>項目!A4:$GNU$65538</xm:f>
          </x14:formula1>
          <xm:sqref>GOD65543:GOD65566</xm:sqref>
        </x14:dataValidation>
        <x14:dataValidation type="list" allowBlank="1" showInputMessage="1" showErrorMessage="1" xr:uid="{F86F22FA-83DC-4B75-87E9-35840E69975C}">
          <x14:formula1>
            <xm:f>項目!A4:$GXQ$65538</xm:f>
          </x14:formula1>
          <xm:sqref>GXZ65543:GXZ65566</xm:sqref>
        </x14:dataValidation>
        <x14:dataValidation type="list" allowBlank="1" showInputMessage="1" showErrorMessage="1" xr:uid="{871BA8DB-50C9-459E-A51D-8901A1116FEA}">
          <x14:formula1>
            <xm:f>項目!A4:$HHM$65538</xm:f>
          </x14:formula1>
          <xm:sqref>HHV65543:HHV65566</xm:sqref>
        </x14:dataValidation>
        <x14:dataValidation type="list" allowBlank="1" showInputMessage="1" showErrorMessage="1" xr:uid="{21F9002C-F540-478F-AC97-B7507221FA5A}">
          <x14:formula1>
            <xm:f>項目!A4:$HRI$65538</xm:f>
          </x14:formula1>
          <xm:sqref>HRR65543:HRR65566</xm:sqref>
        </x14:dataValidation>
        <x14:dataValidation type="list" allowBlank="1" showInputMessage="1" showErrorMessage="1" xr:uid="{9764CEFC-68FA-406D-941E-F8CF4386882A}">
          <x14:formula1>
            <xm:f>項目!A4:$IBE$65538</xm:f>
          </x14:formula1>
          <xm:sqref>IBN65543:IBN65566</xm:sqref>
        </x14:dataValidation>
        <x14:dataValidation type="list" allowBlank="1" showInputMessage="1" showErrorMessage="1" xr:uid="{4CD36E53-CBE0-4208-9AD1-676772146075}">
          <x14:formula1>
            <xm:f>項目!A4:$ILA$65538</xm:f>
          </x14:formula1>
          <xm:sqref>ILJ65543:ILJ65566</xm:sqref>
        </x14:dataValidation>
        <x14:dataValidation type="list" allowBlank="1" showInputMessage="1" showErrorMessage="1" xr:uid="{E6BFBBE5-C7DA-4754-8560-B9154C4304E9}">
          <x14:formula1>
            <xm:f>項目!A4:$IUW$65538</xm:f>
          </x14:formula1>
          <xm:sqref>IVF65543:IVF65566</xm:sqref>
        </x14:dataValidation>
        <x14:dataValidation type="list" allowBlank="1" showInputMessage="1" showErrorMessage="1" xr:uid="{DACC35AA-13F2-4119-8050-17D795ACD52B}">
          <x14:formula1>
            <xm:f>項目!A4:$JES$65538</xm:f>
          </x14:formula1>
          <xm:sqref>JFB65543:JFB65566</xm:sqref>
        </x14:dataValidation>
        <x14:dataValidation type="list" allowBlank="1" showInputMessage="1" showErrorMessage="1" xr:uid="{FEDDDB6A-841E-47A0-97AF-4543C8B43941}">
          <x14:formula1>
            <xm:f>項目!A4:$JOO$65538</xm:f>
          </x14:formula1>
          <xm:sqref>JOX65543:JOX65566</xm:sqref>
        </x14:dataValidation>
        <x14:dataValidation type="list" allowBlank="1" showInputMessage="1" showErrorMessage="1" xr:uid="{9892D440-01E1-4BB4-A3B0-6FA035FF84FB}">
          <x14:formula1>
            <xm:f>項目!A4:$JYK$65538</xm:f>
          </x14:formula1>
          <xm:sqref>JYT65543:JYT65566</xm:sqref>
        </x14:dataValidation>
        <x14:dataValidation type="list" allowBlank="1" showInputMessage="1" showErrorMessage="1" xr:uid="{F90D9ECB-509E-4950-8293-32754C867A07}">
          <x14:formula1>
            <xm:f>項目!A4:$KIG$65538</xm:f>
          </x14:formula1>
          <xm:sqref>KIP65543:KIP65566</xm:sqref>
        </x14:dataValidation>
        <x14:dataValidation type="list" allowBlank="1" showInputMessage="1" showErrorMessage="1" xr:uid="{64AC3997-52EE-4038-A03C-BCE29436D185}">
          <x14:formula1>
            <xm:f>項目!A4:$KSC$65538</xm:f>
          </x14:formula1>
          <xm:sqref>KSL65543:KSL65566</xm:sqref>
        </x14:dataValidation>
        <x14:dataValidation type="list" allowBlank="1" showInputMessage="1" showErrorMessage="1" xr:uid="{339FD0C8-7761-468C-81E7-72C4A4DD5A60}">
          <x14:formula1>
            <xm:f>項目!A4:$LBY$65538</xm:f>
          </x14:formula1>
          <xm:sqref>LCH65543:LCH65566</xm:sqref>
        </x14:dataValidation>
        <x14:dataValidation type="list" allowBlank="1" showInputMessage="1" showErrorMessage="1" xr:uid="{6E3E2D8D-1B81-4036-9F5B-644D7448C4F7}">
          <x14:formula1>
            <xm:f>項目!A4:$LLU$65538</xm:f>
          </x14:formula1>
          <xm:sqref>LMD65543:LMD65566</xm:sqref>
        </x14:dataValidation>
        <x14:dataValidation type="list" allowBlank="1" showInputMessage="1" showErrorMessage="1" xr:uid="{88479ED7-4AF2-4DF8-B1A4-A09BC4822051}">
          <x14:formula1>
            <xm:f>項目!A4:$LVQ$65538</xm:f>
          </x14:formula1>
          <xm:sqref>LVZ65543:LVZ65566</xm:sqref>
        </x14:dataValidation>
        <x14:dataValidation type="list" allowBlank="1" showInputMessage="1" showErrorMessage="1" xr:uid="{F0729E64-ACE0-497A-BB02-BF8FAEEDD19E}">
          <x14:formula1>
            <xm:f>項目!A4:$MFM$65538</xm:f>
          </x14:formula1>
          <xm:sqref>MFV65543:MFV65566</xm:sqref>
        </x14:dataValidation>
        <x14:dataValidation type="list" allowBlank="1" showInputMessage="1" showErrorMessage="1" xr:uid="{EAADC369-7980-4EB9-9841-B72D2DD94C53}">
          <x14:formula1>
            <xm:f>項目!A4:$MPI$65538</xm:f>
          </x14:formula1>
          <xm:sqref>MPR65543:MPR65566</xm:sqref>
        </x14:dataValidation>
        <x14:dataValidation type="list" allowBlank="1" showInputMessage="1" showErrorMessage="1" xr:uid="{0B564EBA-AE63-4357-A7F1-F2ECC219CB1B}">
          <x14:formula1>
            <xm:f>項目!A4:$MZE$65538</xm:f>
          </x14:formula1>
          <xm:sqref>MZN65543:MZN65566</xm:sqref>
        </x14:dataValidation>
        <x14:dataValidation type="list" allowBlank="1" showInputMessage="1" showErrorMessage="1" xr:uid="{A06E5D7F-6200-49EB-AD44-98FDAE50113B}">
          <x14:formula1>
            <xm:f>項目!A4:$NJA$65538</xm:f>
          </x14:formula1>
          <xm:sqref>NJJ65543:NJJ65566</xm:sqref>
        </x14:dataValidation>
        <x14:dataValidation type="list" allowBlank="1" showInputMessage="1" showErrorMessage="1" xr:uid="{2B8872C7-8649-488D-A12B-D519E9A7B37A}">
          <x14:formula1>
            <xm:f>項目!A4:$NSW$65538</xm:f>
          </x14:formula1>
          <xm:sqref>NTF65543:NTF65566</xm:sqref>
        </x14:dataValidation>
        <x14:dataValidation type="list" allowBlank="1" showInputMessage="1" showErrorMessage="1" xr:uid="{D76BA0F2-B9CB-4928-A45B-2E32978BFBEC}">
          <x14:formula1>
            <xm:f>項目!A4:$OCS$65538</xm:f>
          </x14:formula1>
          <xm:sqref>ODB65543:ODB65566</xm:sqref>
        </x14:dataValidation>
        <x14:dataValidation type="list" allowBlank="1" showInputMessage="1" showErrorMessage="1" xr:uid="{D2B0372A-B5E8-4BB5-AFB7-609990EB4806}">
          <x14:formula1>
            <xm:f>項目!A4:$OMO$65538</xm:f>
          </x14:formula1>
          <xm:sqref>OMX65543:OMX65566</xm:sqref>
        </x14:dataValidation>
        <x14:dataValidation type="list" allowBlank="1" showInputMessage="1" showErrorMessage="1" xr:uid="{3FFC115B-1704-4022-9C6D-98006D2A7207}">
          <x14:formula1>
            <xm:f>項目!A4:$OWK$65538</xm:f>
          </x14:formula1>
          <xm:sqref>OWT65543:OWT65566</xm:sqref>
        </x14:dataValidation>
        <x14:dataValidation type="list" allowBlank="1" showInputMessage="1" showErrorMessage="1" xr:uid="{EA8F4F89-F5F1-4616-88A6-4B7A355C34F6}">
          <x14:formula1>
            <xm:f>項目!A4:$PGG$65538</xm:f>
          </x14:formula1>
          <xm:sqref>PGP65543:PGP65566</xm:sqref>
        </x14:dataValidation>
        <x14:dataValidation type="list" allowBlank="1" showInputMessage="1" showErrorMessage="1" xr:uid="{31D5ADE6-DF33-455F-AE07-829E69F2ECF5}">
          <x14:formula1>
            <xm:f>項目!A4:$PQC$65538</xm:f>
          </x14:formula1>
          <xm:sqref>PQL65543:PQL65566</xm:sqref>
        </x14:dataValidation>
        <x14:dataValidation type="list" allowBlank="1" showInputMessage="1" showErrorMessage="1" xr:uid="{ED828E79-F9DA-4C41-9E7D-610667C8FBF4}">
          <x14:formula1>
            <xm:f>項目!A4:$PZY$65538</xm:f>
          </x14:formula1>
          <xm:sqref>QAH65543:QAH65566</xm:sqref>
        </x14:dataValidation>
        <x14:dataValidation type="list" allowBlank="1" showInputMessage="1" showErrorMessage="1" xr:uid="{3DB2FE84-0DDC-4447-99E8-0234943F33F2}">
          <x14:formula1>
            <xm:f>項目!A4:$QJU$65538</xm:f>
          </x14:formula1>
          <xm:sqref>QKD65543:QKD65566</xm:sqref>
        </x14:dataValidation>
        <x14:dataValidation type="list" allowBlank="1" showInputMessage="1" showErrorMessage="1" xr:uid="{AFF7B5A7-A184-41F1-97F2-53F68DE8EF68}">
          <x14:formula1>
            <xm:f>項目!A4:$QTQ$65538</xm:f>
          </x14:formula1>
          <xm:sqref>QTZ65543:QTZ65566</xm:sqref>
        </x14:dataValidation>
        <x14:dataValidation type="list" allowBlank="1" showInputMessage="1" showErrorMessage="1" xr:uid="{32C9E21B-001C-41D4-8806-7AAD97E2BF67}">
          <x14:formula1>
            <xm:f>項目!A4:$RDM$65538</xm:f>
          </x14:formula1>
          <xm:sqref>RDV65543:RDV65566</xm:sqref>
        </x14:dataValidation>
        <x14:dataValidation type="list" allowBlank="1" showInputMessage="1" showErrorMessage="1" xr:uid="{F7597037-B3F2-41AC-99E6-BD6778EB5D4E}">
          <x14:formula1>
            <xm:f>項目!A4:$RNI$65538</xm:f>
          </x14:formula1>
          <xm:sqref>RNR65543:RNR65566</xm:sqref>
        </x14:dataValidation>
        <x14:dataValidation type="list" allowBlank="1" showInputMessage="1" showErrorMessage="1" xr:uid="{FC0402A2-A55C-4FE4-BF4D-6FFAE348E173}">
          <x14:formula1>
            <xm:f>項目!A4:$RXE$65538</xm:f>
          </x14:formula1>
          <xm:sqref>RXN65543:RXN65566</xm:sqref>
        </x14:dataValidation>
        <x14:dataValidation type="list" allowBlank="1" showInputMessage="1" showErrorMessage="1" xr:uid="{C2749B38-690C-4EC2-B2B2-B212EFDA4CA6}">
          <x14:formula1>
            <xm:f>項目!A4:$SHA$65538</xm:f>
          </x14:formula1>
          <xm:sqref>SHJ65543:SHJ65566</xm:sqref>
        </x14:dataValidation>
        <x14:dataValidation type="list" allowBlank="1" showInputMessage="1" showErrorMessage="1" xr:uid="{2519790E-3291-4FE5-AE03-81FE72A1680C}">
          <x14:formula1>
            <xm:f>項目!A4:$SQW$65538</xm:f>
          </x14:formula1>
          <xm:sqref>SRF65543:SRF65566</xm:sqref>
        </x14:dataValidation>
        <x14:dataValidation type="list" allowBlank="1" showInputMessage="1" showErrorMessage="1" xr:uid="{622361DA-D8D1-4A7A-83AF-FE6912EDF278}">
          <x14:formula1>
            <xm:f>項目!A4:$TAS$65538</xm:f>
          </x14:formula1>
          <xm:sqref>TBB65543:TBB65566</xm:sqref>
        </x14:dataValidation>
        <x14:dataValidation type="list" allowBlank="1" showInputMessage="1" showErrorMessage="1" xr:uid="{3CF835D8-E404-45E5-84A4-96101B3023E2}">
          <x14:formula1>
            <xm:f>項目!A4:$TKO$65538</xm:f>
          </x14:formula1>
          <xm:sqref>TKX65543:TKX65566</xm:sqref>
        </x14:dataValidation>
        <x14:dataValidation type="list" allowBlank="1" showInputMessage="1" showErrorMessage="1" xr:uid="{9A42420B-DA09-4EE5-9BC4-096BBC0CC87A}">
          <x14:formula1>
            <xm:f>項目!A4:$TUK$65538</xm:f>
          </x14:formula1>
          <xm:sqref>TUT65543:TUT65566</xm:sqref>
        </x14:dataValidation>
        <x14:dataValidation type="list" allowBlank="1" showInputMessage="1" showErrorMessage="1" xr:uid="{06FBA064-0FC4-40D3-AF08-0649782507CF}">
          <x14:formula1>
            <xm:f>項目!A4:$UEG$65538</xm:f>
          </x14:formula1>
          <xm:sqref>UEP65543:UEP65566</xm:sqref>
        </x14:dataValidation>
        <x14:dataValidation type="list" allowBlank="1" showInputMessage="1" showErrorMessage="1" xr:uid="{BE35B131-948C-4D58-A17F-2E4F075C6A17}">
          <x14:formula1>
            <xm:f>項目!A4:$UOC$65538</xm:f>
          </x14:formula1>
          <xm:sqref>UOL65543:UOL65566</xm:sqref>
        </x14:dataValidation>
        <x14:dataValidation type="list" allowBlank="1" showInputMessage="1" showErrorMessage="1" xr:uid="{287EE9AF-08B6-4397-B549-75E9C763A569}">
          <x14:formula1>
            <xm:f>項目!A4:$UXY$65538</xm:f>
          </x14:formula1>
          <xm:sqref>UYH65543:UYH65566</xm:sqref>
        </x14:dataValidation>
        <x14:dataValidation type="list" allowBlank="1" showInputMessage="1" showErrorMessage="1" xr:uid="{4DEED92F-C328-435F-B7A4-5AA75EA7FA52}">
          <x14:formula1>
            <xm:f>項目!A4:$VHU$65538</xm:f>
          </x14:formula1>
          <xm:sqref>VID65543:VID65566</xm:sqref>
        </x14:dataValidation>
        <x14:dataValidation type="list" allowBlank="1" showInputMessage="1" showErrorMessage="1" xr:uid="{995DA368-B517-4C8A-8641-4D5155AE732A}">
          <x14:formula1>
            <xm:f>項目!A4:$VRQ$65538</xm:f>
          </x14:formula1>
          <xm:sqref>VRZ65543:VRZ65566</xm:sqref>
        </x14:dataValidation>
        <x14:dataValidation type="list" allowBlank="1" showInputMessage="1" showErrorMessage="1" xr:uid="{3875D124-653C-4962-8EE7-A2C7A5693C49}">
          <x14:formula1>
            <xm:f>項目!A4:$WBM$65538</xm:f>
          </x14:formula1>
          <xm:sqref>WBV65543:WBV65566</xm:sqref>
        </x14:dataValidation>
        <x14:dataValidation type="list" allowBlank="1" showInputMessage="1" showErrorMessage="1" xr:uid="{2A110C0A-F0BA-49B3-96E8-1975358ED410}">
          <x14:formula1>
            <xm:f>項目!A4:$WLI$65538</xm:f>
          </x14:formula1>
          <xm:sqref>WLR65543:WLR65566</xm:sqref>
        </x14:dataValidation>
        <x14:dataValidation type="list" allowBlank="1" showInputMessage="1" showErrorMessage="1" xr:uid="{D82C1A93-CA9B-4D7B-B677-2030371E975E}">
          <x14:formula1>
            <xm:f>項目!A4:$WVE$65538</xm:f>
          </x14:formula1>
          <xm:sqref>WVN65543:WVN65566</xm:sqref>
        </x14:dataValidation>
        <x14:dataValidation type="list" allowBlank="1" showInputMessage="1" showErrorMessage="1" xr:uid="{0C58C5FB-26B7-45D7-9F9C-0A21F8648E4D}">
          <x14:formula1>
            <xm:f>項目!A4:$IS$131074</xm:f>
          </x14:formula1>
          <xm:sqref>JB131079:JB131102</xm:sqref>
        </x14:dataValidation>
        <x14:dataValidation type="list" allowBlank="1" showInputMessage="1" showErrorMessage="1" xr:uid="{95603F32-3BDA-4F65-87E1-440DD7EA6A73}">
          <x14:formula1>
            <xm:f>項目!A4:$SO$131074</xm:f>
          </x14:formula1>
          <xm:sqref>SX131079:SX131102</xm:sqref>
        </x14:dataValidation>
        <x14:dataValidation type="list" allowBlank="1" showInputMessage="1" showErrorMessage="1" xr:uid="{67C86B39-C171-4FFE-880E-7A72438247FA}">
          <x14:formula1>
            <xm:f>項目!A4:$ACK$131074</xm:f>
          </x14:formula1>
          <xm:sqref>ACT131079:ACT131102</xm:sqref>
        </x14:dataValidation>
        <x14:dataValidation type="list" allowBlank="1" showInputMessage="1" showErrorMessage="1" xr:uid="{C83842BE-A2A1-4EC2-8D51-D1A90368466A}">
          <x14:formula1>
            <xm:f>項目!A4:$AMG$131074</xm:f>
          </x14:formula1>
          <xm:sqref>AMP131079:AMP131102</xm:sqref>
        </x14:dataValidation>
        <x14:dataValidation type="list" allowBlank="1" showInputMessage="1" showErrorMessage="1" xr:uid="{677FAAF2-AF53-46AE-8A55-54B4B6FA5B11}">
          <x14:formula1>
            <xm:f>項目!A4:$AWC$131074</xm:f>
          </x14:formula1>
          <xm:sqref>AWL131079:AWL131102</xm:sqref>
        </x14:dataValidation>
        <x14:dataValidation type="list" allowBlank="1" showInputMessage="1" showErrorMessage="1" xr:uid="{3EC04A96-ED52-4EF3-B605-68D5EA688078}">
          <x14:formula1>
            <xm:f>項目!A4:$BFY$131074</xm:f>
          </x14:formula1>
          <xm:sqref>BGH131079:BGH131102</xm:sqref>
        </x14:dataValidation>
        <x14:dataValidation type="list" allowBlank="1" showInputMessage="1" showErrorMessage="1" xr:uid="{839AD5A2-21D7-469B-9EAF-3457DD9E2AAC}">
          <x14:formula1>
            <xm:f>項目!A4:$BPU$131074</xm:f>
          </x14:formula1>
          <xm:sqref>BQD131079:BQD131102</xm:sqref>
        </x14:dataValidation>
        <x14:dataValidation type="list" allowBlank="1" showInputMessage="1" showErrorMessage="1" xr:uid="{5F87854F-ADCB-461F-9EF0-4F9C6FF0E51D}">
          <x14:formula1>
            <xm:f>項目!A4:$BZQ$131074</xm:f>
          </x14:formula1>
          <xm:sqref>BZZ131079:BZZ131102</xm:sqref>
        </x14:dataValidation>
        <x14:dataValidation type="list" allowBlank="1" showInputMessage="1" showErrorMessage="1" xr:uid="{A3B73964-4A52-42E8-8FCB-E3231CFBCF62}">
          <x14:formula1>
            <xm:f>項目!A4:$CJM$131074</xm:f>
          </x14:formula1>
          <xm:sqref>CJV131079:CJV131102</xm:sqref>
        </x14:dataValidation>
        <x14:dataValidation type="list" allowBlank="1" showInputMessage="1" showErrorMessage="1" xr:uid="{A0E0D39C-4F02-42E1-8221-B08D8CD2F51C}">
          <x14:formula1>
            <xm:f>項目!A4:$CTI$131074</xm:f>
          </x14:formula1>
          <xm:sqref>CTR131079:CTR131102</xm:sqref>
        </x14:dataValidation>
        <x14:dataValidation type="list" allowBlank="1" showInputMessage="1" showErrorMessage="1" xr:uid="{F136AD0B-FB15-4DFC-898A-2C4F22F3DE60}">
          <x14:formula1>
            <xm:f>項目!A4:$DDE$131074</xm:f>
          </x14:formula1>
          <xm:sqref>DDN131079:DDN131102</xm:sqref>
        </x14:dataValidation>
        <x14:dataValidation type="list" allowBlank="1" showInputMessage="1" showErrorMessage="1" xr:uid="{BB6C91BC-3E0F-4A29-8595-7A555979110C}">
          <x14:formula1>
            <xm:f>項目!A4:$DNA$131074</xm:f>
          </x14:formula1>
          <xm:sqref>DNJ131079:DNJ131102</xm:sqref>
        </x14:dataValidation>
        <x14:dataValidation type="list" allowBlank="1" showInputMessage="1" showErrorMessage="1" xr:uid="{E65366A9-B6EE-4D2A-A21E-C8C1546D1165}">
          <x14:formula1>
            <xm:f>項目!A4:$DWW$131074</xm:f>
          </x14:formula1>
          <xm:sqref>DXF131079:DXF131102</xm:sqref>
        </x14:dataValidation>
        <x14:dataValidation type="list" allowBlank="1" showInputMessage="1" showErrorMessage="1" xr:uid="{8826372C-FD62-4525-AC3F-9928EDAF2A45}">
          <x14:formula1>
            <xm:f>項目!A4:$EGS$131074</xm:f>
          </x14:formula1>
          <xm:sqref>EHB131079:EHB131102</xm:sqref>
        </x14:dataValidation>
        <x14:dataValidation type="list" allowBlank="1" showInputMessage="1" showErrorMessage="1" xr:uid="{000F4994-0AF5-4D80-95BE-6AC5B4255F30}">
          <x14:formula1>
            <xm:f>項目!A4:$EQO$131074</xm:f>
          </x14:formula1>
          <xm:sqref>EQX131079:EQX131102</xm:sqref>
        </x14:dataValidation>
        <x14:dataValidation type="list" allowBlank="1" showInputMessage="1" showErrorMessage="1" xr:uid="{2A0D70A0-1668-4149-9E2A-A4D75F10B546}">
          <x14:formula1>
            <xm:f>項目!A4:$FAK$131074</xm:f>
          </x14:formula1>
          <xm:sqref>FAT131079:FAT131102</xm:sqref>
        </x14:dataValidation>
        <x14:dataValidation type="list" allowBlank="1" showInputMessage="1" showErrorMessage="1" xr:uid="{487266D0-A33A-4A7E-8DF7-B1CE6F954CF6}">
          <x14:formula1>
            <xm:f>項目!A4:$FKG$131074</xm:f>
          </x14:formula1>
          <xm:sqref>FKP131079:FKP131102</xm:sqref>
        </x14:dataValidation>
        <x14:dataValidation type="list" allowBlank="1" showInputMessage="1" showErrorMessage="1" xr:uid="{B128F691-3F35-4060-B3B2-09719782F8B5}">
          <x14:formula1>
            <xm:f>項目!A4:$FUC$131074</xm:f>
          </x14:formula1>
          <xm:sqref>FUL131079:FUL131102</xm:sqref>
        </x14:dataValidation>
        <x14:dataValidation type="list" allowBlank="1" showInputMessage="1" showErrorMessage="1" xr:uid="{5826CB24-C1ED-4FC0-BCA3-FD1DBFA1CF94}">
          <x14:formula1>
            <xm:f>項目!A4:$GDY$131074</xm:f>
          </x14:formula1>
          <xm:sqref>GEH131079:GEH131102</xm:sqref>
        </x14:dataValidation>
        <x14:dataValidation type="list" allowBlank="1" showInputMessage="1" showErrorMessage="1" xr:uid="{3E2DDFE7-5922-405B-B5F4-423BB303CC23}">
          <x14:formula1>
            <xm:f>項目!A4:$GNU$131074</xm:f>
          </x14:formula1>
          <xm:sqref>GOD131079:GOD131102</xm:sqref>
        </x14:dataValidation>
        <x14:dataValidation type="list" allowBlank="1" showInputMessage="1" showErrorMessage="1" xr:uid="{962F09B2-7E66-4217-AC3D-2ED1077F16F4}">
          <x14:formula1>
            <xm:f>項目!A4:$GXQ$131074</xm:f>
          </x14:formula1>
          <xm:sqref>GXZ131079:GXZ131102</xm:sqref>
        </x14:dataValidation>
        <x14:dataValidation type="list" allowBlank="1" showInputMessage="1" showErrorMessage="1" xr:uid="{975D67AF-5C9C-4F95-B1EB-9DCC8E325491}">
          <x14:formula1>
            <xm:f>項目!A4:$HHM$131074</xm:f>
          </x14:formula1>
          <xm:sqref>HHV131079:HHV131102</xm:sqref>
        </x14:dataValidation>
        <x14:dataValidation type="list" allowBlank="1" showInputMessage="1" showErrorMessage="1" xr:uid="{77275698-2CF3-49E0-9737-17C0C7025675}">
          <x14:formula1>
            <xm:f>項目!A4:$HRI$131074</xm:f>
          </x14:formula1>
          <xm:sqref>HRR131079:HRR131102</xm:sqref>
        </x14:dataValidation>
        <x14:dataValidation type="list" allowBlank="1" showInputMessage="1" showErrorMessage="1" xr:uid="{F5A26C92-6A49-414A-9669-D6E95AEC8448}">
          <x14:formula1>
            <xm:f>項目!A4:$IBE$131074</xm:f>
          </x14:formula1>
          <xm:sqref>IBN131079:IBN131102</xm:sqref>
        </x14:dataValidation>
        <x14:dataValidation type="list" allowBlank="1" showInputMessage="1" showErrorMessage="1" xr:uid="{6754F848-6468-4C91-86E6-F75C1CDB302B}">
          <x14:formula1>
            <xm:f>項目!A4:$ILA$131074</xm:f>
          </x14:formula1>
          <xm:sqref>ILJ131079:ILJ131102</xm:sqref>
        </x14:dataValidation>
        <x14:dataValidation type="list" allowBlank="1" showInputMessage="1" showErrorMessage="1" xr:uid="{ED72F7E4-3345-4884-80C7-1B72ABE7C2EF}">
          <x14:formula1>
            <xm:f>項目!A4:$IUW$131074</xm:f>
          </x14:formula1>
          <xm:sqref>IVF131079:IVF131102</xm:sqref>
        </x14:dataValidation>
        <x14:dataValidation type="list" allowBlank="1" showInputMessage="1" showErrorMessage="1" xr:uid="{7030DC86-91A4-4CF8-9C86-47F45A4B7E50}">
          <x14:formula1>
            <xm:f>項目!A4:$JES$131074</xm:f>
          </x14:formula1>
          <xm:sqref>JFB131079:JFB131102</xm:sqref>
        </x14:dataValidation>
        <x14:dataValidation type="list" allowBlank="1" showInputMessage="1" showErrorMessage="1" xr:uid="{BB2E6282-182A-448E-943A-F5DD6371F0FA}">
          <x14:formula1>
            <xm:f>項目!A4:$JOO$131074</xm:f>
          </x14:formula1>
          <xm:sqref>JOX131079:JOX131102</xm:sqref>
        </x14:dataValidation>
        <x14:dataValidation type="list" allowBlank="1" showInputMessage="1" showErrorMessage="1" xr:uid="{AC65349C-6946-4D04-8332-91BDF48D5A03}">
          <x14:formula1>
            <xm:f>項目!A4:$JYK$131074</xm:f>
          </x14:formula1>
          <xm:sqref>JYT131079:JYT131102</xm:sqref>
        </x14:dataValidation>
        <x14:dataValidation type="list" allowBlank="1" showInputMessage="1" showErrorMessage="1" xr:uid="{9391F57B-EF22-4D3A-89CE-D9731467719F}">
          <x14:formula1>
            <xm:f>項目!A4:$KIG$131074</xm:f>
          </x14:formula1>
          <xm:sqref>KIP131079:KIP131102</xm:sqref>
        </x14:dataValidation>
        <x14:dataValidation type="list" allowBlank="1" showInputMessage="1" showErrorMessage="1" xr:uid="{B2D054B7-485B-4595-AABE-0348393599C6}">
          <x14:formula1>
            <xm:f>項目!A4:$KSC$131074</xm:f>
          </x14:formula1>
          <xm:sqref>KSL131079:KSL131102</xm:sqref>
        </x14:dataValidation>
        <x14:dataValidation type="list" allowBlank="1" showInputMessage="1" showErrorMessage="1" xr:uid="{911C602C-C752-441B-8592-C37A45BD60D7}">
          <x14:formula1>
            <xm:f>項目!A4:$LBY$131074</xm:f>
          </x14:formula1>
          <xm:sqref>LCH131079:LCH131102</xm:sqref>
        </x14:dataValidation>
        <x14:dataValidation type="list" allowBlank="1" showInputMessage="1" showErrorMessage="1" xr:uid="{404E8A9D-9D42-42A0-8112-8F747BD12570}">
          <x14:formula1>
            <xm:f>項目!A4:$LLU$131074</xm:f>
          </x14:formula1>
          <xm:sqref>LMD131079:LMD131102</xm:sqref>
        </x14:dataValidation>
        <x14:dataValidation type="list" allowBlank="1" showInputMessage="1" showErrorMessage="1" xr:uid="{534E751E-A23E-4F7C-B9FD-2CBA4FC8E040}">
          <x14:formula1>
            <xm:f>項目!A4:$LVQ$131074</xm:f>
          </x14:formula1>
          <xm:sqref>LVZ131079:LVZ131102</xm:sqref>
        </x14:dataValidation>
        <x14:dataValidation type="list" allowBlank="1" showInputMessage="1" showErrorMessage="1" xr:uid="{8AE6EE57-8B71-4267-9C05-9F8AF30F453C}">
          <x14:formula1>
            <xm:f>項目!A4:$MFM$131074</xm:f>
          </x14:formula1>
          <xm:sqref>MFV131079:MFV131102</xm:sqref>
        </x14:dataValidation>
        <x14:dataValidation type="list" allowBlank="1" showInputMessage="1" showErrorMessage="1" xr:uid="{7F36CF5F-8089-4C6B-BEE6-963082AEFF39}">
          <x14:formula1>
            <xm:f>項目!A4:$MPI$131074</xm:f>
          </x14:formula1>
          <xm:sqref>MPR131079:MPR131102</xm:sqref>
        </x14:dataValidation>
        <x14:dataValidation type="list" allowBlank="1" showInputMessage="1" showErrorMessage="1" xr:uid="{19F98113-0E0B-4ADE-93EC-CA47A8BFC4CB}">
          <x14:formula1>
            <xm:f>項目!A4:$MZE$131074</xm:f>
          </x14:formula1>
          <xm:sqref>MZN131079:MZN131102</xm:sqref>
        </x14:dataValidation>
        <x14:dataValidation type="list" allowBlank="1" showInputMessage="1" showErrorMessage="1" xr:uid="{FE3FB6DC-9B32-48C1-85D2-61FB0E41D7DB}">
          <x14:formula1>
            <xm:f>項目!A4:$NJA$131074</xm:f>
          </x14:formula1>
          <xm:sqref>NJJ131079:NJJ131102</xm:sqref>
        </x14:dataValidation>
        <x14:dataValidation type="list" allowBlank="1" showInputMessage="1" showErrorMessage="1" xr:uid="{E84CAF20-B723-4953-B0FF-81D8460F19E6}">
          <x14:formula1>
            <xm:f>項目!A4:$NSW$131074</xm:f>
          </x14:formula1>
          <xm:sqref>NTF131079:NTF131102</xm:sqref>
        </x14:dataValidation>
        <x14:dataValidation type="list" allowBlank="1" showInputMessage="1" showErrorMessage="1" xr:uid="{8A58631B-E54F-4541-BEF9-7F576E70FC6A}">
          <x14:formula1>
            <xm:f>項目!A4:$OCS$131074</xm:f>
          </x14:formula1>
          <xm:sqref>ODB131079:ODB131102</xm:sqref>
        </x14:dataValidation>
        <x14:dataValidation type="list" allowBlank="1" showInputMessage="1" showErrorMessage="1" xr:uid="{9B8A434B-DA95-4A44-9990-05211CEE2021}">
          <x14:formula1>
            <xm:f>項目!A4:$OMO$131074</xm:f>
          </x14:formula1>
          <xm:sqref>OMX131079:OMX131102</xm:sqref>
        </x14:dataValidation>
        <x14:dataValidation type="list" allowBlank="1" showInputMessage="1" showErrorMessage="1" xr:uid="{D8D021AE-251E-43D3-A6ED-DEEE6BC57521}">
          <x14:formula1>
            <xm:f>項目!A4:$OWK$131074</xm:f>
          </x14:formula1>
          <xm:sqref>OWT131079:OWT131102</xm:sqref>
        </x14:dataValidation>
        <x14:dataValidation type="list" allowBlank="1" showInputMessage="1" showErrorMessage="1" xr:uid="{C9409DDD-91E9-4DC4-8211-B2A7BC814C89}">
          <x14:formula1>
            <xm:f>項目!A4:$PGG$131074</xm:f>
          </x14:formula1>
          <xm:sqref>PGP131079:PGP131102</xm:sqref>
        </x14:dataValidation>
        <x14:dataValidation type="list" allowBlank="1" showInputMessage="1" showErrorMessage="1" xr:uid="{9ACB3936-22B4-4191-823C-43E7916980A6}">
          <x14:formula1>
            <xm:f>項目!A4:$PQC$131074</xm:f>
          </x14:formula1>
          <xm:sqref>PQL131079:PQL131102</xm:sqref>
        </x14:dataValidation>
        <x14:dataValidation type="list" allowBlank="1" showInputMessage="1" showErrorMessage="1" xr:uid="{8E270E64-9668-48C8-B844-10E4CFFDFAB7}">
          <x14:formula1>
            <xm:f>項目!A4:$PZY$131074</xm:f>
          </x14:formula1>
          <xm:sqref>QAH131079:QAH131102</xm:sqref>
        </x14:dataValidation>
        <x14:dataValidation type="list" allowBlank="1" showInputMessage="1" showErrorMessage="1" xr:uid="{6E6C4E6D-7608-41A3-A5D2-FE5F10809937}">
          <x14:formula1>
            <xm:f>項目!A4:$QJU$131074</xm:f>
          </x14:formula1>
          <xm:sqref>QKD131079:QKD131102</xm:sqref>
        </x14:dataValidation>
        <x14:dataValidation type="list" allowBlank="1" showInputMessage="1" showErrorMessage="1" xr:uid="{8ECB71EC-29F0-4A75-B330-E6AD1E978038}">
          <x14:formula1>
            <xm:f>項目!A4:$QTQ$131074</xm:f>
          </x14:formula1>
          <xm:sqref>QTZ131079:QTZ131102</xm:sqref>
        </x14:dataValidation>
        <x14:dataValidation type="list" allowBlank="1" showInputMessage="1" showErrorMessage="1" xr:uid="{042E3D0C-203D-4E66-9FBB-B60106D55307}">
          <x14:formula1>
            <xm:f>項目!A4:$RDM$131074</xm:f>
          </x14:formula1>
          <xm:sqref>RDV131079:RDV131102</xm:sqref>
        </x14:dataValidation>
        <x14:dataValidation type="list" allowBlank="1" showInputMessage="1" showErrorMessage="1" xr:uid="{929267A6-19DB-4449-9A65-838EAB710C2F}">
          <x14:formula1>
            <xm:f>項目!A4:$RNI$131074</xm:f>
          </x14:formula1>
          <xm:sqref>RNR131079:RNR131102</xm:sqref>
        </x14:dataValidation>
        <x14:dataValidation type="list" allowBlank="1" showInputMessage="1" showErrorMessage="1" xr:uid="{FE9B15B8-E300-4DEE-9085-4FE4E785225C}">
          <x14:formula1>
            <xm:f>項目!A4:$RXE$131074</xm:f>
          </x14:formula1>
          <xm:sqref>RXN131079:RXN131102</xm:sqref>
        </x14:dataValidation>
        <x14:dataValidation type="list" allowBlank="1" showInputMessage="1" showErrorMessage="1" xr:uid="{D6DC5D2E-2D6E-47AD-8D1C-FA6EB2025A55}">
          <x14:formula1>
            <xm:f>項目!A4:$SHA$131074</xm:f>
          </x14:formula1>
          <xm:sqref>SHJ131079:SHJ131102</xm:sqref>
        </x14:dataValidation>
        <x14:dataValidation type="list" allowBlank="1" showInputMessage="1" showErrorMessage="1" xr:uid="{69209F9B-1DAD-4022-8A8C-13DA522F1FE1}">
          <x14:formula1>
            <xm:f>項目!A4:$SQW$131074</xm:f>
          </x14:formula1>
          <xm:sqref>SRF131079:SRF131102</xm:sqref>
        </x14:dataValidation>
        <x14:dataValidation type="list" allowBlank="1" showInputMessage="1" showErrorMessage="1" xr:uid="{79B2FABB-95BC-4659-9283-CB7154F5FD9F}">
          <x14:formula1>
            <xm:f>項目!A4:$TAS$131074</xm:f>
          </x14:formula1>
          <xm:sqref>TBB131079:TBB131102</xm:sqref>
        </x14:dataValidation>
        <x14:dataValidation type="list" allowBlank="1" showInputMessage="1" showErrorMessage="1" xr:uid="{C2F517C0-AA98-49DC-BBCE-1797046C3E6C}">
          <x14:formula1>
            <xm:f>項目!A4:$TKO$131074</xm:f>
          </x14:formula1>
          <xm:sqref>TKX131079:TKX131102</xm:sqref>
        </x14:dataValidation>
        <x14:dataValidation type="list" allowBlank="1" showInputMessage="1" showErrorMessage="1" xr:uid="{1E79DFF4-6B16-4FA1-8AD0-5E84925D835B}">
          <x14:formula1>
            <xm:f>項目!A4:$TUK$131074</xm:f>
          </x14:formula1>
          <xm:sqref>TUT131079:TUT131102</xm:sqref>
        </x14:dataValidation>
        <x14:dataValidation type="list" allowBlank="1" showInputMessage="1" showErrorMessage="1" xr:uid="{9640FE3A-99DD-40BB-B8D9-A940DB6BDD8B}">
          <x14:formula1>
            <xm:f>項目!A4:$UEG$131074</xm:f>
          </x14:formula1>
          <xm:sqref>UEP131079:UEP131102</xm:sqref>
        </x14:dataValidation>
        <x14:dataValidation type="list" allowBlank="1" showInputMessage="1" showErrorMessage="1" xr:uid="{7749F72E-DAAE-4ECB-B7E0-BC474509F262}">
          <x14:formula1>
            <xm:f>項目!A4:$UOC$131074</xm:f>
          </x14:formula1>
          <xm:sqref>UOL131079:UOL131102</xm:sqref>
        </x14:dataValidation>
        <x14:dataValidation type="list" allowBlank="1" showInputMessage="1" showErrorMessage="1" xr:uid="{BC76C330-A256-4889-8A1B-018B2C8ECB9E}">
          <x14:formula1>
            <xm:f>項目!A4:$UXY$131074</xm:f>
          </x14:formula1>
          <xm:sqref>UYH131079:UYH131102</xm:sqref>
        </x14:dataValidation>
        <x14:dataValidation type="list" allowBlank="1" showInputMessage="1" showErrorMessage="1" xr:uid="{FBC1DA1D-EF92-4A2E-9CC0-BC16717EADC5}">
          <x14:formula1>
            <xm:f>項目!A4:$VHU$131074</xm:f>
          </x14:formula1>
          <xm:sqref>VID131079:VID131102</xm:sqref>
        </x14:dataValidation>
        <x14:dataValidation type="list" allowBlank="1" showInputMessage="1" showErrorMessage="1" xr:uid="{CB8FC578-BA3B-478D-A059-02A4DAF1A790}">
          <x14:formula1>
            <xm:f>項目!A4:$VRQ$131074</xm:f>
          </x14:formula1>
          <xm:sqref>VRZ131079:VRZ131102</xm:sqref>
        </x14:dataValidation>
        <x14:dataValidation type="list" allowBlank="1" showInputMessage="1" showErrorMessage="1" xr:uid="{9F5B7399-75F9-48EA-A1D3-FA60864D568F}">
          <x14:formula1>
            <xm:f>項目!A4:$WBM$131074</xm:f>
          </x14:formula1>
          <xm:sqref>WBV131079:WBV131102</xm:sqref>
        </x14:dataValidation>
        <x14:dataValidation type="list" allowBlank="1" showInputMessage="1" showErrorMessage="1" xr:uid="{B8964744-5FAD-4D52-8457-9B58A4570C23}">
          <x14:formula1>
            <xm:f>項目!A4:$WLI$131074</xm:f>
          </x14:formula1>
          <xm:sqref>WLR131079:WLR131102</xm:sqref>
        </x14:dataValidation>
        <x14:dataValidation type="list" allowBlank="1" showInputMessage="1" showErrorMessage="1" xr:uid="{750D09E2-1215-4B9A-AF61-A71A5A783650}">
          <x14:formula1>
            <xm:f>項目!A4:$WVE$131074</xm:f>
          </x14:formula1>
          <xm:sqref>WVN131079:WVN131102</xm:sqref>
        </x14:dataValidation>
        <x14:dataValidation type="list" allowBlank="1" showInputMessage="1" showErrorMessage="1" xr:uid="{0E926EB8-0645-4CAD-9E0B-83FB5C404B4F}">
          <x14:formula1>
            <xm:f>項目!A4:$IS$196610</xm:f>
          </x14:formula1>
          <xm:sqref>JB196615:JB196638</xm:sqref>
        </x14:dataValidation>
        <x14:dataValidation type="list" allowBlank="1" showInputMessage="1" showErrorMessage="1" xr:uid="{233A4CCF-2216-49A3-BA94-BFE46DA376D9}">
          <x14:formula1>
            <xm:f>項目!A4:$SO$196610</xm:f>
          </x14:formula1>
          <xm:sqref>SX196615:SX196638</xm:sqref>
        </x14:dataValidation>
        <x14:dataValidation type="list" allowBlank="1" showInputMessage="1" showErrorMessage="1" xr:uid="{0E8E5019-62CC-47A8-928F-2B942218B4FC}">
          <x14:formula1>
            <xm:f>項目!A4:$ACK$196610</xm:f>
          </x14:formula1>
          <xm:sqref>ACT196615:ACT196638</xm:sqref>
        </x14:dataValidation>
        <x14:dataValidation type="list" allowBlank="1" showInputMessage="1" showErrorMessage="1" xr:uid="{338F3F22-D4CD-411B-8D5B-8BBE2F197568}">
          <x14:formula1>
            <xm:f>項目!A4:$AMG$196610</xm:f>
          </x14:formula1>
          <xm:sqref>AMP196615:AMP196638</xm:sqref>
        </x14:dataValidation>
        <x14:dataValidation type="list" allowBlank="1" showInputMessage="1" showErrorMessage="1" xr:uid="{05B30407-4E22-490C-83ED-6BBE03CFCF4D}">
          <x14:formula1>
            <xm:f>項目!A4:$AWC$196610</xm:f>
          </x14:formula1>
          <xm:sqref>AWL196615:AWL196638</xm:sqref>
        </x14:dataValidation>
        <x14:dataValidation type="list" allowBlank="1" showInputMessage="1" showErrorMessage="1" xr:uid="{268FB5EE-DCC9-4D28-90F2-A1583C8C5E27}">
          <x14:formula1>
            <xm:f>項目!A4:$BFY$196610</xm:f>
          </x14:formula1>
          <xm:sqref>BGH196615:BGH196638</xm:sqref>
        </x14:dataValidation>
        <x14:dataValidation type="list" allowBlank="1" showInputMessage="1" showErrorMessage="1" xr:uid="{E9FE64C1-8553-4034-B9D0-206751E34C62}">
          <x14:formula1>
            <xm:f>項目!A4:$BPU$196610</xm:f>
          </x14:formula1>
          <xm:sqref>BQD196615:BQD196638</xm:sqref>
        </x14:dataValidation>
        <x14:dataValidation type="list" allowBlank="1" showInputMessage="1" showErrorMessage="1" xr:uid="{76D23648-0699-4A20-B534-EDF65277DB0A}">
          <x14:formula1>
            <xm:f>項目!A4:$BZQ$196610</xm:f>
          </x14:formula1>
          <xm:sqref>BZZ196615:BZZ196638</xm:sqref>
        </x14:dataValidation>
        <x14:dataValidation type="list" allowBlank="1" showInputMessage="1" showErrorMessage="1" xr:uid="{A168E25A-825E-4A88-8569-ED4B5B9C4EB1}">
          <x14:formula1>
            <xm:f>項目!A4:$CJM$196610</xm:f>
          </x14:formula1>
          <xm:sqref>CJV196615:CJV196638</xm:sqref>
        </x14:dataValidation>
        <x14:dataValidation type="list" allowBlank="1" showInputMessage="1" showErrorMessage="1" xr:uid="{AB62752E-DAFD-4041-A4E7-30BAB4D5ACD5}">
          <x14:formula1>
            <xm:f>項目!A4:$CTI$196610</xm:f>
          </x14:formula1>
          <xm:sqref>CTR196615:CTR196638</xm:sqref>
        </x14:dataValidation>
        <x14:dataValidation type="list" allowBlank="1" showInputMessage="1" showErrorMessage="1" xr:uid="{F3503C9F-81DA-40AB-9CC8-EBD1526D5464}">
          <x14:formula1>
            <xm:f>項目!A4:$DDE$196610</xm:f>
          </x14:formula1>
          <xm:sqref>DDN196615:DDN196638</xm:sqref>
        </x14:dataValidation>
        <x14:dataValidation type="list" allowBlank="1" showInputMessage="1" showErrorMessage="1" xr:uid="{97EF7B37-F1C6-49A8-89BB-F2E2899BA770}">
          <x14:formula1>
            <xm:f>項目!A4:$DNA$196610</xm:f>
          </x14:formula1>
          <xm:sqref>DNJ196615:DNJ196638</xm:sqref>
        </x14:dataValidation>
        <x14:dataValidation type="list" allowBlank="1" showInputMessage="1" showErrorMessage="1" xr:uid="{7228B25A-63B8-42D1-A79F-40BA2A0D1207}">
          <x14:formula1>
            <xm:f>項目!A4:$DWW$196610</xm:f>
          </x14:formula1>
          <xm:sqref>DXF196615:DXF196638</xm:sqref>
        </x14:dataValidation>
        <x14:dataValidation type="list" allowBlank="1" showInputMessage="1" showErrorMessage="1" xr:uid="{9404A13C-2B58-4D97-968E-02348F75F011}">
          <x14:formula1>
            <xm:f>項目!A4:$EGS$196610</xm:f>
          </x14:formula1>
          <xm:sqref>EHB196615:EHB196638</xm:sqref>
        </x14:dataValidation>
        <x14:dataValidation type="list" allowBlank="1" showInputMessage="1" showErrorMessage="1" xr:uid="{CE520B67-D004-4DAB-8675-9BE90A8FC478}">
          <x14:formula1>
            <xm:f>項目!A4:$EQO$196610</xm:f>
          </x14:formula1>
          <xm:sqref>EQX196615:EQX196638</xm:sqref>
        </x14:dataValidation>
        <x14:dataValidation type="list" allowBlank="1" showInputMessage="1" showErrorMessage="1" xr:uid="{E02E5BE8-D347-4A78-A69A-C37561580DF1}">
          <x14:formula1>
            <xm:f>項目!A4:$FAK$196610</xm:f>
          </x14:formula1>
          <xm:sqref>FAT196615:FAT196638</xm:sqref>
        </x14:dataValidation>
        <x14:dataValidation type="list" allowBlank="1" showInputMessage="1" showErrorMessage="1" xr:uid="{E090F2B6-26A3-4B2C-AAA6-9818483278D2}">
          <x14:formula1>
            <xm:f>項目!A4:$FKG$196610</xm:f>
          </x14:formula1>
          <xm:sqref>FKP196615:FKP196638</xm:sqref>
        </x14:dataValidation>
        <x14:dataValidation type="list" allowBlank="1" showInputMessage="1" showErrorMessage="1" xr:uid="{02BB99C8-7327-4F4A-BFBD-1137BE9D9A9D}">
          <x14:formula1>
            <xm:f>項目!A4:$FUC$196610</xm:f>
          </x14:formula1>
          <xm:sqref>FUL196615:FUL196638</xm:sqref>
        </x14:dataValidation>
        <x14:dataValidation type="list" allowBlank="1" showInputMessage="1" showErrorMessage="1" xr:uid="{87F39EEC-BB2F-46E8-8FB2-EFEC4FAE6DFE}">
          <x14:formula1>
            <xm:f>項目!A4:$GDY$196610</xm:f>
          </x14:formula1>
          <xm:sqref>GEH196615:GEH196638</xm:sqref>
        </x14:dataValidation>
        <x14:dataValidation type="list" allowBlank="1" showInputMessage="1" showErrorMessage="1" xr:uid="{20E0E2B9-0F82-448D-861C-E77034459C32}">
          <x14:formula1>
            <xm:f>項目!A4:$GNU$196610</xm:f>
          </x14:formula1>
          <xm:sqref>GOD196615:GOD196638</xm:sqref>
        </x14:dataValidation>
        <x14:dataValidation type="list" allowBlank="1" showInputMessage="1" showErrorMessage="1" xr:uid="{F678BEDE-877E-42C4-AE73-AC1CE744F0C3}">
          <x14:formula1>
            <xm:f>項目!A4:$GXQ$196610</xm:f>
          </x14:formula1>
          <xm:sqref>GXZ196615:GXZ196638</xm:sqref>
        </x14:dataValidation>
        <x14:dataValidation type="list" allowBlank="1" showInputMessage="1" showErrorMessage="1" xr:uid="{50D0BBD9-78F7-4C26-AC7D-47210B1634A5}">
          <x14:formula1>
            <xm:f>項目!A4:$HHM$196610</xm:f>
          </x14:formula1>
          <xm:sqref>HHV196615:HHV196638</xm:sqref>
        </x14:dataValidation>
        <x14:dataValidation type="list" allowBlank="1" showInputMessage="1" showErrorMessage="1" xr:uid="{A2455714-7567-49AC-8A7F-B53E422AE2A9}">
          <x14:formula1>
            <xm:f>項目!A4:$HRI$196610</xm:f>
          </x14:formula1>
          <xm:sqref>HRR196615:HRR196638</xm:sqref>
        </x14:dataValidation>
        <x14:dataValidation type="list" allowBlank="1" showInputMessage="1" showErrorMessage="1" xr:uid="{2D0A1A3B-2BF6-43B1-94D9-5CECDB639F58}">
          <x14:formula1>
            <xm:f>項目!A4:$IBE$196610</xm:f>
          </x14:formula1>
          <xm:sqref>IBN196615:IBN196638</xm:sqref>
        </x14:dataValidation>
        <x14:dataValidation type="list" allowBlank="1" showInputMessage="1" showErrorMessage="1" xr:uid="{FCA16421-F53D-49BE-AAA0-E9900AEC7F40}">
          <x14:formula1>
            <xm:f>項目!A4:$ILA$196610</xm:f>
          </x14:formula1>
          <xm:sqref>ILJ196615:ILJ196638</xm:sqref>
        </x14:dataValidation>
        <x14:dataValidation type="list" allowBlank="1" showInputMessage="1" showErrorMessage="1" xr:uid="{35D70F0D-CC3F-4959-84C2-BF19FA2F410D}">
          <x14:formula1>
            <xm:f>項目!A4:$IUW$196610</xm:f>
          </x14:formula1>
          <xm:sqref>IVF196615:IVF196638</xm:sqref>
        </x14:dataValidation>
        <x14:dataValidation type="list" allowBlank="1" showInputMessage="1" showErrorMessage="1" xr:uid="{870A190E-C3FF-4064-9A82-FAD80F5169A9}">
          <x14:formula1>
            <xm:f>項目!A4:$JES$196610</xm:f>
          </x14:formula1>
          <xm:sqref>JFB196615:JFB196638</xm:sqref>
        </x14:dataValidation>
        <x14:dataValidation type="list" allowBlank="1" showInputMessage="1" showErrorMessage="1" xr:uid="{D3040A79-AFBA-4877-9EDE-5DF8304769C2}">
          <x14:formula1>
            <xm:f>項目!A4:$JOO$196610</xm:f>
          </x14:formula1>
          <xm:sqref>JOX196615:JOX196638</xm:sqref>
        </x14:dataValidation>
        <x14:dataValidation type="list" allowBlank="1" showInputMessage="1" showErrorMessage="1" xr:uid="{2D644889-2028-4EA9-928D-BD70F9786FB3}">
          <x14:formula1>
            <xm:f>項目!A4:$JYK$196610</xm:f>
          </x14:formula1>
          <xm:sqref>JYT196615:JYT196638</xm:sqref>
        </x14:dataValidation>
        <x14:dataValidation type="list" allowBlank="1" showInputMessage="1" showErrorMessage="1" xr:uid="{78FC5A8D-FE0C-4F7D-A9C6-C5E95232F80F}">
          <x14:formula1>
            <xm:f>項目!A4:$KIG$196610</xm:f>
          </x14:formula1>
          <xm:sqref>KIP196615:KIP196638</xm:sqref>
        </x14:dataValidation>
        <x14:dataValidation type="list" allowBlank="1" showInputMessage="1" showErrorMessage="1" xr:uid="{E141D804-9FE0-4618-A40A-AAD8DA8E47DB}">
          <x14:formula1>
            <xm:f>項目!A4:$KSC$196610</xm:f>
          </x14:formula1>
          <xm:sqref>KSL196615:KSL196638</xm:sqref>
        </x14:dataValidation>
        <x14:dataValidation type="list" allowBlank="1" showInputMessage="1" showErrorMessage="1" xr:uid="{E5C747B6-E1B8-4764-8083-18EA760B0DCD}">
          <x14:formula1>
            <xm:f>項目!A4:$LBY$196610</xm:f>
          </x14:formula1>
          <xm:sqref>LCH196615:LCH196638</xm:sqref>
        </x14:dataValidation>
        <x14:dataValidation type="list" allowBlank="1" showInputMessage="1" showErrorMessage="1" xr:uid="{07E03344-653E-4A8A-9751-5C60ED306D15}">
          <x14:formula1>
            <xm:f>項目!A4:$LLU$196610</xm:f>
          </x14:formula1>
          <xm:sqref>LMD196615:LMD196638</xm:sqref>
        </x14:dataValidation>
        <x14:dataValidation type="list" allowBlank="1" showInputMessage="1" showErrorMessage="1" xr:uid="{6093E4F7-0365-4664-888B-A971A6A081A0}">
          <x14:formula1>
            <xm:f>項目!A4:$LVQ$196610</xm:f>
          </x14:formula1>
          <xm:sqref>LVZ196615:LVZ196638</xm:sqref>
        </x14:dataValidation>
        <x14:dataValidation type="list" allowBlank="1" showInputMessage="1" showErrorMessage="1" xr:uid="{87B60748-91DF-4774-A605-6643AFDCC8F0}">
          <x14:formula1>
            <xm:f>項目!A4:$MFM$196610</xm:f>
          </x14:formula1>
          <xm:sqref>MFV196615:MFV196638</xm:sqref>
        </x14:dataValidation>
        <x14:dataValidation type="list" allowBlank="1" showInputMessage="1" showErrorMessage="1" xr:uid="{12F87C0A-A041-4662-AD75-DF70260097E5}">
          <x14:formula1>
            <xm:f>項目!A4:$MPI$196610</xm:f>
          </x14:formula1>
          <xm:sqref>MPR196615:MPR196638</xm:sqref>
        </x14:dataValidation>
        <x14:dataValidation type="list" allowBlank="1" showInputMessage="1" showErrorMessage="1" xr:uid="{BF12769F-03EA-436C-AB60-409B391AF5CC}">
          <x14:formula1>
            <xm:f>項目!A4:$MZE$196610</xm:f>
          </x14:formula1>
          <xm:sqref>MZN196615:MZN196638</xm:sqref>
        </x14:dataValidation>
        <x14:dataValidation type="list" allowBlank="1" showInputMessage="1" showErrorMessage="1" xr:uid="{8E439261-73FB-46CE-A9C8-F4E7F0E10EC7}">
          <x14:formula1>
            <xm:f>項目!A4:$NJA$196610</xm:f>
          </x14:formula1>
          <xm:sqref>NJJ196615:NJJ196638</xm:sqref>
        </x14:dataValidation>
        <x14:dataValidation type="list" allowBlank="1" showInputMessage="1" showErrorMessage="1" xr:uid="{CD45CE8A-9A77-435F-BF24-7EE2CD287C6B}">
          <x14:formula1>
            <xm:f>項目!A4:$NSW$196610</xm:f>
          </x14:formula1>
          <xm:sqref>NTF196615:NTF196638</xm:sqref>
        </x14:dataValidation>
        <x14:dataValidation type="list" allowBlank="1" showInputMessage="1" showErrorMessage="1" xr:uid="{F7AAA786-7945-4E49-8454-ED456FA60DB8}">
          <x14:formula1>
            <xm:f>項目!A4:$OCS$196610</xm:f>
          </x14:formula1>
          <xm:sqref>ODB196615:ODB196638</xm:sqref>
        </x14:dataValidation>
        <x14:dataValidation type="list" allowBlank="1" showInputMessage="1" showErrorMessage="1" xr:uid="{E3607934-FA95-4602-AA8D-2F5B4EFAAC0B}">
          <x14:formula1>
            <xm:f>項目!A4:$OMO$196610</xm:f>
          </x14:formula1>
          <xm:sqref>OMX196615:OMX196638</xm:sqref>
        </x14:dataValidation>
        <x14:dataValidation type="list" allowBlank="1" showInputMessage="1" showErrorMessage="1" xr:uid="{90E44360-525D-415E-8C72-A2A5A47CCE23}">
          <x14:formula1>
            <xm:f>項目!A4:$OWK$196610</xm:f>
          </x14:formula1>
          <xm:sqref>OWT196615:OWT196638</xm:sqref>
        </x14:dataValidation>
        <x14:dataValidation type="list" allowBlank="1" showInputMessage="1" showErrorMessage="1" xr:uid="{BEC115BC-437B-4F1B-853B-1D297AA7CE02}">
          <x14:formula1>
            <xm:f>項目!A4:$PGG$196610</xm:f>
          </x14:formula1>
          <xm:sqref>PGP196615:PGP196638</xm:sqref>
        </x14:dataValidation>
        <x14:dataValidation type="list" allowBlank="1" showInputMessage="1" showErrorMessage="1" xr:uid="{CE3B4A22-00D8-449F-AC62-F2A49BBC26EE}">
          <x14:formula1>
            <xm:f>項目!A4:$PQC$196610</xm:f>
          </x14:formula1>
          <xm:sqref>PQL196615:PQL196638</xm:sqref>
        </x14:dataValidation>
        <x14:dataValidation type="list" allowBlank="1" showInputMessage="1" showErrorMessage="1" xr:uid="{AEA2EB48-69F2-451C-A794-0B07B9B8DABE}">
          <x14:formula1>
            <xm:f>項目!A4:$PZY$196610</xm:f>
          </x14:formula1>
          <xm:sqref>QAH196615:QAH196638</xm:sqref>
        </x14:dataValidation>
        <x14:dataValidation type="list" allowBlank="1" showInputMessage="1" showErrorMessage="1" xr:uid="{CDA2E44D-B927-4BA4-B275-83A423AFABEA}">
          <x14:formula1>
            <xm:f>項目!A4:$QJU$196610</xm:f>
          </x14:formula1>
          <xm:sqref>QKD196615:QKD196638</xm:sqref>
        </x14:dataValidation>
        <x14:dataValidation type="list" allowBlank="1" showInputMessage="1" showErrorMessage="1" xr:uid="{166FFB4C-5F48-46E7-9A9E-C575239B3775}">
          <x14:formula1>
            <xm:f>項目!A4:$QTQ$196610</xm:f>
          </x14:formula1>
          <xm:sqref>QTZ196615:QTZ196638</xm:sqref>
        </x14:dataValidation>
        <x14:dataValidation type="list" allowBlank="1" showInputMessage="1" showErrorMessage="1" xr:uid="{4E9F2142-7E7B-4A14-8E23-21953DE8BA4D}">
          <x14:formula1>
            <xm:f>項目!A4:$RDM$196610</xm:f>
          </x14:formula1>
          <xm:sqref>RDV196615:RDV196638</xm:sqref>
        </x14:dataValidation>
        <x14:dataValidation type="list" allowBlank="1" showInputMessage="1" showErrorMessage="1" xr:uid="{7DC1F0CC-DBC5-410B-A8F7-8F550EA10AEC}">
          <x14:formula1>
            <xm:f>項目!A4:$RNI$196610</xm:f>
          </x14:formula1>
          <xm:sqref>RNR196615:RNR196638</xm:sqref>
        </x14:dataValidation>
        <x14:dataValidation type="list" allowBlank="1" showInputMessage="1" showErrorMessage="1" xr:uid="{2007E793-D658-4341-9F4A-F84DB3B6F153}">
          <x14:formula1>
            <xm:f>項目!A4:$RXE$196610</xm:f>
          </x14:formula1>
          <xm:sqref>RXN196615:RXN196638</xm:sqref>
        </x14:dataValidation>
        <x14:dataValidation type="list" allowBlank="1" showInputMessage="1" showErrorMessage="1" xr:uid="{023A60EE-05A7-4AC9-9CF2-0500E75B454B}">
          <x14:formula1>
            <xm:f>項目!A4:$SHA$196610</xm:f>
          </x14:formula1>
          <xm:sqref>SHJ196615:SHJ196638</xm:sqref>
        </x14:dataValidation>
        <x14:dataValidation type="list" allowBlank="1" showInputMessage="1" showErrorMessage="1" xr:uid="{E564AE8B-6C88-4ECF-B145-878B43D7EBC6}">
          <x14:formula1>
            <xm:f>項目!A4:$SQW$196610</xm:f>
          </x14:formula1>
          <xm:sqref>SRF196615:SRF196638</xm:sqref>
        </x14:dataValidation>
        <x14:dataValidation type="list" allowBlank="1" showInputMessage="1" showErrorMessage="1" xr:uid="{AD347546-A426-4D5D-AA63-DB89A69999D8}">
          <x14:formula1>
            <xm:f>項目!A4:$TAS$196610</xm:f>
          </x14:formula1>
          <xm:sqref>TBB196615:TBB196638</xm:sqref>
        </x14:dataValidation>
        <x14:dataValidation type="list" allowBlank="1" showInputMessage="1" showErrorMessage="1" xr:uid="{A4175062-F9F0-4536-B3F3-350D181B3BAE}">
          <x14:formula1>
            <xm:f>項目!A4:$TKO$196610</xm:f>
          </x14:formula1>
          <xm:sqref>TKX196615:TKX196638</xm:sqref>
        </x14:dataValidation>
        <x14:dataValidation type="list" allowBlank="1" showInputMessage="1" showErrorMessage="1" xr:uid="{19FB0F4D-BFAD-4DDB-A340-BB200A397E2B}">
          <x14:formula1>
            <xm:f>項目!A4:$TUK$196610</xm:f>
          </x14:formula1>
          <xm:sqref>TUT196615:TUT196638</xm:sqref>
        </x14:dataValidation>
        <x14:dataValidation type="list" allowBlank="1" showInputMessage="1" showErrorMessage="1" xr:uid="{A89BDA2E-7639-4293-8A9E-569EE94D0C27}">
          <x14:formula1>
            <xm:f>項目!A4:$UEG$196610</xm:f>
          </x14:formula1>
          <xm:sqref>UEP196615:UEP196638</xm:sqref>
        </x14:dataValidation>
        <x14:dataValidation type="list" allowBlank="1" showInputMessage="1" showErrorMessage="1" xr:uid="{0CCB56A2-E2C9-4F5D-B621-DE025320366F}">
          <x14:formula1>
            <xm:f>項目!A4:$UOC$196610</xm:f>
          </x14:formula1>
          <xm:sqref>UOL196615:UOL196638</xm:sqref>
        </x14:dataValidation>
        <x14:dataValidation type="list" allowBlank="1" showInputMessage="1" showErrorMessage="1" xr:uid="{D418A0A1-6648-4489-BC76-A953A83FB082}">
          <x14:formula1>
            <xm:f>項目!A4:$UXY$196610</xm:f>
          </x14:formula1>
          <xm:sqref>UYH196615:UYH196638</xm:sqref>
        </x14:dataValidation>
        <x14:dataValidation type="list" allowBlank="1" showInputMessage="1" showErrorMessage="1" xr:uid="{6A5D1F8E-CA48-411A-B037-6D3DEF78AF47}">
          <x14:formula1>
            <xm:f>項目!A4:$VHU$196610</xm:f>
          </x14:formula1>
          <xm:sqref>VID196615:VID196638</xm:sqref>
        </x14:dataValidation>
        <x14:dataValidation type="list" allowBlank="1" showInputMessage="1" showErrorMessage="1" xr:uid="{73F22F80-83B6-470A-BEC6-852A980CEA73}">
          <x14:formula1>
            <xm:f>項目!A4:$VRQ$196610</xm:f>
          </x14:formula1>
          <xm:sqref>VRZ196615:VRZ196638</xm:sqref>
        </x14:dataValidation>
        <x14:dataValidation type="list" allowBlank="1" showInputMessage="1" showErrorMessage="1" xr:uid="{7FEA409E-2969-4473-97FE-A20339BC5285}">
          <x14:formula1>
            <xm:f>項目!A4:$WBM$196610</xm:f>
          </x14:formula1>
          <xm:sqref>WBV196615:WBV196638</xm:sqref>
        </x14:dataValidation>
        <x14:dataValidation type="list" allowBlank="1" showInputMessage="1" showErrorMessage="1" xr:uid="{1C7AE282-C52D-49C2-A2AD-24F893AA6463}">
          <x14:formula1>
            <xm:f>項目!A4:$WLI$196610</xm:f>
          </x14:formula1>
          <xm:sqref>WLR196615:WLR196638</xm:sqref>
        </x14:dataValidation>
        <x14:dataValidation type="list" allowBlank="1" showInputMessage="1" showErrorMessage="1" xr:uid="{F24D0BA1-D169-4B66-8BDB-9EDF25AF6AA8}">
          <x14:formula1>
            <xm:f>項目!A4:$WVE$196610</xm:f>
          </x14:formula1>
          <xm:sqref>WVN196615:WVN196638</xm:sqref>
        </x14:dataValidation>
        <x14:dataValidation type="list" allowBlank="1" showInputMessage="1" showErrorMessage="1" xr:uid="{661C534A-3EB1-4DA3-B59D-2CD4F4C550E1}">
          <x14:formula1>
            <xm:f>項目!A4:$IS$262146</xm:f>
          </x14:formula1>
          <xm:sqref>JB262151:JB262174</xm:sqref>
        </x14:dataValidation>
        <x14:dataValidation type="list" allowBlank="1" showInputMessage="1" showErrorMessage="1" xr:uid="{9BFC5C90-0137-4E7F-8BCD-60B9F31EB114}">
          <x14:formula1>
            <xm:f>項目!A4:$SO$262146</xm:f>
          </x14:formula1>
          <xm:sqref>SX262151:SX262174</xm:sqref>
        </x14:dataValidation>
        <x14:dataValidation type="list" allowBlank="1" showInputMessage="1" showErrorMessage="1" xr:uid="{214D2D66-43F9-4817-A0C1-00F94864E7D7}">
          <x14:formula1>
            <xm:f>項目!A4:$ACK$262146</xm:f>
          </x14:formula1>
          <xm:sqref>ACT262151:ACT262174</xm:sqref>
        </x14:dataValidation>
        <x14:dataValidation type="list" allowBlank="1" showInputMessage="1" showErrorMessage="1" xr:uid="{C69231E5-7CE4-4402-84F1-0D715CC95449}">
          <x14:formula1>
            <xm:f>項目!A4:$AMG$262146</xm:f>
          </x14:formula1>
          <xm:sqref>AMP262151:AMP262174</xm:sqref>
        </x14:dataValidation>
        <x14:dataValidation type="list" allowBlank="1" showInputMessage="1" showErrorMessage="1" xr:uid="{27327238-A28E-4175-A0E7-FE0A51564A31}">
          <x14:formula1>
            <xm:f>項目!A4:$AWC$262146</xm:f>
          </x14:formula1>
          <xm:sqref>AWL262151:AWL262174</xm:sqref>
        </x14:dataValidation>
        <x14:dataValidation type="list" allowBlank="1" showInputMessage="1" showErrorMessage="1" xr:uid="{432F5E11-666A-4BF7-BF8C-7C63AD10D10D}">
          <x14:formula1>
            <xm:f>項目!A4:$BFY$262146</xm:f>
          </x14:formula1>
          <xm:sqref>BGH262151:BGH262174</xm:sqref>
        </x14:dataValidation>
        <x14:dataValidation type="list" allowBlank="1" showInputMessage="1" showErrorMessage="1" xr:uid="{2F95F6F1-7A24-4E32-9491-5405D1B46884}">
          <x14:formula1>
            <xm:f>項目!A4:$BPU$262146</xm:f>
          </x14:formula1>
          <xm:sqref>BQD262151:BQD262174</xm:sqref>
        </x14:dataValidation>
        <x14:dataValidation type="list" allowBlank="1" showInputMessage="1" showErrorMessage="1" xr:uid="{959D0D8F-ACE3-48D8-B345-971D136080DA}">
          <x14:formula1>
            <xm:f>項目!A4:$BZQ$262146</xm:f>
          </x14:formula1>
          <xm:sqref>BZZ262151:BZZ262174</xm:sqref>
        </x14:dataValidation>
        <x14:dataValidation type="list" allowBlank="1" showInputMessage="1" showErrorMessage="1" xr:uid="{597E3C4C-6B5E-4CF0-A1F0-69B239124272}">
          <x14:formula1>
            <xm:f>項目!A4:$CJM$262146</xm:f>
          </x14:formula1>
          <xm:sqref>CJV262151:CJV262174</xm:sqref>
        </x14:dataValidation>
        <x14:dataValidation type="list" allowBlank="1" showInputMessage="1" showErrorMessage="1" xr:uid="{EFA0E567-A3BC-4C01-95FD-72A5BB5FD28C}">
          <x14:formula1>
            <xm:f>項目!A4:$CTI$262146</xm:f>
          </x14:formula1>
          <xm:sqref>CTR262151:CTR262174</xm:sqref>
        </x14:dataValidation>
        <x14:dataValidation type="list" allowBlank="1" showInputMessage="1" showErrorMessage="1" xr:uid="{583F6D3D-A398-4B7E-AF32-30A64688F609}">
          <x14:formula1>
            <xm:f>項目!A4:$DDE$262146</xm:f>
          </x14:formula1>
          <xm:sqref>DDN262151:DDN262174</xm:sqref>
        </x14:dataValidation>
        <x14:dataValidation type="list" allowBlank="1" showInputMessage="1" showErrorMessage="1" xr:uid="{0DAA8CDE-F357-455A-97C1-7CAD0261059D}">
          <x14:formula1>
            <xm:f>項目!A4:$DNA$262146</xm:f>
          </x14:formula1>
          <xm:sqref>DNJ262151:DNJ262174</xm:sqref>
        </x14:dataValidation>
        <x14:dataValidation type="list" allowBlank="1" showInputMessage="1" showErrorMessage="1" xr:uid="{AFE778B2-C594-4D5F-9F40-2B3CE3BEAB2A}">
          <x14:formula1>
            <xm:f>項目!A4:$DWW$262146</xm:f>
          </x14:formula1>
          <xm:sqref>DXF262151:DXF262174</xm:sqref>
        </x14:dataValidation>
        <x14:dataValidation type="list" allowBlank="1" showInputMessage="1" showErrorMessage="1" xr:uid="{883BE281-B080-4E74-A260-E4DCEAAE4CE8}">
          <x14:formula1>
            <xm:f>項目!A4:$EGS$262146</xm:f>
          </x14:formula1>
          <xm:sqref>EHB262151:EHB262174</xm:sqref>
        </x14:dataValidation>
        <x14:dataValidation type="list" allowBlank="1" showInputMessage="1" showErrorMessage="1" xr:uid="{B9D78ADC-BBCF-4215-A468-4D1A3721D8D5}">
          <x14:formula1>
            <xm:f>項目!A4:$EQO$262146</xm:f>
          </x14:formula1>
          <xm:sqref>EQX262151:EQX262174</xm:sqref>
        </x14:dataValidation>
        <x14:dataValidation type="list" allowBlank="1" showInputMessage="1" showErrorMessage="1" xr:uid="{7F059733-0A82-497C-B9E1-97B9C6A19B85}">
          <x14:formula1>
            <xm:f>項目!A4:$FAK$262146</xm:f>
          </x14:formula1>
          <xm:sqref>FAT262151:FAT262174</xm:sqref>
        </x14:dataValidation>
        <x14:dataValidation type="list" allowBlank="1" showInputMessage="1" showErrorMessage="1" xr:uid="{EE2E7461-04CA-407D-8FBD-A7403E088E52}">
          <x14:formula1>
            <xm:f>項目!A4:$FKG$262146</xm:f>
          </x14:formula1>
          <xm:sqref>FKP262151:FKP262174</xm:sqref>
        </x14:dataValidation>
        <x14:dataValidation type="list" allowBlank="1" showInputMessage="1" showErrorMessage="1" xr:uid="{7DE1B924-9726-4344-8518-FC372B7271DB}">
          <x14:formula1>
            <xm:f>項目!A4:$FUC$262146</xm:f>
          </x14:formula1>
          <xm:sqref>FUL262151:FUL262174</xm:sqref>
        </x14:dataValidation>
        <x14:dataValidation type="list" allowBlank="1" showInputMessage="1" showErrorMessage="1" xr:uid="{25E44E10-6664-44DA-8B6D-112F93C69492}">
          <x14:formula1>
            <xm:f>項目!A4:$GDY$262146</xm:f>
          </x14:formula1>
          <xm:sqref>GEH262151:GEH262174</xm:sqref>
        </x14:dataValidation>
        <x14:dataValidation type="list" allowBlank="1" showInputMessage="1" showErrorMessage="1" xr:uid="{28FDD053-FEAE-4106-BC39-FD22DFA292E6}">
          <x14:formula1>
            <xm:f>項目!A4:$GNU$262146</xm:f>
          </x14:formula1>
          <xm:sqref>GOD262151:GOD262174</xm:sqref>
        </x14:dataValidation>
        <x14:dataValidation type="list" allowBlank="1" showInputMessage="1" showErrorMessage="1" xr:uid="{F27593D3-36C9-4A27-90CD-AE74E2898121}">
          <x14:formula1>
            <xm:f>項目!A4:$GXQ$262146</xm:f>
          </x14:formula1>
          <xm:sqref>GXZ262151:GXZ262174</xm:sqref>
        </x14:dataValidation>
        <x14:dataValidation type="list" allowBlank="1" showInputMessage="1" showErrorMessage="1" xr:uid="{4C559A77-8C8D-4BCA-8E49-651743301BFA}">
          <x14:formula1>
            <xm:f>項目!A4:$HHM$262146</xm:f>
          </x14:formula1>
          <xm:sqref>HHV262151:HHV262174</xm:sqref>
        </x14:dataValidation>
        <x14:dataValidation type="list" allowBlank="1" showInputMessage="1" showErrorMessage="1" xr:uid="{718DA8EE-91B9-4296-9B8F-CF6E41DD8C82}">
          <x14:formula1>
            <xm:f>項目!A4:$HRI$262146</xm:f>
          </x14:formula1>
          <xm:sqref>HRR262151:HRR262174</xm:sqref>
        </x14:dataValidation>
        <x14:dataValidation type="list" allowBlank="1" showInputMessage="1" showErrorMessage="1" xr:uid="{EC2FDED7-9510-4350-83E6-7556C1C9776E}">
          <x14:formula1>
            <xm:f>項目!A4:$IBE$262146</xm:f>
          </x14:formula1>
          <xm:sqref>IBN262151:IBN262174</xm:sqref>
        </x14:dataValidation>
        <x14:dataValidation type="list" allowBlank="1" showInputMessage="1" showErrorMessage="1" xr:uid="{73A7C843-C6E5-46E7-A226-EAD2F7B233D0}">
          <x14:formula1>
            <xm:f>項目!A4:$ILA$262146</xm:f>
          </x14:formula1>
          <xm:sqref>ILJ262151:ILJ262174</xm:sqref>
        </x14:dataValidation>
        <x14:dataValidation type="list" allowBlank="1" showInputMessage="1" showErrorMessage="1" xr:uid="{4F8F5167-C6CA-4E26-BD75-82107ACD7889}">
          <x14:formula1>
            <xm:f>項目!A4:$IUW$262146</xm:f>
          </x14:formula1>
          <xm:sqref>IVF262151:IVF262174</xm:sqref>
        </x14:dataValidation>
        <x14:dataValidation type="list" allowBlank="1" showInputMessage="1" showErrorMessage="1" xr:uid="{3AA7E56A-B09A-4ACF-9D73-A99964C5069E}">
          <x14:formula1>
            <xm:f>項目!A4:$JES$262146</xm:f>
          </x14:formula1>
          <xm:sqref>JFB262151:JFB262174</xm:sqref>
        </x14:dataValidation>
        <x14:dataValidation type="list" allowBlank="1" showInputMessage="1" showErrorMessage="1" xr:uid="{284AFCA0-0AA3-42EB-B4D6-F02CAF073D21}">
          <x14:formula1>
            <xm:f>項目!A4:$JOO$262146</xm:f>
          </x14:formula1>
          <xm:sqref>JOX262151:JOX262174</xm:sqref>
        </x14:dataValidation>
        <x14:dataValidation type="list" allowBlank="1" showInputMessage="1" showErrorMessage="1" xr:uid="{E8EFE4A6-3B3B-4F9B-BF38-4A98F553E205}">
          <x14:formula1>
            <xm:f>項目!A4:$JYK$262146</xm:f>
          </x14:formula1>
          <xm:sqref>JYT262151:JYT262174</xm:sqref>
        </x14:dataValidation>
        <x14:dataValidation type="list" allowBlank="1" showInputMessage="1" showErrorMessage="1" xr:uid="{01F98C2D-623A-449B-9580-282099CC0C20}">
          <x14:formula1>
            <xm:f>項目!A4:$KIG$262146</xm:f>
          </x14:formula1>
          <xm:sqref>KIP262151:KIP262174</xm:sqref>
        </x14:dataValidation>
        <x14:dataValidation type="list" allowBlank="1" showInputMessage="1" showErrorMessage="1" xr:uid="{DC1454D0-9197-41EA-BB0B-DB252280D7FF}">
          <x14:formula1>
            <xm:f>項目!A4:$KSC$262146</xm:f>
          </x14:formula1>
          <xm:sqref>KSL262151:KSL262174</xm:sqref>
        </x14:dataValidation>
        <x14:dataValidation type="list" allowBlank="1" showInputMessage="1" showErrorMessage="1" xr:uid="{B10E6358-87EC-45CC-B478-493251D713EF}">
          <x14:formula1>
            <xm:f>項目!A4:$LBY$262146</xm:f>
          </x14:formula1>
          <xm:sqref>LCH262151:LCH262174</xm:sqref>
        </x14:dataValidation>
        <x14:dataValidation type="list" allowBlank="1" showInputMessage="1" showErrorMessage="1" xr:uid="{D1120F09-BC08-4DB5-B4D0-808EF1DC1837}">
          <x14:formula1>
            <xm:f>項目!A4:$LLU$262146</xm:f>
          </x14:formula1>
          <xm:sqref>LMD262151:LMD262174</xm:sqref>
        </x14:dataValidation>
        <x14:dataValidation type="list" allowBlank="1" showInputMessage="1" showErrorMessage="1" xr:uid="{402C1060-944A-4721-97E2-5E85A1F60E51}">
          <x14:formula1>
            <xm:f>項目!A4:$LVQ$262146</xm:f>
          </x14:formula1>
          <xm:sqref>LVZ262151:LVZ262174</xm:sqref>
        </x14:dataValidation>
        <x14:dataValidation type="list" allowBlank="1" showInputMessage="1" showErrorMessage="1" xr:uid="{FD601D3F-1E33-4F53-B46A-739F08B7C4BB}">
          <x14:formula1>
            <xm:f>項目!A4:$MFM$262146</xm:f>
          </x14:formula1>
          <xm:sqref>MFV262151:MFV262174</xm:sqref>
        </x14:dataValidation>
        <x14:dataValidation type="list" allowBlank="1" showInputMessage="1" showErrorMessage="1" xr:uid="{D366EDD7-3AEB-4D24-8496-467BBA363F0C}">
          <x14:formula1>
            <xm:f>項目!A4:$MPI$262146</xm:f>
          </x14:formula1>
          <xm:sqref>MPR262151:MPR262174</xm:sqref>
        </x14:dataValidation>
        <x14:dataValidation type="list" allowBlank="1" showInputMessage="1" showErrorMessage="1" xr:uid="{06E324A2-F6EC-404D-AD22-9678625FA4A1}">
          <x14:formula1>
            <xm:f>項目!A4:$MZE$262146</xm:f>
          </x14:formula1>
          <xm:sqref>MZN262151:MZN262174</xm:sqref>
        </x14:dataValidation>
        <x14:dataValidation type="list" allowBlank="1" showInputMessage="1" showErrorMessage="1" xr:uid="{A10F8442-427B-437D-9EEC-72DB16C55E02}">
          <x14:formula1>
            <xm:f>項目!A4:$NJA$262146</xm:f>
          </x14:formula1>
          <xm:sqref>NJJ262151:NJJ262174</xm:sqref>
        </x14:dataValidation>
        <x14:dataValidation type="list" allowBlank="1" showInputMessage="1" showErrorMessage="1" xr:uid="{B11579F0-FCC4-4E5F-B980-C10541C34653}">
          <x14:formula1>
            <xm:f>項目!A4:$NSW$262146</xm:f>
          </x14:formula1>
          <xm:sqref>NTF262151:NTF262174</xm:sqref>
        </x14:dataValidation>
        <x14:dataValidation type="list" allowBlank="1" showInputMessage="1" showErrorMessage="1" xr:uid="{FBCFE372-5D84-4264-9C70-5B3D96EAF146}">
          <x14:formula1>
            <xm:f>項目!A4:$OCS$262146</xm:f>
          </x14:formula1>
          <xm:sqref>ODB262151:ODB262174</xm:sqref>
        </x14:dataValidation>
        <x14:dataValidation type="list" allowBlank="1" showInputMessage="1" showErrorMessage="1" xr:uid="{ADBF7262-B23F-4B43-BE2B-E8BA8CC1C1F8}">
          <x14:formula1>
            <xm:f>項目!A4:$OMO$262146</xm:f>
          </x14:formula1>
          <xm:sqref>OMX262151:OMX262174</xm:sqref>
        </x14:dataValidation>
        <x14:dataValidation type="list" allowBlank="1" showInputMessage="1" showErrorMessage="1" xr:uid="{7483C895-9B3B-421E-BA9B-02AB7149C03C}">
          <x14:formula1>
            <xm:f>項目!A4:$OWK$262146</xm:f>
          </x14:formula1>
          <xm:sqref>OWT262151:OWT262174</xm:sqref>
        </x14:dataValidation>
        <x14:dataValidation type="list" allowBlank="1" showInputMessage="1" showErrorMessage="1" xr:uid="{FEEBE092-F18D-45EA-986F-92A0992B779E}">
          <x14:formula1>
            <xm:f>項目!A4:$PGG$262146</xm:f>
          </x14:formula1>
          <xm:sqref>PGP262151:PGP262174</xm:sqref>
        </x14:dataValidation>
        <x14:dataValidation type="list" allowBlank="1" showInputMessage="1" showErrorMessage="1" xr:uid="{927222F7-917B-4B9F-B6C5-9A6E11D8EFAE}">
          <x14:formula1>
            <xm:f>項目!A4:$PQC$262146</xm:f>
          </x14:formula1>
          <xm:sqref>PQL262151:PQL262174</xm:sqref>
        </x14:dataValidation>
        <x14:dataValidation type="list" allowBlank="1" showInputMessage="1" showErrorMessage="1" xr:uid="{4B299727-E8F3-4D45-BD0D-11DBC8E7DD41}">
          <x14:formula1>
            <xm:f>項目!A4:$PZY$262146</xm:f>
          </x14:formula1>
          <xm:sqref>QAH262151:QAH262174</xm:sqref>
        </x14:dataValidation>
        <x14:dataValidation type="list" allowBlank="1" showInputMessage="1" showErrorMessage="1" xr:uid="{9B1A655A-BE1E-4416-B46D-FEC654C1AD07}">
          <x14:formula1>
            <xm:f>項目!A4:$QJU$262146</xm:f>
          </x14:formula1>
          <xm:sqref>QKD262151:QKD262174</xm:sqref>
        </x14:dataValidation>
        <x14:dataValidation type="list" allowBlank="1" showInputMessage="1" showErrorMessage="1" xr:uid="{BEB15DDD-10C3-4BF9-9D8B-686E48B8AAD3}">
          <x14:formula1>
            <xm:f>項目!A4:$QTQ$262146</xm:f>
          </x14:formula1>
          <xm:sqref>QTZ262151:QTZ262174</xm:sqref>
        </x14:dataValidation>
        <x14:dataValidation type="list" allowBlank="1" showInputMessage="1" showErrorMessage="1" xr:uid="{BF167C70-7365-4301-A161-CCEC11E0BE54}">
          <x14:formula1>
            <xm:f>項目!A4:$RDM$262146</xm:f>
          </x14:formula1>
          <xm:sqref>RDV262151:RDV262174</xm:sqref>
        </x14:dataValidation>
        <x14:dataValidation type="list" allowBlank="1" showInputMessage="1" showErrorMessage="1" xr:uid="{D32E9908-3AF7-43F5-9A46-F2E1167711FE}">
          <x14:formula1>
            <xm:f>項目!A4:$RNI$262146</xm:f>
          </x14:formula1>
          <xm:sqref>RNR262151:RNR262174</xm:sqref>
        </x14:dataValidation>
        <x14:dataValidation type="list" allowBlank="1" showInputMessage="1" showErrorMessage="1" xr:uid="{421CE289-C577-4CCB-9253-CFEF37B92B6D}">
          <x14:formula1>
            <xm:f>項目!A4:$RXE$262146</xm:f>
          </x14:formula1>
          <xm:sqref>RXN262151:RXN262174</xm:sqref>
        </x14:dataValidation>
        <x14:dataValidation type="list" allowBlank="1" showInputMessage="1" showErrorMessage="1" xr:uid="{F2970C44-4F43-4953-A418-F4D7D665CD52}">
          <x14:formula1>
            <xm:f>項目!A4:$SHA$262146</xm:f>
          </x14:formula1>
          <xm:sqref>SHJ262151:SHJ262174</xm:sqref>
        </x14:dataValidation>
        <x14:dataValidation type="list" allowBlank="1" showInputMessage="1" showErrorMessage="1" xr:uid="{8C968A02-6BC5-40D3-92ED-9129F7E9BF22}">
          <x14:formula1>
            <xm:f>項目!A4:$SQW$262146</xm:f>
          </x14:formula1>
          <xm:sqref>SRF262151:SRF262174</xm:sqref>
        </x14:dataValidation>
        <x14:dataValidation type="list" allowBlank="1" showInputMessage="1" showErrorMessage="1" xr:uid="{1709DFD7-072A-45D3-A36B-7489B2496BCB}">
          <x14:formula1>
            <xm:f>項目!A4:$TAS$262146</xm:f>
          </x14:formula1>
          <xm:sqref>TBB262151:TBB262174</xm:sqref>
        </x14:dataValidation>
        <x14:dataValidation type="list" allowBlank="1" showInputMessage="1" showErrorMessage="1" xr:uid="{F7228DDB-1EDE-4624-8428-6C290565E292}">
          <x14:formula1>
            <xm:f>項目!A4:$TKO$262146</xm:f>
          </x14:formula1>
          <xm:sqref>TKX262151:TKX262174</xm:sqref>
        </x14:dataValidation>
        <x14:dataValidation type="list" allowBlank="1" showInputMessage="1" showErrorMessage="1" xr:uid="{7D392C26-A84F-47B1-A8E2-20DC5A4B9A32}">
          <x14:formula1>
            <xm:f>項目!A4:$TUK$262146</xm:f>
          </x14:formula1>
          <xm:sqref>TUT262151:TUT262174</xm:sqref>
        </x14:dataValidation>
        <x14:dataValidation type="list" allowBlank="1" showInputMessage="1" showErrorMessage="1" xr:uid="{DC1F9C28-D576-41F3-AA54-0C297B4346BB}">
          <x14:formula1>
            <xm:f>項目!A4:$UEG$262146</xm:f>
          </x14:formula1>
          <xm:sqref>UEP262151:UEP262174</xm:sqref>
        </x14:dataValidation>
        <x14:dataValidation type="list" allowBlank="1" showInputMessage="1" showErrorMessage="1" xr:uid="{A18B5B83-CC17-4953-84AC-CD05C91367D9}">
          <x14:formula1>
            <xm:f>項目!A4:$UOC$262146</xm:f>
          </x14:formula1>
          <xm:sqref>UOL262151:UOL262174</xm:sqref>
        </x14:dataValidation>
        <x14:dataValidation type="list" allowBlank="1" showInputMessage="1" showErrorMessage="1" xr:uid="{A3DB7D51-0756-4B79-AF0E-FDF1E625C848}">
          <x14:formula1>
            <xm:f>項目!A4:$UXY$262146</xm:f>
          </x14:formula1>
          <xm:sqref>UYH262151:UYH262174</xm:sqref>
        </x14:dataValidation>
        <x14:dataValidation type="list" allowBlank="1" showInputMessage="1" showErrorMessage="1" xr:uid="{150D795C-4359-4C12-AA16-9E580864BD7C}">
          <x14:formula1>
            <xm:f>項目!A4:$VHU$262146</xm:f>
          </x14:formula1>
          <xm:sqref>VID262151:VID262174</xm:sqref>
        </x14:dataValidation>
        <x14:dataValidation type="list" allowBlank="1" showInputMessage="1" showErrorMessage="1" xr:uid="{1B17FD96-0DF8-42F6-8B33-2DD51B4D94AB}">
          <x14:formula1>
            <xm:f>項目!A4:$VRQ$262146</xm:f>
          </x14:formula1>
          <xm:sqref>VRZ262151:VRZ262174</xm:sqref>
        </x14:dataValidation>
        <x14:dataValidation type="list" allowBlank="1" showInputMessage="1" showErrorMessage="1" xr:uid="{0BB0E449-31DD-40C9-B099-4C8379697641}">
          <x14:formula1>
            <xm:f>項目!A4:$WBM$262146</xm:f>
          </x14:formula1>
          <xm:sqref>WBV262151:WBV262174</xm:sqref>
        </x14:dataValidation>
        <x14:dataValidation type="list" allowBlank="1" showInputMessage="1" showErrorMessage="1" xr:uid="{F3AEFC85-2478-4DCB-B220-9B3B988C10BA}">
          <x14:formula1>
            <xm:f>項目!A4:$WLI$262146</xm:f>
          </x14:formula1>
          <xm:sqref>WLR262151:WLR262174</xm:sqref>
        </x14:dataValidation>
        <x14:dataValidation type="list" allowBlank="1" showInputMessage="1" showErrorMessage="1" xr:uid="{2F530CD0-58D0-4672-86D7-73AC2A6FFAFE}">
          <x14:formula1>
            <xm:f>項目!A4:$WVE$262146</xm:f>
          </x14:formula1>
          <xm:sqref>WVN262151:WVN262174</xm:sqref>
        </x14:dataValidation>
        <x14:dataValidation type="list" allowBlank="1" showInputMessage="1" showErrorMessage="1" xr:uid="{7CDBDB3B-3B01-4887-BFAB-F6E0D3F079ED}">
          <x14:formula1>
            <xm:f>項目!A4:$IS$327682</xm:f>
          </x14:formula1>
          <xm:sqref>JB327687:JB327710</xm:sqref>
        </x14:dataValidation>
        <x14:dataValidation type="list" allowBlank="1" showInputMessage="1" showErrorMessage="1" xr:uid="{27F7601A-611A-470F-88E6-2768CBB7B734}">
          <x14:formula1>
            <xm:f>項目!A4:$SO$327682</xm:f>
          </x14:formula1>
          <xm:sqref>SX327687:SX327710</xm:sqref>
        </x14:dataValidation>
        <x14:dataValidation type="list" allowBlank="1" showInputMessage="1" showErrorMessage="1" xr:uid="{6C1E2D6C-DF7B-4ED0-9DCA-05B80C0A8B8B}">
          <x14:formula1>
            <xm:f>項目!A4:$ACK$327682</xm:f>
          </x14:formula1>
          <xm:sqref>ACT327687:ACT327710</xm:sqref>
        </x14:dataValidation>
        <x14:dataValidation type="list" allowBlank="1" showInputMessage="1" showErrorMessage="1" xr:uid="{84B4FA37-A7C6-49DA-8E77-78BF984E8C43}">
          <x14:formula1>
            <xm:f>項目!A4:$AMG$327682</xm:f>
          </x14:formula1>
          <xm:sqref>AMP327687:AMP327710</xm:sqref>
        </x14:dataValidation>
        <x14:dataValidation type="list" allowBlank="1" showInputMessage="1" showErrorMessage="1" xr:uid="{876E1F02-A95F-4493-9F53-EB42E523898C}">
          <x14:formula1>
            <xm:f>項目!A4:$AWC$327682</xm:f>
          </x14:formula1>
          <xm:sqref>AWL327687:AWL327710</xm:sqref>
        </x14:dataValidation>
        <x14:dataValidation type="list" allowBlank="1" showInputMessage="1" showErrorMessage="1" xr:uid="{F8B8B771-A44B-4540-A6CA-DAD7E5F50529}">
          <x14:formula1>
            <xm:f>項目!A4:$BFY$327682</xm:f>
          </x14:formula1>
          <xm:sqref>BGH327687:BGH327710</xm:sqref>
        </x14:dataValidation>
        <x14:dataValidation type="list" allowBlank="1" showInputMessage="1" showErrorMessage="1" xr:uid="{6A547852-1336-4650-94B0-82AB3553D62B}">
          <x14:formula1>
            <xm:f>項目!A4:$BPU$327682</xm:f>
          </x14:formula1>
          <xm:sqref>BQD327687:BQD327710</xm:sqref>
        </x14:dataValidation>
        <x14:dataValidation type="list" allowBlank="1" showInputMessage="1" showErrorMessage="1" xr:uid="{5702C8A7-7C94-401A-94DC-E2E9968592C9}">
          <x14:formula1>
            <xm:f>項目!A4:$BZQ$327682</xm:f>
          </x14:formula1>
          <xm:sqref>BZZ327687:BZZ327710</xm:sqref>
        </x14:dataValidation>
        <x14:dataValidation type="list" allowBlank="1" showInputMessage="1" showErrorMessage="1" xr:uid="{8AE0612C-7034-4CEC-BA72-15FBE13A9678}">
          <x14:formula1>
            <xm:f>項目!A4:$CJM$327682</xm:f>
          </x14:formula1>
          <xm:sqref>CJV327687:CJV327710</xm:sqref>
        </x14:dataValidation>
        <x14:dataValidation type="list" allowBlank="1" showInputMessage="1" showErrorMessage="1" xr:uid="{BDBE054D-BE19-4942-B647-151D1F0D1878}">
          <x14:formula1>
            <xm:f>項目!A4:$CTI$327682</xm:f>
          </x14:formula1>
          <xm:sqref>CTR327687:CTR327710</xm:sqref>
        </x14:dataValidation>
        <x14:dataValidation type="list" allowBlank="1" showInputMessage="1" showErrorMessage="1" xr:uid="{6A16E551-0B61-4BFC-B615-96922441746A}">
          <x14:formula1>
            <xm:f>項目!A4:$DDE$327682</xm:f>
          </x14:formula1>
          <xm:sqref>DDN327687:DDN327710</xm:sqref>
        </x14:dataValidation>
        <x14:dataValidation type="list" allowBlank="1" showInputMessage="1" showErrorMessage="1" xr:uid="{A9CAF4BB-FA34-4737-876A-8D76C6D33E23}">
          <x14:formula1>
            <xm:f>項目!A4:$DNA$327682</xm:f>
          </x14:formula1>
          <xm:sqref>DNJ327687:DNJ327710</xm:sqref>
        </x14:dataValidation>
        <x14:dataValidation type="list" allowBlank="1" showInputMessage="1" showErrorMessage="1" xr:uid="{4D486EEB-2466-4B8A-9082-C8FC781AFA1A}">
          <x14:formula1>
            <xm:f>項目!A4:$DWW$327682</xm:f>
          </x14:formula1>
          <xm:sqref>DXF327687:DXF327710</xm:sqref>
        </x14:dataValidation>
        <x14:dataValidation type="list" allowBlank="1" showInputMessage="1" showErrorMessage="1" xr:uid="{95181125-A75D-4AB8-AA17-AFB1AD1D8735}">
          <x14:formula1>
            <xm:f>項目!A4:$EGS$327682</xm:f>
          </x14:formula1>
          <xm:sqref>EHB327687:EHB327710</xm:sqref>
        </x14:dataValidation>
        <x14:dataValidation type="list" allowBlank="1" showInputMessage="1" showErrorMessage="1" xr:uid="{24E9EB16-9C93-47DE-BB9B-4933AF6F74CC}">
          <x14:formula1>
            <xm:f>項目!A4:$EQO$327682</xm:f>
          </x14:formula1>
          <xm:sqref>EQX327687:EQX327710</xm:sqref>
        </x14:dataValidation>
        <x14:dataValidation type="list" allowBlank="1" showInputMessage="1" showErrorMessage="1" xr:uid="{0E4F2CF7-38EB-4B80-8BF6-863D06986C05}">
          <x14:formula1>
            <xm:f>項目!A4:$FAK$327682</xm:f>
          </x14:formula1>
          <xm:sqref>FAT327687:FAT327710</xm:sqref>
        </x14:dataValidation>
        <x14:dataValidation type="list" allowBlank="1" showInputMessage="1" showErrorMessage="1" xr:uid="{3C8BC6C7-3F2E-47B8-9ED0-21C4972A3A53}">
          <x14:formula1>
            <xm:f>項目!A4:$FKG$327682</xm:f>
          </x14:formula1>
          <xm:sqref>FKP327687:FKP327710</xm:sqref>
        </x14:dataValidation>
        <x14:dataValidation type="list" allowBlank="1" showInputMessage="1" showErrorMessage="1" xr:uid="{BDE2352C-EF20-4710-9AF4-17B6C40ADA7E}">
          <x14:formula1>
            <xm:f>項目!A4:$FUC$327682</xm:f>
          </x14:formula1>
          <xm:sqref>FUL327687:FUL327710</xm:sqref>
        </x14:dataValidation>
        <x14:dataValidation type="list" allowBlank="1" showInputMessage="1" showErrorMessage="1" xr:uid="{C9392A03-4154-4573-BBC7-756B4D0E9577}">
          <x14:formula1>
            <xm:f>項目!A4:$GDY$327682</xm:f>
          </x14:formula1>
          <xm:sqref>GEH327687:GEH327710</xm:sqref>
        </x14:dataValidation>
        <x14:dataValidation type="list" allowBlank="1" showInputMessage="1" showErrorMessage="1" xr:uid="{66215371-9611-4374-AADA-CF9B1CDCBC48}">
          <x14:formula1>
            <xm:f>項目!A4:$GNU$327682</xm:f>
          </x14:formula1>
          <xm:sqref>GOD327687:GOD327710</xm:sqref>
        </x14:dataValidation>
        <x14:dataValidation type="list" allowBlank="1" showInputMessage="1" showErrorMessage="1" xr:uid="{CDF97C96-8181-461E-96B4-DAE08261F787}">
          <x14:formula1>
            <xm:f>項目!A4:$GXQ$327682</xm:f>
          </x14:formula1>
          <xm:sqref>GXZ327687:GXZ327710</xm:sqref>
        </x14:dataValidation>
        <x14:dataValidation type="list" allowBlank="1" showInputMessage="1" showErrorMessage="1" xr:uid="{CBC1A871-F322-4B81-9A09-654E9C002428}">
          <x14:formula1>
            <xm:f>項目!A4:$HHM$327682</xm:f>
          </x14:formula1>
          <xm:sqref>HHV327687:HHV327710</xm:sqref>
        </x14:dataValidation>
        <x14:dataValidation type="list" allowBlank="1" showInputMessage="1" showErrorMessage="1" xr:uid="{456AB6A2-EE23-470A-8891-E4B7F77882CF}">
          <x14:formula1>
            <xm:f>項目!A4:$HRI$327682</xm:f>
          </x14:formula1>
          <xm:sqref>HRR327687:HRR327710</xm:sqref>
        </x14:dataValidation>
        <x14:dataValidation type="list" allowBlank="1" showInputMessage="1" showErrorMessage="1" xr:uid="{4B4FE44F-B205-4B64-B49C-24E286E379ED}">
          <x14:formula1>
            <xm:f>項目!A4:$IBE$327682</xm:f>
          </x14:formula1>
          <xm:sqref>IBN327687:IBN327710</xm:sqref>
        </x14:dataValidation>
        <x14:dataValidation type="list" allowBlank="1" showInputMessage="1" showErrorMessage="1" xr:uid="{2B22B5F5-4464-4E88-8265-B1194BE22B76}">
          <x14:formula1>
            <xm:f>項目!A4:$ILA$327682</xm:f>
          </x14:formula1>
          <xm:sqref>ILJ327687:ILJ327710</xm:sqref>
        </x14:dataValidation>
        <x14:dataValidation type="list" allowBlank="1" showInputMessage="1" showErrorMessage="1" xr:uid="{76AE17F8-E8EB-40A0-A90A-A32F1B44E1FE}">
          <x14:formula1>
            <xm:f>項目!A4:$IUW$327682</xm:f>
          </x14:formula1>
          <xm:sqref>IVF327687:IVF327710</xm:sqref>
        </x14:dataValidation>
        <x14:dataValidation type="list" allowBlank="1" showInputMessage="1" showErrorMessage="1" xr:uid="{1E1C77FB-3532-4A05-8ADE-161A87336E95}">
          <x14:formula1>
            <xm:f>項目!A4:$JES$327682</xm:f>
          </x14:formula1>
          <xm:sqref>JFB327687:JFB327710</xm:sqref>
        </x14:dataValidation>
        <x14:dataValidation type="list" allowBlank="1" showInputMessage="1" showErrorMessage="1" xr:uid="{08373278-346C-4A3C-A7B4-4B9429B393CC}">
          <x14:formula1>
            <xm:f>項目!A4:$JOO$327682</xm:f>
          </x14:formula1>
          <xm:sqref>JOX327687:JOX327710</xm:sqref>
        </x14:dataValidation>
        <x14:dataValidation type="list" allowBlank="1" showInputMessage="1" showErrorMessage="1" xr:uid="{611CA1C2-DAC3-45B8-886F-1877589714A6}">
          <x14:formula1>
            <xm:f>項目!A4:$JYK$327682</xm:f>
          </x14:formula1>
          <xm:sqref>JYT327687:JYT327710</xm:sqref>
        </x14:dataValidation>
        <x14:dataValidation type="list" allowBlank="1" showInputMessage="1" showErrorMessage="1" xr:uid="{CB9FE9C9-8022-4835-BAE8-F4F9F0E035EB}">
          <x14:formula1>
            <xm:f>項目!A4:$KIG$327682</xm:f>
          </x14:formula1>
          <xm:sqref>KIP327687:KIP327710</xm:sqref>
        </x14:dataValidation>
        <x14:dataValidation type="list" allowBlank="1" showInputMessage="1" showErrorMessage="1" xr:uid="{169A7AFF-5A11-4AAF-B3C7-03B184CD7F47}">
          <x14:formula1>
            <xm:f>項目!A4:$KSC$327682</xm:f>
          </x14:formula1>
          <xm:sqref>KSL327687:KSL327710</xm:sqref>
        </x14:dataValidation>
        <x14:dataValidation type="list" allowBlank="1" showInputMessage="1" showErrorMessage="1" xr:uid="{345BB3EF-ED81-413E-B428-138CB55DC2A6}">
          <x14:formula1>
            <xm:f>項目!A4:$LBY$327682</xm:f>
          </x14:formula1>
          <xm:sqref>LCH327687:LCH327710</xm:sqref>
        </x14:dataValidation>
        <x14:dataValidation type="list" allowBlank="1" showInputMessage="1" showErrorMessage="1" xr:uid="{317C46EC-7D33-4EA5-A6F4-4AC10906F87E}">
          <x14:formula1>
            <xm:f>項目!A4:$LLU$327682</xm:f>
          </x14:formula1>
          <xm:sqref>LMD327687:LMD327710</xm:sqref>
        </x14:dataValidation>
        <x14:dataValidation type="list" allowBlank="1" showInputMessage="1" showErrorMessage="1" xr:uid="{255775D7-B492-4EC0-895E-2A46B5D467FD}">
          <x14:formula1>
            <xm:f>項目!A4:$LVQ$327682</xm:f>
          </x14:formula1>
          <xm:sqref>LVZ327687:LVZ327710</xm:sqref>
        </x14:dataValidation>
        <x14:dataValidation type="list" allowBlank="1" showInputMessage="1" showErrorMessage="1" xr:uid="{A627C8D0-6048-431C-B9FD-8E315A40A283}">
          <x14:formula1>
            <xm:f>項目!A4:$MFM$327682</xm:f>
          </x14:formula1>
          <xm:sqref>MFV327687:MFV327710</xm:sqref>
        </x14:dataValidation>
        <x14:dataValidation type="list" allowBlank="1" showInputMessage="1" showErrorMessage="1" xr:uid="{B501FED0-D4E4-4B04-BC55-1F625D423BB3}">
          <x14:formula1>
            <xm:f>項目!A4:$MPI$327682</xm:f>
          </x14:formula1>
          <xm:sqref>MPR327687:MPR327710</xm:sqref>
        </x14:dataValidation>
        <x14:dataValidation type="list" allowBlank="1" showInputMessage="1" showErrorMessage="1" xr:uid="{D0B5699D-61FD-452F-824B-2F13CBF2E48F}">
          <x14:formula1>
            <xm:f>項目!A4:$MZE$327682</xm:f>
          </x14:formula1>
          <xm:sqref>MZN327687:MZN327710</xm:sqref>
        </x14:dataValidation>
        <x14:dataValidation type="list" allowBlank="1" showInputMessage="1" showErrorMessage="1" xr:uid="{820FF946-D057-44FE-A36A-E059B8C98717}">
          <x14:formula1>
            <xm:f>項目!A4:$NJA$327682</xm:f>
          </x14:formula1>
          <xm:sqref>NJJ327687:NJJ327710</xm:sqref>
        </x14:dataValidation>
        <x14:dataValidation type="list" allowBlank="1" showInputMessage="1" showErrorMessage="1" xr:uid="{F1FE2C55-A2E8-422E-916B-A062C556E0BF}">
          <x14:formula1>
            <xm:f>項目!A4:$NSW$327682</xm:f>
          </x14:formula1>
          <xm:sqref>NTF327687:NTF327710</xm:sqref>
        </x14:dataValidation>
        <x14:dataValidation type="list" allowBlank="1" showInputMessage="1" showErrorMessage="1" xr:uid="{09FC58AE-BCC4-495C-9A62-441EB649E939}">
          <x14:formula1>
            <xm:f>項目!A4:$OCS$327682</xm:f>
          </x14:formula1>
          <xm:sqref>ODB327687:ODB327710</xm:sqref>
        </x14:dataValidation>
        <x14:dataValidation type="list" allowBlank="1" showInputMessage="1" showErrorMessage="1" xr:uid="{E9241DD5-CDCB-495D-984F-6920719E4DC0}">
          <x14:formula1>
            <xm:f>項目!A4:$OMO$327682</xm:f>
          </x14:formula1>
          <xm:sqref>OMX327687:OMX327710</xm:sqref>
        </x14:dataValidation>
        <x14:dataValidation type="list" allowBlank="1" showInputMessage="1" showErrorMessage="1" xr:uid="{D5972622-22D0-45C4-A47F-FD247EF28225}">
          <x14:formula1>
            <xm:f>項目!A4:$OWK$327682</xm:f>
          </x14:formula1>
          <xm:sqref>OWT327687:OWT327710</xm:sqref>
        </x14:dataValidation>
        <x14:dataValidation type="list" allowBlank="1" showInputMessage="1" showErrorMessage="1" xr:uid="{E580CC75-4028-4424-A865-B6177E7AF618}">
          <x14:formula1>
            <xm:f>項目!A4:$PGG$327682</xm:f>
          </x14:formula1>
          <xm:sqref>PGP327687:PGP327710</xm:sqref>
        </x14:dataValidation>
        <x14:dataValidation type="list" allowBlank="1" showInputMessage="1" showErrorMessage="1" xr:uid="{12DCBCD2-2E89-4698-A54B-40AAB76AEF1E}">
          <x14:formula1>
            <xm:f>項目!A4:$PQC$327682</xm:f>
          </x14:formula1>
          <xm:sqref>PQL327687:PQL327710</xm:sqref>
        </x14:dataValidation>
        <x14:dataValidation type="list" allowBlank="1" showInputMessage="1" showErrorMessage="1" xr:uid="{457FC017-4495-462E-937B-6C00EE3C4DEF}">
          <x14:formula1>
            <xm:f>項目!A4:$PZY$327682</xm:f>
          </x14:formula1>
          <xm:sqref>QAH327687:QAH327710</xm:sqref>
        </x14:dataValidation>
        <x14:dataValidation type="list" allowBlank="1" showInputMessage="1" showErrorMessage="1" xr:uid="{F651AAAE-1C3B-4E09-9E49-07E18CDCFD8D}">
          <x14:formula1>
            <xm:f>項目!A4:$QJU$327682</xm:f>
          </x14:formula1>
          <xm:sqref>QKD327687:QKD327710</xm:sqref>
        </x14:dataValidation>
        <x14:dataValidation type="list" allowBlank="1" showInputMessage="1" showErrorMessage="1" xr:uid="{41BC58A6-8F88-4276-B402-9282FC8AC03F}">
          <x14:formula1>
            <xm:f>項目!A4:$QTQ$327682</xm:f>
          </x14:formula1>
          <xm:sqref>QTZ327687:QTZ327710</xm:sqref>
        </x14:dataValidation>
        <x14:dataValidation type="list" allowBlank="1" showInputMessage="1" showErrorMessage="1" xr:uid="{748D98E8-266D-4219-A1A5-9F9F101648C0}">
          <x14:formula1>
            <xm:f>項目!A4:$RDM$327682</xm:f>
          </x14:formula1>
          <xm:sqref>RDV327687:RDV327710</xm:sqref>
        </x14:dataValidation>
        <x14:dataValidation type="list" allowBlank="1" showInputMessage="1" showErrorMessage="1" xr:uid="{DAD4F1CC-0EDA-4A07-AEF0-37FC013B08BB}">
          <x14:formula1>
            <xm:f>項目!A4:$RNI$327682</xm:f>
          </x14:formula1>
          <xm:sqref>RNR327687:RNR327710</xm:sqref>
        </x14:dataValidation>
        <x14:dataValidation type="list" allowBlank="1" showInputMessage="1" showErrorMessage="1" xr:uid="{B1384EF3-C6D1-42EA-B28C-38F0050C925A}">
          <x14:formula1>
            <xm:f>項目!A4:$RXE$327682</xm:f>
          </x14:formula1>
          <xm:sqref>RXN327687:RXN327710</xm:sqref>
        </x14:dataValidation>
        <x14:dataValidation type="list" allowBlank="1" showInputMessage="1" showErrorMessage="1" xr:uid="{EB77B477-A77C-40C9-AE5C-BA52F56D6F3E}">
          <x14:formula1>
            <xm:f>項目!A4:$SHA$327682</xm:f>
          </x14:formula1>
          <xm:sqref>SHJ327687:SHJ327710</xm:sqref>
        </x14:dataValidation>
        <x14:dataValidation type="list" allowBlank="1" showInputMessage="1" showErrorMessage="1" xr:uid="{2E73AFDE-38EB-4BA4-8DE5-A33D7E9A3DC3}">
          <x14:formula1>
            <xm:f>項目!A4:$SQW$327682</xm:f>
          </x14:formula1>
          <xm:sqref>SRF327687:SRF327710</xm:sqref>
        </x14:dataValidation>
        <x14:dataValidation type="list" allowBlank="1" showInputMessage="1" showErrorMessage="1" xr:uid="{8AD81C0D-0845-4EE1-9D78-7AFE97D0EB81}">
          <x14:formula1>
            <xm:f>項目!A4:$TAS$327682</xm:f>
          </x14:formula1>
          <xm:sqref>TBB327687:TBB327710</xm:sqref>
        </x14:dataValidation>
        <x14:dataValidation type="list" allowBlank="1" showInputMessage="1" showErrorMessage="1" xr:uid="{3337EFD6-D754-44EE-B557-9284871F2C67}">
          <x14:formula1>
            <xm:f>項目!A4:$TKO$327682</xm:f>
          </x14:formula1>
          <xm:sqref>TKX327687:TKX327710</xm:sqref>
        </x14:dataValidation>
        <x14:dataValidation type="list" allowBlank="1" showInputMessage="1" showErrorMessage="1" xr:uid="{60A0A062-B5C1-44C0-B25B-C4D5986CE14C}">
          <x14:formula1>
            <xm:f>項目!A4:$TUK$327682</xm:f>
          </x14:formula1>
          <xm:sqref>TUT327687:TUT327710</xm:sqref>
        </x14:dataValidation>
        <x14:dataValidation type="list" allowBlank="1" showInputMessage="1" showErrorMessage="1" xr:uid="{378BE47E-870A-4ABA-9CF1-344996EA7BF8}">
          <x14:formula1>
            <xm:f>項目!A4:$UEG$327682</xm:f>
          </x14:formula1>
          <xm:sqref>UEP327687:UEP327710</xm:sqref>
        </x14:dataValidation>
        <x14:dataValidation type="list" allowBlank="1" showInputMessage="1" showErrorMessage="1" xr:uid="{EE79698A-65A3-4203-BF54-19C2D97FE73F}">
          <x14:formula1>
            <xm:f>項目!A4:$UOC$327682</xm:f>
          </x14:formula1>
          <xm:sqref>UOL327687:UOL327710</xm:sqref>
        </x14:dataValidation>
        <x14:dataValidation type="list" allowBlank="1" showInputMessage="1" showErrorMessage="1" xr:uid="{E8BA5C07-EC12-455B-B84F-D9144582DC41}">
          <x14:formula1>
            <xm:f>項目!A4:$UXY$327682</xm:f>
          </x14:formula1>
          <xm:sqref>UYH327687:UYH327710</xm:sqref>
        </x14:dataValidation>
        <x14:dataValidation type="list" allowBlank="1" showInputMessage="1" showErrorMessage="1" xr:uid="{3AE0CE7A-57BB-45CD-93E0-45C514EB3C40}">
          <x14:formula1>
            <xm:f>項目!A4:$VHU$327682</xm:f>
          </x14:formula1>
          <xm:sqref>VID327687:VID327710</xm:sqref>
        </x14:dataValidation>
        <x14:dataValidation type="list" allowBlank="1" showInputMessage="1" showErrorMessage="1" xr:uid="{2887D00B-10EE-4A89-B6C3-7DBD754AEC36}">
          <x14:formula1>
            <xm:f>項目!A4:$VRQ$327682</xm:f>
          </x14:formula1>
          <xm:sqref>VRZ327687:VRZ327710</xm:sqref>
        </x14:dataValidation>
        <x14:dataValidation type="list" allowBlank="1" showInputMessage="1" showErrorMessage="1" xr:uid="{4530DF84-665C-4B44-A465-435038700B5B}">
          <x14:formula1>
            <xm:f>項目!A4:$WBM$327682</xm:f>
          </x14:formula1>
          <xm:sqref>WBV327687:WBV327710</xm:sqref>
        </x14:dataValidation>
        <x14:dataValidation type="list" allowBlank="1" showInputMessage="1" showErrorMessage="1" xr:uid="{4190EF9A-9850-4C5E-AB00-14726F38E9F1}">
          <x14:formula1>
            <xm:f>項目!A4:$WLI$327682</xm:f>
          </x14:formula1>
          <xm:sqref>WLR327687:WLR327710</xm:sqref>
        </x14:dataValidation>
        <x14:dataValidation type="list" allowBlank="1" showInputMessage="1" showErrorMessage="1" xr:uid="{B186A608-68C7-41D9-AFAB-F64B07D4C657}">
          <x14:formula1>
            <xm:f>項目!A4:$WVE$327682</xm:f>
          </x14:formula1>
          <xm:sqref>WVN327687:WVN327710</xm:sqref>
        </x14:dataValidation>
        <x14:dataValidation type="list" allowBlank="1" showInputMessage="1" showErrorMessage="1" xr:uid="{77E7E3F9-8ECD-471B-8F71-3DD33812021B}">
          <x14:formula1>
            <xm:f>項目!A4:$IS$393218</xm:f>
          </x14:formula1>
          <xm:sqref>JB393223:JB393246</xm:sqref>
        </x14:dataValidation>
        <x14:dataValidation type="list" allowBlank="1" showInputMessage="1" showErrorMessage="1" xr:uid="{36F1B73F-EB20-4FA4-B0B4-1EC502532B3C}">
          <x14:formula1>
            <xm:f>項目!A4:$SO$393218</xm:f>
          </x14:formula1>
          <xm:sqref>SX393223:SX393246</xm:sqref>
        </x14:dataValidation>
        <x14:dataValidation type="list" allowBlank="1" showInputMessage="1" showErrorMessage="1" xr:uid="{3D4C7049-7FE8-4D49-B189-0A81A8651588}">
          <x14:formula1>
            <xm:f>項目!A4:$ACK$393218</xm:f>
          </x14:formula1>
          <xm:sqref>ACT393223:ACT393246</xm:sqref>
        </x14:dataValidation>
        <x14:dataValidation type="list" allowBlank="1" showInputMessage="1" showErrorMessage="1" xr:uid="{40ABA8A4-AE56-4C35-9F2A-4F45A87E53EC}">
          <x14:formula1>
            <xm:f>項目!A4:$AMG$393218</xm:f>
          </x14:formula1>
          <xm:sqref>AMP393223:AMP393246</xm:sqref>
        </x14:dataValidation>
        <x14:dataValidation type="list" allowBlank="1" showInputMessage="1" showErrorMessage="1" xr:uid="{961B272B-FAC7-44C8-A273-A816200804CD}">
          <x14:formula1>
            <xm:f>項目!A4:$AWC$393218</xm:f>
          </x14:formula1>
          <xm:sqref>AWL393223:AWL393246</xm:sqref>
        </x14:dataValidation>
        <x14:dataValidation type="list" allowBlank="1" showInputMessage="1" showErrorMessage="1" xr:uid="{FB57786C-88DA-4EDE-BDC5-4A207E554A24}">
          <x14:formula1>
            <xm:f>項目!A4:$BFY$393218</xm:f>
          </x14:formula1>
          <xm:sqref>BGH393223:BGH393246</xm:sqref>
        </x14:dataValidation>
        <x14:dataValidation type="list" allowBlank="1" showInputMessage="1" showErrorMessage="1" xr:uid="{E8672014-A074-4CC5-A385-D72C65E3F6A6}">
          <x14:formula1>
            <xm:f>項目!A4:$BPU$393218</xm:f>
          </x14:formula1>
          <xm:sqref>BQD393223:BQD393246</xm:sqref>
        </x14:dataValidation>
        <x14:dataValidation type="list" allowBlank="1" showInputMessage="1" showErrorMessage="1" xr:uid="{31A63408-959E-4864-A927-F44BD1DB5562}">
          <x14:formula1>
            <xm:f>項目!A4:$BZQ$393218</xm:f>
          </x14:formula1>
          <xm:sqref>BZZ393223:BZZ393246</xm:sqref>
        </x14:dataValidation>
        <x14:dataValidation type="list" allowBlank="1" showInputMessage="1" showErrorMessage="1" xr:uid="{DE8DCF68-3C73-4F00-9B59-38DDC23C266D}">
          <x14:formula1>
            <xm:f>項目!A4:$CJM$393218</xm:f>
          </x14:formula1>
          <xm:sqref>CJV393223:CJV393246</xm:sqref>
        </x14:dataValidation>
        <x14:dataValidation type="list" allowBlank="1" showInputMessage="1" showErrorMessage="1" xr:uid="{40C20B0E-3518-4902-A1E6-B2594CCEA94B}">
          <x14:formula1>
            <xm:f>項目!A4:$CTI$393218</xm:f>
          </x14:formula1>
          <xm:sqref>CTR393223:CTR393246</xm:sqref>
        </x14:dataValidation>
        <x14:dataValidation type="list" allowBlank="1" showInputMessage="1" showErrorMessage="1" xr:uid="{628E2CEF-AA9A-48E6-B5C0-22761D3B231B}">
          <x14:formula1>
            <xm:f>項目!A4:$DDE$393218</xm:f>
          </x14:formula1>
          <xm:sqref>DDN393223:DDN393246</xm:sqref>
        </x14:dataValidation>
        <x14:dataValidation type="list" allowBlank="1" showInputMessage="1" showErrorMessage="1" xr:uid="{6E7C05C5-526D-47E7-B363-24C244517657}">
          <x14:formula1>
            <xm:f>項目!A4:$DNA$393218</xm:f>
          </x14:formula1>
          <xm:sqref>DNJ393223:DNJ393246</xm:sqref>
        </x14:dataValidation>
        <x14:dataValidation type="list" allowBlank="1" showInputMessage="1" showErrorMessage="1" xr:uid="{39827BDC-694C-4283-AD1B-5E72574B734D}">
          <x14:formula1>
            <xm:f>項目!A4:$DWW$393218</xm:f>
          </x14:formula1>
          <xm:sqref>DXF393223:DXF393246</xm:sqref>
        </x14:dataValidation>
        <x14:dataValidation type="list" allowBlank="1" showInputMessage="1" showErrorMessage="1" xr:uid="{54D751CF-99BA-4B48-A64F-1D2A1188E89D}">
          <x14:formula1>
            <xm:f>項目!A4:$EGS$393218</xm:f>
          </x14:formula1>
          <xm:sqref>EHB393223:EHB393246</xm:sqref>
        </x14:dataValidation>
        <x14:dataValidation type="list" allowBlank="1" showInputMessage="1" showErrorMessage="1" xr:uid="{BB57AC29-EE60-4B00-A064-7D2CC6E781AF}">
          <x14:formula1>
            <xm:f>項目!A4:$EQO$393218</xm:f>
          </x14:formula1>
          <xm:sqref>EQX393223:EQX393246</xm:sqref>
        </x14:dataValidation>
        <x14:dataValidation type="list" allowBlank="1" showInputMessage="1" showErrorMessage="1" xr:uid="{8CE390A4-477A-4618-93A0-46719722491E}">
          <x14:formula1>
            <xm:f>項目!A4:$FAK$393218</xm:f>
          </x14:formula1>
          <xm:sqref>FAT393223:FAT393246</xm:sqref>
        </x14:dataValidation>
        <x14:dataValidation type="list" allowBlank="1" showInputMessage="1" showErrorMessage="1" xr:uid="{C80A1AB0-F1BF-4B50-90CC-2C2EF7D8B4BB}">
          <x14:formula1>
            <xm:f>項目!A4:$FKG$393218</xm:f>
          </x14:formula1>
          <xm:sqref>FKP393223:FKP393246</xm:sqref>
        </x14:dataValidation>
        <x14:dataValidation type="list" allowBlank="1" showInputMessage="1" showErrorMessage="1" xr:uid="{0CE8E221-759D-4ED8-9E34-217E2618610C}">
          <x14:formula1>
            <xm:f>項目!A4:$FUC$393218</xm:f>
          </x14:formula1>
          <xm:sqref>FUL393223:FUL393246</xm:sqref>
        </x14:dataValidation>
        <x14:dataValidation type="list" allowBlank="1" showInputMessage="1" showErrorMessage="1" xr:uid="{DC7AAB27-0730-4F04-A937-7C1625E31C98}">
          <x14:formula1>
            <xm:f>項目!A4:$GDY$393218</xm:f>
          </x14:formula1>
          <xm:sqref>GEH393223:GEH393246</xm:sqref>
        </x14:dataValidation>
        <x14:dataValidation type="list" allowBlank="1" showInputMessage="1" showErrorMessage="1" xr:uid="{65CA73D5-8B55-4AEE-A6CA-80E8002CCD61}">
          <x14:formula1>
            <xm:f>項目!A4:$GNU$393218</xm:f>
          </x14:formula1>
          <xm:sqref>GOD393223:GOD393246</xm:sqref>
        </x14:dataValidation>
        <x14:dataValidation type="list" allowBlank="1" showInputMessage="1" showErrorMessage="1" xr:uid="{421E06EC-8F15-4C52-B632-6D0735A0D89E}">
          <x14:formula1>
            <xm:f>項目!A4:$GXQ$393218</xm:f>
          </x14:formula1>
          <xm:sqref>GXZ393223:GXZ393246</xm:sqref>
        </x14:dataValidation>
        <x14:dataValidation type="list" allowBlank="1" showInputMessage="1" showErrorMessage="1" xr:uid="{B2731F06-52F1-466F-B068-E01D721C2551}">
          <x14:formula1>
            <xm:f>項目!A4:$HHM$393218</xm:f>
          </x14:formula1>
          <xm:sqref>HHV393223:HHV393246</xm:sqref>
        </x14:dataValidation>
        <x14:dataValidation type="list" allowBlank="1" showInputMessage="1" showErrorMessage="1" xr:uid="{D0FB2C85-528E-4EC9-BFAB-9766752CE915}">
          <x14:formula1>
            <xm:f>項目!A4:$HRI$393218</xm:f>
          </x14:formula1>
          <xm:sqref>HRR393223:HRR393246</xm:sqref>
        </x14:dataValidation>
        <x14:dataValidation type="list" allowBlank="1" showInputMessage="1" showErrorMessage="1" xr:uid="{A9A6F964-8907-46C4-BEF7-96C30B472486}">
          <x14:formula1>
            <xm:f>項目!A4:$IBE$393218</xm:f>
          </x14:formula1>
          <xm:sqref>IBN393223:IBN393246</xm:sqref>
        </x14:dataValidation>
        <x14:dataValidation type="list" allowBlank="1" showInputMessage="1" showErrorMessage="1" xr:uid="{D8ECC052-99ED-43C2-A21D-B8DB6B2CBB5C}">
          <x14:formula1>
            <xm:f>項目!A4:$ILA$393218</xm:f>
          </x14:formula1>
          <xm:sqref>ILJ393223:ILJ393246</xm:sqref>
        </x14:dataValidation>
        <x14:dataValidation type="list" allowBlank="1" showInputMessage="1" showErrorMessage="1" xr:uid="{7772BE75-FE94-4EE3-AB44-7397DB0F4344}">
          <x14:formula1>
            <xm:f>項目!A4:$IUW$393218</xm:f>
          </x14:formula1>
          <xm:sqref>IVF393223:IVF393246</xm:sqref>
        </x14:dataValidation>
        <x14:dataValidation type="list" allowBlank="1" showInputMessage="1" showErrorMessage="1" xr:uid="{87905CA4-374A-4595-AC04-A959D8DA6474}">
          <x14:formula1>
            <xm:f>項目!A4:$JES$393218</xm:f>
          </x14:formula1>
          <xm:sqref>JFB393223:JFB393246</xm:sqref>
        </x14:dataValidation>
        <x14:dataValidation type="list" allowBlank="1" showInputMessage="1" showErrorMessage="1" xr:uid="{5144FE18-D5B6-4B1C-AEBD-BFC36C2BDCA8}">
          <x14:formula1>
            <xm:f>項目!A4:$JOO$393218</xm:f>
          </x14:formula1>
          <xm:sqref>JOX393223:JOX393246</xm:sqref>
        </x14:dataValidation>
        <x14:dataValidation type="list" allowBlank="1" showInputMessage="1" showErrorMessage="1" xr:uid="{678C57F2-7C08-4B19-8922-F57BF2DABFD3}">
          <x14:formula1>
            <xm:f>項目!A4:$JYK$393218</xm:f>
          </x14:formula1>
          <xm:sqref>JYT393223:JYT393246</xm:sqref>
        </x14:dataValidation>
        <x14:dataValidation type="list" allowBlank="1" showInputMessage="1" showErrorMessage="1" xr:uid="{1B5319D3-F43F-441B-87B0-9C9DB7059EAB}">
          <x14:formula1>
            <xm:f>項目!A4:$KIG$393218</xm:f>
          </x14:formula1>
          <xm:sqref>KIP393223:KIP393246</xm:sqref>
        </x14:dataValidation>
        <x14:dataValidation type="list" allowBlank="1" showInputMessage="1" showErrorMessage="1" xr:uid="{85A64766-4C30-46DE-883A-EAEF6DE13843}">
          <x14:formula1>
            <xm:f>項目!A4:$KSC$393218</xm:f>
          </x14:formula1>
          <xm:sqref>KSL393223:KSL393246</xm:sqref>
        </x14:dataValidation>
        <x14:dataValidation type="list" allowBlank="1" showInputMessage="1" showErrorMessage="1" xr:uid="{F6FD9C21-4074-48F5-96C2-2A0C517B1F91}">
          <x14:formula1>
            <xm:f>項目!A4:$LBY$393218</xm:f>
          </x14:formula1>
          <xm:sqref>LCH393223:LCH393246</xm:sqref>
        </x14:dataValidation>
        <x14:dataValidation type="list" allowBlank="1" showInputMessage="1" showErrorMessage="1" xr:uid="{EE91B408-BAAD-4C5B-A5F7-254DE8C70F33}">
          <x14:formula1>
            <xm:f>項目!A4:$LLU$393218</xm:f>
          </x14:formula1>
          <xm:sqref>LMD393223:LMD393246</xm:sqref>
        </x14:dataValidation>
        <x14:dataValidation type="list" allowBlank="1" showInputMessage="1" showErrorMessage="1" xr:uid="{E7604EDD-E554-4A6D-982B-7861D6B95145}">
          <x14:formula1>
            <xm:f>項目!A4:$LVQ$393218</xm:f>
          </x14:formula1>
          <xm:sqref>LVZ393223:LVZ393246</xm:sqref>
        </x14:dataValidation>
        <x14:dataValidation type="list" allowBlank="1" showInputMessage="1" showErrorMessage="1" xr:uid="{A1B2AC56-61BC-4732-A06F-C557F931EDD2}">
          <x14:formula1>
            <xm:f>項目!A4:$MFM$393218</xm:f>
          </x14:formula1>
          <xm:sqref>MFV393223:MFV393246</xm:sqref>
        </x14:dataValidation>
        <x14:dataValidation type="list" allowBlank="1" showInputMessage="1" showErrorMessage="1" xr:uid="{66296197-6AF2-4616-BDE6-F26E2E38B5CF}">
          <x14:formula1>
            <xm:f>項目!A4:$MPI$393218</xm:f>
          </x14:formula1>
          <xm:sqref>MPR393223:MPR393246</xm:sqref>
        </x14:dataValidation>
        <x14:dataValidation type="list" allowBlank="1" showInputMessage="1" showErrorMessage="1" xr:uid="{244C3AC9-DB19-4CF0-ABA7-761508B89B7E}">
          <x14:formula1>
            <xm:f>項目!A4:$MZE$393218</xm:f>
          </x14:formula1>
          <xm:sqref>MZN393223:MZN393246</xm:sqref>
        </x14:dataValidation>
        <x14:dataValidation type="list" allowBlank="1" showInputMessage="1" showErrorMessage="1" xr:uid="{64A42A90-6445-420B-B3FA-EE2BDA2F20B8}">
          <x14:formula1>
            <xm:f>項目!A4:$NJA$393218</xm:f>
          </x14:formula1>
          <xm:sqref>NJJ393223:NJJ393246</xm:sqref>
        </x14:dataValidation>
        <x14:dataValidation type="list" allowBlank="1" showInputMessage="1" showErrorMessage="1" xr:uid="{FA0AE3E2-2F2A-477E-AAAB-5006967CE9F4}">
          <x14:formula1>
            <xm:f>項目!A4:$NSW$393218</xm:f>
          </x14:formula1>
          <xm:sqref>NTF393223:NTF393246</xm:sqref>
        </x14:dataValidation>
        <x14:dataValidation type="list" allowBlank="1" showInputMessage="1" showErrorMessage="1" xr:uid="{B461B114-4004-4120-A4FA-63E99547F1F0}">
          <x14:formula1>
            <xm:f>項目!A4:$OCS$393218</xm:f>
          </x14:formula1>
          <xm:sqref>ODB393223:ODB393246</xm:sqref>
        </x14:dataValidation>
        <x14:dataValidation type="list" allowBlank="1" showInputMessage="1" showErrorMessage="1" xr:uid="{AB32A453-E2A5-47BC-9950-CF3281102619}">
          <x14:formula1>
            <xm:f>項目!A4:$OMO$393218</xm:f>
          </x14:formula1>
          <xm:sqref>OMX393223:OMX393246</xm:sqref>
        </x14:dataValidation>
        <x14:dataValidation type="list" allowBlank="1" showInputMessage="1" showErrorMessage="1" xr:uid="{6CFC63C6-FF18-4199-A646-26BDA85412EA}">
          <x14:formula1>
            <xm:f>項目!A4:$OWK$393218</xm:f>
          </x14:formula1>
          <xm:sqref>OWT393223:OWT393246</xm:sqref>
        </x14:dataValidation>
        <x14:dataValidation type="list" allowBlank="1" showInputMessage="1" showErrorMessage="1" xr:uid="{2C61E9BB-1FA1-4BB3-98C3-250BCCF32A32}">
          <x14:formula1>
            <xm:f>項目!A4:$PGG$393218</xm:f>
          </x14:formula1>
          <xm:sqref>PGP393223:PGP393246</xm:sqref>
        </x14:dataValidation>
        <x14:dataValidation type="list" allowBlank="1" showInputMessage="1" showErrorMessage="1" xr:uid="{019111C2-218E-4F1B-9760-A283BBC82060}">
          <x14:formula1>
            <xm:f>項目!A4:$PQC$393218</xm:f>
          </x14:formula1>
          <xm:sqref>PQL393223:PQL393246</xm:sqref>
        </x14:dataValidation>
        <x14:dataValidation type="list" allowBlank="1" showInputMessage="1" showErrorMessage="1" xr:uid="{5898F338-A0D4-4806-81E3-56D81CF49EFF}">
          <x14:formula1>
            <xm:f>項目!A4:$PZY$393218</xm:f>
          </x14:formula1>
          <xm:sqref>QAH393223:QAH393246</xm:sqref>
        </x14:dataValidation>
        <x14:dataValidation type="list" allowBlank="1" showInputMessage="1" showErrorMessage="1" xr:uid="{1569CC37-E0B4-4DAF-9E4E-04DF3F44351B}">
          <x14:formula1>
            <xm:f>項目!A4:$QJU$393218</xm:f>
          </x14:formula1>
          <xm:sqref>QKD393223:QKD393246</xm:sqref>
        </x14:dataValidation>
        <x14:dataValidation type="list" allowBlank="1" showInputMessage="1" showErrorMessage="1" xr:uid="{D5E9CFD2-3E65-441B-94AB-2876F08076EA}">
          <x14:formula1>
            <xm:f>項目!A4:$QTQ$393218</xm:f>
          </x14:formula1>
          <xm:sqref>QTZ393223:QTZ393246</xm:sqref>
        </x14:dataValidation>
        <x14:dataValidation type="list" allowBlank="1" showInputMessage="1" showErrorMessage="1" xr:uid="{0A4D7F60-4A8C-4880-A2B4-D87505CEC6FB}">
          <x14:formula1>
            <xm:f>項目!A4:$RDM$393218</xm:f>
          </x14:formula1>
          <xm:sqref>RDV393223:RDV393246</xm:sqref>
        </x14:dataValidation>
        <x14:dataValidation type="list" allowBlank="1" showInputMessage="1" showErrorMessage="1" xr:uid="{C1ED530C-0E9A-4B21-AB54-92FE2122567A}">
          <x14:formula1>
            <xm:f>項目!A4:$RNI$393218</xm:f>
          </x14:formula1>
          <xm:sqref>RNR393223:RNR393246</xm:sqref>
        </x14:dataValidation>
        <x14:dataValidation type="list" allowBlank="1" showInputMessage="1" showErrorMessage="1" xr:uid="{3CDDCDFF-DAD4-46AE-B11C-7469BA5B132E}">
          <x14:formula1>
            <xm:f>項目!A4:$RXE$393218</xm:f>
          </x14:formula1>
          <xm:sqref>RXN393223:RXN393246</xm:sqref>
        </x14:dataValidation>
        <x14:dataValidation type="list" allowBlank="1" showInputMessage="1" showErrorMessage="1" xr:uid="{19C487EC-7853-4429-884B-26BD73349688}">
          <x14:formula1>
            <xm:f>項目!A4:$SHA$393218</xm:f>
          </x14:formula1>
          <xm:sqref>SHJ393223:SHJ393246</xm:sqref>
        </x14:dataValidation>
        <x14:dataValidation type="list" allowBlank="1" showInputMessage="1" showErrorMessage="1" xr:uid="{01F8D27E-F622-46BB-9366-60EDB8E105B6}">
          <x14:formula1>
            <xm:f>項目!A4:$SQW$393218</xm:f>
          </x14:formula1>
          <xm:sqref>SRF393223:SRF393246</xm:sqref>
        </x14:dataValidation>
        <x14:dataValidation type="list" allowBlank="1" showInputMessage="1" showErrorMessage="1" xr:uid="{19B8DA92-011E-4806-BFE2-BD602E7E97C9}">
          <x14:formula1>
            <xm:f>項目!A4:$TAS$393218</xm:f>
          </x14:formula1>
          <xm:sqref>TBB393223:TBB393246</xm:sqref>
        </x14:dataValidation>
        <x14:dataValidation type="list" allowBlank="1" showInputMessage="1" showErrorMessage="1" xr:uid="{794FFEE0-C240-4F96-9CFE-50AFD3EAD01D}">
          <x14:formula1>
            <xm:f>項目!A4:$TKO$393218</xm:f>
          </x14:formula1>
          <xm:sqref>TKX393223:TKX393246</xm:sqref>
        </x14:dataValidation>
        <x14:dataValidation type="list" allowBlank="1" showInputMessage="1" showErrorMessage="1" xr:uid="{EDD6BCBA-01B2-4884-8505-5D094E4AA685}">
          <x14:formula1>
            <xm:f>項目!A4:$TUK$393218</xm:f>
          </x14:formula1>
          <xm:sqref>TUT393223:TUT393246</xm:sqref>
        </x14:dataValidation>
        <x14:dataValidation type="list" allowBlank="1" showInputMessage="1" showErrorMessage="1" xr:uid="{2EF9A372-3111-4183-AEBF-CD3B1A6F4C30}">
          <x14:formula1>
            <xm:f>項目!A4:$UEG$393218</xm:f>
          </x14:formula1>
          <xm:sqref>UEP393223:UEP393246</xm:sqref>
        </x14:dataValidation>
        <x14:dataValidation type="list" allowBlank="1" showInputMessage="1" showErrorMessage="1" xr:uid="{31321609-DC98-45F8-80C9-5902E3A240D8}">
          <x14:formula1>
            <xm:f>項目!A4:$UOC$393218</xm:f>
          </x14:formula1>
          <xm:sqref>UOL393223:UOL393246</xm:sqref>
        </x14:dataValidation>
        <x14:dataValidation type="list" allowBlank="1" showInputMessage="1" showErrorMessage="1" xr:uid="{9894B881-9CAF-4EA8-AFC8-62236A1F6204}">
          <x14:formula1>
            <xm:f>項目!A4:$UXY$393218</xm:f>
          </x14:formula1>
          <xm:sqref>UYH393223:UYH393246</xm:sqref>
        </x14:dataValidation>
        <x14:dataValidation type="list" allowBlank="1" showInputMessage="1" showErrorMessage="1" xr:uid="{3122C680-DAF5-4A8B-AFC0-F21120BF13C1}">
          <x14:formula1>
            <xm:f>項目!A4:$VHU$393218</xm:f>
          </x14:formula1>
          <xm:sqref>VID393223:VID393246</xm:sqref>
        </x14:dataValidation>
        <x14:dataValidation type="list" allowBlank="1" showInputMessage="1" showErrorMessage="1" xr:uid="{07434580-C2B4-41E5-928A-832E7F780F00}">
          <x14:formula1>
            <xm:f>項目!A4:$VRQ$393218</xm:f>
          </x14:formula1>
          <xm:sqref>VRZ393223:VRZ393246</xm:sqref>
        </x14:dataValidation>
        <x14:dataValidation type="list" allowBlank="1" showInputMessage="1" showErrorMessage="1" xr:uid="{390A59A8-1BA8-4A44-AEB3-6CE58FB9EAF0}">
          <x14:formula1>
            <xm:f>項目!A4:$WBM$393218</xm:f>
          </x14:formula1>
          <xm:sqref>WBV393223:WBV393246</xm:sqref>
        </x14:dataValidation>
        <x14:dataValidation type="list" allowBlank="1" showInputMessage="1" showErrorMessage="1" xr:uid="{574FFDBE-D998-4AC6-A899-96C3BB434DD6}">
          <x14:formula1>
            <xm:f>項目!A4:$WLI$393218</xm:f>
          </x14:formula1>
          <xm:sqref>WLR393223:WLR393246</xm:sqref>
        </x14:dataValidation>
        <x14:dataValidation type="list" allowBlank="1" showInputMessage="1" showErrorMessage="1" xr:uid="{FF80C343-2445-4208-936B-2DFE7CBABE5F}">
          <x14:formula1>
            <xm:f>項目!A4:$WVE$393218</xm:f>
          </x14:formula1>
          <xm:sqref>WVN393223:WVN393246</xm:sqref>
        </x14:dataValidation>
        <x14:dataValidation type="list" allowBlank="1" showInputMessage="1" showErrorMessage="1" xr:uid="{FF95894D-B005-469B-8EFD-B4960F5C928E}">
          <x14:formula1>
            <xm:f>項目!A4:$IS$458754</xm:f>
          </x14:formula1>
          <xm:sqref>JB458759:JB458782</xm:sqref>
        </x14:dataValidation>
        <x14:dataValidation type="list" allowBlank="1" showInputMessage="1" showErrorMessage="1" xr:uid="{4E1D6EE6-7002-4D08-AE18-FE706D0E50DB}">
          <x14:formula1>
            <xm:f>項目!A4:$SO$458754</xm:f>
          </x14:formula1>
          <xm:sqref>SX458759:SX458782</xm:sqref>
        </x14:dataValidation>
        <x14:dataValidation type="list" allowBlank="1" showInputMessage="1" showErrorMessage="1" xr:uid="{4B06B3DF-70C8-4844-8502-8430E055B473}">
          <x14:formula1>
            <xm:f>項目!A4:$ACK$458754</xm:f>
          </x14:formula1>
          <xm:sqref>ACT458759:ACT458782</xm:sqref>
        </x14:dataValidation>
        <x14:dataValidation type="list" allowBlank="1" showInputMessage="1" showErrorMessage="1" xr:uid="{4C1E8488-F658-4548-8495-684ECB276760}">
          <x14:formula1>
            <xm:f>項目!A4:$AMG$458754</xm:f>
          </x14:formula1>
          <xm:sqref>AMP458759:AMP458782</xm:sqref>
        </x14:dataValidation>
        <x14:dataValidation type="list" allowBlank="1" showInputMessage="1" showErrorMessage="1" xr:uid="{5B69459F-ACDC-4539-83CE-03F79759E31D}">
          <x14:formula1>
            <xm:f>項目!A4:$AWC$458754</xm:f>
          </x14:formula1>
          <xm:sqref>AWL458759:AWL458782</xm:sqref>
        </x14:dataValidation>
        <x14:dataValidation type="list" allowBlank="1" showInputMessage="1" showErrorMessage="1" xr:uid="{ECF81C24-0B6B-4EEF-98B7-2239B3790DFB}">
          <x14:formula1>
            <xm:f>項目!A4:$BFY$458754</xm:f>
          </x14:formula1>
          <xm:sqref>BGH458759:BGH458782</xm:sqref>
        </x14:dataValidation>
        <x14:dataValidation type="list" allowBlank="1" showInputMessage="1" showErrorMessage="1" xr:uid="{16D62D7B-A2C2-4BCC-8323-9701EAF0C17A}">
          <x14:formula1>
            <xm:f>項目!A4:$BPU$458754</xm:f>
          </x14:formula1>
          <xm:sqref>BQD458759:BQD458782</xm:sqref>
        </x14:dataValidation>
        <x14:dataValidation type="list" allowBlank="1" showInputMessage="1" showErrorMessage="1" xr:uid="{EC0AF88D-674F-43D2-A11B-944584AE86F8}">
          <x14:formula1>
            <xm:f>項目!A4:$BZQ$458754</xm:f>
          </x14:formula1>
          <xm:sqref>BZZ458759:BZZ458782</xm:sqref>
        </x14:dataValidation>
        <x14:dataValidation type="list" allowBlank="1" showInputMessage="1" showErrorMessage="1" xr:uid="{0459D79D-1C6F-42E4-95FA-8E6470CA3288}">
          <x14:formula1>
            <xm:f>項目!A4:$CJM$458754</xm:f>
          </x14:formula1>
          <xm:sqref>CJV458759:CJV458782</xm:sqref>
        </x14:dataValidation>
        <x14:dataValidation type="list" allowBlank="1" showInputMessage="1" showErrorMessage="1" xr:uid="{E5981903-B26D-4738-9B7C-312425F91AC0}">
          <x14:formula1>
            <xm:f>項目!A4:$CTI$458754</xm:f>
          </x14:formula1>
          <xm:sqref>CTR458759:CTR458782</xm:sqref>
        </x14:dataValidation>
        <x14:dataValidation type="list" allowBlank="1" showInputMessage="1" showErrorMessage="1" xr:uid="{B9C28DE2-8E24-45C0-AE12-1E84D820C646}">
          <x14:formula1>
            <xm:f>項目!A4:$DDE$458754</xm:f>
          </x14:formula1>
          <xm:sqref>DDN458759:DDN458782</xm:sqref>
        </x14:dataValidation>
        <x14:dataValidation type="list" allowBlank="1" showInputMessage="1" showErrorMessage="1" xr:uid="{F1004170-AF48-4496-B0C7-53F5885237D9}">
          <x14:formula1>
            <xm:f>項目!A4:$DNA$458754</xm:f>
          </x14:formula1>
          <xm:sqref>DNJ458759:DNJ458782</xm:sqref>
        </x14:dataValidation>
        <x14:dataValidation type="list" allowBlank="1" showInputMessage="1" showErrorMessage="1" xr:uid="{D3976905-E3C8-4DA3-BED6-CC2A0E1429FA}">
          <x14:formula1>
            <xm:f>項目!A4:$DWW$458754</xm:f>
          </x14:formula1>
          <xm:sqref>DXF458759:DXF458782</xm:sqref>
        </x14:dataValidation>
        <x14:dataValidation type="list" allowBlank="1" showInputMessage="1" showErrorMessage="1" xr:uid="{56C6E24B-D72D-4CD2-B74F-B48DC3C3B40B}">
          <x14:formula1>
            <xm:f>項目!A4:$EGS$458754</xm:f>
          </x14:formula1>
          <xm:sqref>EHB458759:EHB458782</xm:sqref>
        </x14:dataValidation>
        <x14:dataValidation type="list" allowBlank="1" showInputMessage="1" showErrorMessage="1" xr:uid="{4AF8442C-00F9-4340-8D13-EB598D4C5984}">
          <x14:formula1>
            <xm:f>項目!A4:$EQO$458754</xm:f>
          </x14:formula1>
          <xm:sqref>EQX458759:EQX458782</xm:sqref>
        </x14:dataValidation>
        <x14:dataValidation type="list" allowBlank="1" showInputMessage="1" showErrorMessage="1" xr:uid="{9A0C34C3-5B36-4CBF-9656-BAB48EFD7DA6}">
          <x14:formula1>
            <xm:f>項目!A4:$FAK$458754</xm:f>
          </x14:formula1>
          <xm:sqref>FAT458759:FAT458782</xm:sqref>
        </x14:dataValidation>
        <x14:dataValidation type="list" allowBlank="1" showInputMessage="1" showErrorMessage="1" xr:uid="{8D9B2CB6-47E6-4F93-A410-1725C43E181E}">
          <x14:formula1>
            <xm:f>項目!A4:$FKG$458754</xm:f>
          </x14:formula1>
          <xm:sqref>FKP458759:FKP458782</xm:sqref>
        </x14:dataValidation>
        <x14:dataValidation type="list" allowBlank="1" showInputMessage="1" showErrorMessage="1" xr:uid="{061895D6-5668-4704-B03E-8D3ABC01A6C0}">
          <x14:formula1>
            <xm:f>項目!A4:$FUC$458754</xm:f>
          </x14:formula1>
          <xm:sqref>FUL458759:FUL458782</xm:sqref>
        </x14:dataValidation>
        <x14:dataValidation type="list" allowBlank="1" showInputMessage="1" showErrorMessage="1" xr:uid="{07485A45-D0CF-4F24-A276-23F94673682B}">
          <x14:formula1>
            <xm:f>項目!A4:$GDY$458754</xm:f>
          </x14:formula1>
          <xm:sqref>GEH458759:GEH458782</xm:sqref>
        </x14:dataValidation>
        <x14:dataValidation type="list" allowBlank="1" showInputMessage="1" showErrorMessage="1" xr:uid="{BA2A3F9E-F215-480E-93CE-1BD9D6F86593}">
          <x14:formula1>
            <xm:f>項目!A4:$GNU$458754</xm:f>
          </x14:formula1>
          <xm:sqref>GOD458759:GOD458782</xm:sqref>
        </x14:dataValidation>
        <x14:dataValidation type="list" allowBlank="1" showInputMessage="1" showErrorMessage="1" xr:uid="{E766FD34-91E0-4479-A954-AC91C6FE7299}">
          <x14:formula1>
            <xm:f>項目!A4:$GXQ$458754</xm:f>
          </x14:formula1>
          <xm:sqref>GXZ458759:GXZ458782</xm:sqref>
        </x14:dataValidation>
        <x14:dataValidation type="list" allowBlank="1" showInputMessage="1" showErrorMessage="1" xr:uid="{9B8E6174-CFA7-4400-B1E1-36025CF037AE}">
          <x14:formula1>
            <xm:f>項目!A4:$HHM$458754</xm:f>
          </x14:formula1>
          <xm:sqref>HHV458759:HHV458782</xm:sqref>
        </x14:dataValidation>
        <x14:dataValidation type="list" allowBlank="1" showInputMessage="1" showErrorMessage="1" xr:uid="{06B19AC7-DB54-4677-8516-2F6B620A6F8E}">
          <x14:formula1>
            <xm:f>項目!A4:$HRI$458754</xm:f>
          </x14:formula1>
          <xm:sqref>HRR458759:HRR458782</xm:sqref>
        </x14:dataValidation>
        <x14:dataValidation type="list" allowBlank="1" showInputMessage="1" showErrorMessage="1" xr:uid="{F8D4F329-6E03-4E66-9F92-AC9B02CCC577}">
          <x14:formula1>
            <xm:f>項目!A4:$IBE$458754</xm:f>
          </x14:formula1>
          <xm:sqref>IBN458759:IBN458782</xm:sqref>
        </x14:dataValidation>
        <x14:dataValidation type="list" allowBlank="1" showInputMessage="1" showErrorMessage="1" xr:uid="{311D511F-6DC2-45CE-8BA9-1B16F634C13E}">
          <x14:formula1>
            <xm:f>項目!A4:$ILA$458754</xm:f>
          </x14:formula1>
          <xm:sqref>ILJ458759:ILJ458782</xm:sqref>
        </x14:dataValidation>
        <x14:dataValidation type="list" allowBlank="1" showInputMessage="1" showErrorMessage="1" xr:uid="{61A8ABCD-24FA-4B41-809F-1F90CE8C2DEF}">
          <x14:formula1>
            <xm:f>項目!A4:$IUW$458754</xm:f>
          </x14:formula1>
          <xm:sqref>IVF458759:IVF458782</xm:sqref>
        </x14:dataValidation>
        <x14:dataValidation type="list" allowBlank="1" showInputMessage="1" showErrorMessage="1" xr:uid="{B6EA950A-FF01-4950-9659-FE93BB027EE0}">
          <x14:formula1>
            <xm:f>項目!A4:$JES$458754</xm:f>
          </x14:formula1>
          <xm:sqref>JFB458759:JFB458782</xm:sqref>
        </x14:dataValidation>
        <x14:dataValidation type="list" allowBlank="1" showInputMessage="1" showErrorMessage="1" xr:uid="{84BDBB58-8350-40DD-BB5F-4920B3A153F2}">
          <x14:formula1>
            <xm:f>項目!A4:$JOO$458754</xm:f>
          </x14:formula1>
          <xm:sqref>JOX458759:JOX458782</xm:sqref>
        </x14:dataValidation>
        <x14:dataValidation type="list" allowBlank="1" showInputMessage="1" showErrorMessage="1" xr:uid="{21DC51A1-0C38-4FC0-BF55-7AA80249944C}">
          <x14:formula1>
            <xm:f>項目!A4:$JYK$458754</xm:f>
          </x14:formula1>
          <xm:sqref>JYT458759:JYT458782</xm:sqref>
        </x14:dataValidation>
        <x14:dataValidation type="list" allowBlank="1" showInputMessage="1" showErrorMessage="1" xr:uid="{D7FC3857-2B3C-4396-AB97-5DDC3FDF56B7}">
          <x14:formula1>
            <xm:f>項目!A4:$KIG$458754</xm:f>
          </x14:formula1>
          <xm:sqref>KIP458759:KIP458782</xm:sqref>
        </x14:dataValidation>
        <x14:dataValidation type="list" allowBlank="1" showInputMessage="1" showErrorMessage="1" xr:uid="{D5E50F5D-B79A-4A0F-8008-7D1D6F525BDA}">
          <x14:formula1>
            <xm:f>項目!A4:$KSC$458754</xm:f>
          </x14:formula1>
          <xm:sqref>KSL458759:KSL458782</xm:sqref>
        </x14:dataValidation>
        <x14:dataValidation type="list" allowBlank="1" showInputMessage="1" showErrorMessage="1" xr:uid="{7827B938-997F-40FA-99A9-5C49F18E046D}">
          <x14:formula1>
            <xm:f>項目!A4:$LBY$458754</xm:f>
          </x14:formula1>
          <xm:sqref>LCH458759:LCH458782</xm:sqref>
        </x14:dataValidation>
        <x14:dataValidation type="list" allowBlank="1" showInputMessage="1" showErrorMessage="1" xr:uid="{17D001FE-1A5C-4F85-A998-CF9024D6C92A}">
          <x14:formula1>
            <xm:f>項目!A4:$LLU$458754</xm:f>
          </x14:formula1>
          <xm:sqref>LMD458759:LMD458782</xm:sqref>
        </x14:dataValidation>
        <x14:dataValidation type="list" allowBlank="1" showInputMessage="1" showErrorMessage="1" xr:uid="{7C6ABC1D-96A0-4372-B44C-1FF900D39A01}">
          <x14:formula1>
            <xm:f>項目!A4:$LVQ$458754</xm:f>
          </x14:formula1>
          <xm:sqref>LVZ458759:LVZ458782</xm:sqref>
        </x14:dataValidation>
        <x14:dataValidation type="list" allowBlank="1" showInputMessage="1" showErrorMessage="1" xr:uid="{7771CC74-ED57-4CB7-8421-3056967E2F0E}">
          <x14:formula1>
            <xm:f>項目!A4:$MFM$458754</xm:f>
          </x14:formula1>
          <xm:sqref>MFV458759:MFV458782</xm:sqref>
        </x14:dataValidation>
        <x14:dataValidation type="list" allowBlank="1" showInputMessage="1" showErrorMessage="1" xr:uid="{4C436FEB-1404-43A5-AFDB-B308191E8824}">
          <x14:formula1>
            <xm:f>項目!A4:$MPI$458754</xm:f>
          </x14:formula1>
          <xm:sqref>MPR458759:MPR458782</xm:sqref>
        </x14:dataValidation>
        <x14:dataValidation type="list" allowBlank="1" showInputMessage="1" showErrorMessage="1" xr:uid="{0A6E1D93-1411-4ACA-81B1-3E857BFB45A6}">
          <x14:formula1>
            <xm:f>項目!A4:$MZE$458754</xm:f>
          </x14:formula1>
          <xm:sqref>MZN458759:MZN458782</xm:sqref>
        </x14:dataValidation>
        <x14:dataValidation type="list" allowBlank="1" showInputMessage="1" showErrorMessage="1" xr:uid="{F1055D91-9D86-4E49-97A6-BC02236C5BFB}">
          <x14:formula1>
            <xm:f>項目!A4:$NJA$458754</xm:f>
          </x14:formula1>
          <xm:sqref>NJJ458759:NJJ458782</xm:sqref>
        </x14:dataValidation>
        <x14:dataValidation type="list" allowBlank="1" showInputMessage="1" showErrorMessage="1" xr:uid="{45CFE3B9-256D-4357-A71A-E9F3F6A468C7}">
          <x14:formula1>
            <xm:f>項目!A4:$NSW$458754</xm:f>
          </x14:formula1>
          <xm:sqref>NTF458759:NTF458782</xm:sqref>
        </x14:dataValidation>
        <x14:dataValidation type="list" allowBlank="1" showInputMessage="1" showErrorMessage="1" xr:uid="{DB8ED3BD-6C0C-42C5-B2A0-EE44957ED797}">
          <x14:formula1>
            <xm:f>項目!A4:$OCS$458754</xm:f>
          </x14:formula1>
          <xm:sqref>ODB458759:ODB458782</xm:sqref>
        </x14:dataValidation>
        <x14:dataValidation type="list" allowBlank="1" showInputMessage="1" showErrorMessage="1" xr:uid="{A1E83E7D-C269-49FE-9262-8263DBA1A124}">
          <x14:formula1>
            <xm:f>項目!A4:$OMO$458754</xm:f>
          </x14:formula1>
          <xm:sqref>OMX458759:OMX458782</xm:sqref>
        </x14:dataValidation>
        <x14:dataValidation type="list" allowBlank="1" showInputMessage="1" showErrorMessage="1" xr:uid="{5CD6C248-2E18-416B-B3A4-815E71CAFF6C}">
          <x14:formula1>
            <xm:f>項目!A4:$OWK$458754</xm:f>
          </x14:formula1>
          <xm:sqref>OWT458759:OWT458782</xm:sqref>
        </x14:dataValidation>
        <x14:dataValidation type="list" allowBlank="1" showInputMessage="1" showErrorMessage="1" xr:uid="{0E977181-0C57-4250-A707-D9F9649501A7}">
          <x14:formula1>
            <xm:f>項目!A4:$PGG$458754</xm:f>
          </x14:formula1>
          <xm:sqref>PGP458759:PGP458782</xm:sqref>
        </x14:dataValidation>
        <x14:dataValidation type="list" allowBlank="1" showInputMessage="1" showErrorMessage="1" xr:uid="{8FB38A1B-6065-4BCC-92C3-A3E8BEF12702}">
          <x14:formula1>
            <xm:f>項目!A4:$PQC$458754</xm:f>
          </x14:formula1>
          <xm:sqref>PQL458759:PQL458782</xm:sqref>
        </x14:dataValidation>
        <x14:dataValidation type="list" allowBlank="1" showInputMessage="1" showErrorMessage="1" xr:uid="{69957785-2DA1-42BC-A741-D562273BC685}">
          <x14:formula1>
            <xm:f>項目!A4:$PZY$458754</xm:f>
          </x14:formula1>
          <xm:sqref>QAH458759:QAH458782</xm:sqref>
        </x14:dataValidation>
        <x14:dataValidation type="list" allowBlank="1" showInputMessage="1" showErrorMessage="1" xr:uid="{C9F4A709-0A15-489C-9182-3C468554B73B}">
          <x14:formula1>
            <xm:f>項目!A4:$QJU$458754</xm:f>
          </x14:formula1>
          <xm:sqref>QKD458759:QKD458782</xm:sqref>
        </x14:dataValidation>
        <x14:dataValidation type="list" allowBlank="1" showInputMessage="1" showErrorMessage="1" xr:uid="{94820EA1-86E1-4989-B9E9-AC302BCC59A6}">
          <x14:formula1>
            <xm:f>項目!A4:$QTQ$458754</xm:f>
          </x14:formula1>
          <xm:sqref>QTZ458759:QTZ458782</xm:sqref>
        </x14:dataValidation>
        <x14:dataValidation type="list" allowBlank="1" showInputMessage="1" showErrorMessage="1" xr:uid="{4F9F0491-0F65-416A-AE3A-973B4AD62C6E}">
          <x14:formula1>
            <xm:f>項目!A4:$RDM$458754</xm:f>
          </x14:formula1>
          <xm:sqref>RDV458759:RDV458782</xm:sqref>
        </x14:dataValidation>
        <x14:dataValidation type="list" allowBlank="1" showInputMessage="1" showErrorMessage="1" xr:uid="{83520119-85B7-4A00-9255-7D0B12AB68E6}">
          <x14:formula1>
            <xm:f>項目!A4:$RNI$458754</xm:f>
          </x14:formula1>
          <xm:sqref>RNR458759:RNR458782</xm:sqref>
        </x14:dataValidation>
        <x14:dataValidation type="list" allowBlank="1" showInputMessage="1" showErrorMessage="1" xr:uid="{4975B70D-57AE-4B50-99C9-F467B585127F}">
          <x14:formula1>
            <xm:f>項目!A4:$RXE$458754</xm:f>
          </x14:formula1>
          <xm:sqref>RXN458759:RXN458782</xm:sqref>
        </x14:dataValidation>
        <x14:dataValidation type="list" allowBlank="1" showInputMessage="1" showErrorMessage="1" xr:uid="{53236178-9E6D-4602-9AB5-EF525D59F320}">
          <x14:formula1>
            <xm:f>項目!A4:$SHA$458754</xm:f>
          </x14:formula1>
          <xm:sqref>SHJ458759:SHJ458782</xm:sqref>
        </x14:dataValidation>
        <x14:dataValidation type="list" allowBlank="1" showInputMessage="1" showErrorMessage="1" xr:uid="{CF843FA3-4D74-4B2E-80C7-C653F4C25C7C}">
          <x14:formula1>
            <xm:f>項目!A4:$SQW$458754</xm:f>
          </x14:formula1>
          <xm:sqref>SRF458759:SRF458782</xm:sqref>
        </x14:dataValidation>
        <x14:dataValidation type="list" allowBlank="1" showInputMessage="1" showErrorMessage="1" xr:uid="{BBF49BF8-0E10-44AD-832E-8BECCBF513F3}">
          <x14:formula1>
            <xm:f>項目!A4:$TAS$458754</xm:f>
          </x14:formula1>
          <xm:sqref>TBB458759:TBB458782</xm:sqref>
        </x14:dataValidation>
        <x14:dataValidation type="list" allowBlank="1" showInputMessage="1" showErrorMessage="1" xr:uid="{581CAE52-6DB6-4CBF-9D79-1E7A8B26417E}">
          <x14:formula1>
            <xm:f>項目!A4:$TKO$458754</xm:f>
          </x14:formula1>
          <xm:sqref>TKX458759:TKX458782</xm:sqref>
        </x14:dataValidation>
        <x14:dataValidation type="list" allowBlank="1" showInputMessage="1" showErrorMessage="1" xr:uid="{41810137-DD16-4B5D-A4AA-7ABF93E89D58}">
          <x14:formula1>
            <xm:f>項目!A4:$TUK$458754</xm:f>
          </x14:formula1>
          <xm:sqref>TUT458759:TUT458782</xm:sqref>
        </x14:dataValidation>
        <x14:dataValidation type="list" allowBlank="1" showInputMessage="1" showErrorMessage="1" xr:uid="{C78751E0-BF8B-42F6-82A8-85D54851CFC1}">
          <x14:formula1>
            <xm:f>項目!A4:$UEG$458754</xm:f>
          </x14:formula1>
          <xm:sqref>UEP458759:UEP458782</xm:sqref>
        </x14:dataValidation>
        <x14:dataValidation type="list" allowBlank="1" showInputMessage="1" showErrorMessage="1" xr:uid="{2F9B047E-A9D6-4749-8AF6-B99C62CA7BFD}">
          <x14:formula1>
            <xm:f>項目!A4:$UOC$458754</xm:f>
          </x14:formula1>
          <xm:sqref>UOL458759:UOL458782</xm:sqref>
        </x14:dataValidation>
        <x14:dataValidation type="list" allowBlank="1" showInputMessage="1" showErrorMessage="1" xr:uid="{E36ABFC4-82FE-452E-937B-7242E3E69EA2}">
          <x14:formula1>
            <xm:f>項目!A4:$UXY$458754</xm:f>
          </x14:formula1>
          <xm:sqref>UYH458759:UYH458782</xm:sqref>
        </x14:dataValidation>
        <x14:dataValidation type="list" allowBlank="1" showInputMessage="1" showErrorMessage="1" xr:uid="{532427AF-D9EC-4F4A-85FF-6601F17213E5}">
          <x14:formula1>
            <xm:f>項目!A4:$VHU$458754</xm:f>
          </x14:formula1>
          <xm:sqref>VID458759:VID458782</xm:sqref>
        </x14:dataValidation>
        <x14:dataValidation type="list" allowBlank="1" showInputMessage="1" showErrorMessage="1" xr:uid="{14B8F398-9922-4BEC-B99F-A92AD38E0876}">
          <x14:formula1>
            <xm:f>項目!A4:$VRQ$458754</xm:f>
          </x14:formula1>
          <xm:sqref>VRZ458759:VRZ458782</xm:sqref>
        </x14:dataValidation>
        <x14:dataValidation type="list" allowBlank="1" showInputMessage="1" showErrorMessage="1" xr:uid="{F5F13F39-1491-4077-885A-702BC5B5286C}">
          <x14:formula1>
            <xm:f>項目!A4:$WBM$458754</xm:f>
          </x14:formula1>
          <xm:sqref>WBV458759:WBV458782</xm:sqref>
        </x14:dataValidation>
        <x14:dataValidation type="list" allowBlank="1" showInputMessage="1" showErrorMessage="1" xr:uid="{B92C2E83-9EEE-40A4-9914-268B037AA1D5}">
          <x14:formula1>
            <xm:f>項目!A4:$WLI$458754</xm:f>
          </x14:formula1>
          <xm:sqref>WLR458759:WLR458782</xm:sqref>
        </x14:dataValidation>
        <x14:dataValidation type="list" allowBlank="1" showInputMessage="1" showErrorMessage="1" xr:uid="{B7A6AF0A-EC05-46D2-A03F-26F094E45FF8}">
          <x14:formula1>
            <xm:f>項目!A4:$WVE$458754</xm:f>
          </x14:formula1>
          <xm:sqref>WVN458759:WVN458782</xm:sqref>
        </x14:dataValidation>
        <x14:dataValidation type="list" allowBlank="1" showInputMessage="1" showErrorMessage="1" xr:uid="{2DE384AD-CEA8-4010-93F9-497F27A900C9}">
          <x14:formula1>
            <xm:f>項目!A4:$IS$524290</xm:f>
          </x14:formula1>
          <xm:sqref>JB524295:JB524318</xm:sqref>
        </x14:dataValidation>
        <x14:dataValidation type="list" allowBlank="1" showInputMessage="1" showErrorMessage="1" xr:uid="{48267A60-A8F9-4B3D-936C-7FC03A048E82}">
          <x14:formula1>
            <xm:f>項目!A4:$SO$524290</xm:f>
          </x14:formula1>
          <xm:sqref>SX524295:SX524318</xm:sqref>
        </x14:dataValidation>
        <x14:dataValidation type="list" allowBlank="1" showInputMessage="1" showErrorMessage="1" xr:uid="{2B5E79A2-6F8A-4C19-AAF9-F279941DA3F7}">
          <x14:formula1>
            <xm:f>項目!A4:$ACK$524290</xm:f>
          </x14:formula1>
          <xm:sqref>ACT524295:ACT524318</xm:sqref>
        </x14:dataValidation>
        <x14:dataValidation type="list" allowBlank="1" showInputMessage="1" showErrorMessage="1" xr:uid="{07561081-A3E9-4E02-AAE7-AD2D79D78300}">
          <x14:formula1>
            <xm:f>項目!A4:$AMG$524290</xm:f>
          </x14:formula1>
          <xm:sqref>AMP524295:AMP524318</xm:sqref>
        </x14:dataValidation>
        <x14:dataValidation type="list" allowBlank="1" showInputMessage="1" showErrorMessage="1" xr:uid="{8B2FB8F7-7FE3-4912-90C8-42AD558ABD94}">
          <x14:formula1>
            <xm:f>項目!A4:$AWC$524290</xm:f>
          </x14:formula1>
          <xm:sqref>AWL524295:AWL524318</xm:sqref>
        </x14:dataValidation>
        <x14:dataValidation type="list" allowBlank="1" showInputMessage="1" showErrorMessage="1" xr:uid="{B753127C-626A-44A1-8888-B834A6B48620}">
          <x14:formula1>
            <xm:f>項目!A4:$BFY$524290</xm:f>
          </x14:formula1>
          <xm:sqref>BGH524295:BGH524318</xm:sqref>
        </x14:dataValidation>
        <x14:dataValidation type="list" allowBlank="1" showInputMessage="1" showErrorMessage="1" xr:uid="{0107EF07-6006-496A-A08F-5384AAFA2D77}">
          <x14:formula1>
            <xm:f>項目!A4:$BPU$524290</xm:f>
          </x14:formula1>
          <xm:sqref>BQD524295:BQD524318</xm:sqref>
        </x14:dataValidation>
        <x14:dataValidation type="list" allowBlank="1" showInputMessage="1" showErrorMessage="1" xr:uid="{3373AFE5-D40D-4F94-A137-1E6C8CC991D2}">
          <x14:formula1>
            <xm:f>項目!A4:$BZQ$524290</xm:f>
          </x14:formula1>
          <xm:sqref>BZZ524295:BZZ524318</xm:sqref>
        </x14:dataValidation>
        <x14:dataValidation type="list" allowBlank="1" showInputMessage="1" showErrorMessage="1" xr:uid="{19ABCBFD-97AA-4CCF-9598-51C43C811B19}">
          <x14:formula1>
            <xm:f>項目!A4:$CJM$524290</xm:f>
          </x14:formula1>
          <xm:sqref>CJV524295:CJV524318</xm:sqref>
        </x14:dataValidation>
        <x14:dataValidation type="list" allowBlank="1" showInputMessage="1" showErrorMessage="1" xr:uid="{139864DD-3F4A-44A3-9DF5-E7253E9DC5E4}">
          <x14:formula1>
            <xm:f>項目!A4:$CTI$524290</xm:f>
          </x14:formula1>
          <xm:sqref>CTR524295:CTR524318</xm:sqref>
        </x14:dataValidation>
        <x14:dataValidation type="list" allowBlank="1" showInputMessage="1" showErrorMessage="1" xr:uid="{8BD76111-A174-4DC9-A00D-721A361CDB11}">
          <x14:formula1>
            <xm:f>項目!A4:$DDE$524290</xm:f>
          </x14:formula1>
          <xm:sqref>DDN524295:DDN524318</xm:sqref>
        </x14:dataValidation>
        <x14:dataValidation type="list" allowBlank="1" showInputMessage="1" showErrorMessage="1" xr:uid="{1B214E30-2818-48B0-89CA-BFBF45348333}">
          <x14:formula1>
            <xm:f>項目!A4:$DNA$524290</xm:f>
          </x14:formula1>
          <xm:sqref>DNJ524295:DNJ524318</xm:sqref>
        </x14:dataValidation>
        <x14:dataValidation type="list" allowBlank="1" showInputMessage="1" showErrorMessage="1" xr:uid="{DA42357E-059E-4C92-A205-D3F6BAF31629}">
          <x14:formula1>
            <xm:f>項目!A4:$DWW$524290</xm:f>
          </x14:formula1>
          <xm:sqref>DXF524295:DXF524318</xm:sqref>
        </x14:dataValidation>
        <x14:dataValidation type="list" allowBlank="1" showInputMessage="1" showErrorMessage="1" xr:uid="{88DE926F-BC32-492E-BA62-AFF52D7BF982}">
          <x14:formula1>
            <xm:f>項目!A4:$EGS$524290</xm:f>
          </x14:formula1>
          <xm:sqref>EHB524295:EHB524318</xm:sqref>
        </x14:dataValidation>
        <x14:dataValidation type="list" allowBlank="1" showInputMessage="1" showErrorMessage="1" xr:uid="{2A487D92-D5EC-499F-844D-F7C5A2CA5F17}">
          <x14:formula1>
            <xm:f>項目!A4:$EQO$524290</xm:f>
          </x14:formula1>
          <xm:sqref>EQX524295:EQX524318</xm:sqref>
        </x14:dataValidation>
        <x14:dataValidation type="list" allowBlank="1" showInputMessage="1" showErrorMessage="1" xr:uid="{20FF3B83-6DFF-486C-9F26-6E95C562A331}">
          <x14:formula1>
            <xm:f>項目!A4:$FAK$524290</xm:f>
          </x14:formula1>
          <xm:sqref>FAT524295:FAT524318</xm:sqref>
        </x14:dataValidation>
        <x14:dataValidation type="list" allowBlank="1" showInputMessage="1" showErrorMessage="1" xr:uid="{FBB6816E-DEDE-4BDA-A528-729353E56569}">
          <x14:formula1>
            <xm:f>項目!A4:$FKG$524290</xm:f>
          </x14:formula1>
          <xm:sqref>FKP524295:FKP524318</xm:sqref>
        </x14:dataValidation>
        <x14:dataValidation type="list" allowBlank="1" showInputMessage="1" showErrorMessage="1" xr:uid="{C5AF95AC-3BA5-4CD0-A60D-C96501E24966}">
          <x14:formula1>
            <xm:f>項目!A4:$FUC$524290</xm:f>
          </x14:formula1>
          <xm:sqref>FUL524295:FUL524318</xm:sqref>
        </x14:dataValidation>
        <x14:dataValidation type="list" allowBlank="1" showInputMessage="1" showErrorMessage="1" xr:uid="{24388FDA-8CF0-465C-90ED-4BD7A7B21F42}">
          <x14:formula1>
            <xm:f>項目!A4:$GDY$524290</xm:f>
          </x14:formula1>
          <xm:sqref>GEH524295:GEH524318</xm:sqref>
        </x14:dataValidation>
        <x14:dataValidation type="list" allowBlank="1" showInputMessage="1" showErrorMessage="1" xr:uid="{70D85883-609C-4A82-8443-35389E0E9759}">
          <x14:formula1>
            <xm:f>項目!A4:$GNU$524290</xm:f>
          </x14:formula1>
          <xm:sqref>GOD524295:GOD524318</xm:sqref>
        </x14:dataValidation>
        <x14:dataValidation type="list" allowBlank="1" showInputMessage="1" showErrorMessage="1" xr:uid="{B7E9C607-BFCD-410A-B3E2-BE2DCA3ADC66}">
          <x14:formula1>
            <xm:f>項目!A4:$GXQ$524290</xm:f>
          </x14:formula1>
          <xm:sqref>GXZ524295:GXZ524318</xm:sqref>
        </x14:dataValidation>
        <x14:dataValidation type="list" allowBlank="1" showInputMessage="1" showErrorMessage="1" xr:uid="{AF081C82-6E9E-4E22-99CA-85FC2DCC2085}">
          <x14:formula1>
            <xm:f>項目!A4:$HHM$524290</xm:f>
          </x14:formula1>
          <xm:sqref>HHV524295:HHV524318</xm:sqref>
        </x14:dataValidation>
        <x14:dataValidation type="list" allowBlank="1" showInputMessage="1" showErrorMessage="1" xr:uid="{854ED916-C542-46CD-9BCD-0DD8B1DEFECD}">
          <x14:formula1>
            <xm:f>項目!A4:$HRI$524290</xm:f>
          </x14:formula1>
          <xm:sqref>HRR524295:HRR524318</xm:sqref>
        </x14:dataValidation>
        <x14:dataValidation type="list" allowBlank="1" showInputMessage="1" showErrorMessage="1" xr:uid="{A67FDCC0-29AC-4F81-B76F-2B0410A7898B}">
          <x14:formula1>
            <xm:f>項目!A4:$IBE$524290</xm:f>
          </x14:formula1>
          <xm:sqref>IBN524295:IBN524318</xm:sqref>
        </x14:dataValidation>
        <x14:dataValidation type="list" allowBlank="1" showInputMessage="1" showErrorMessage="1" xr:uid="{20647FD8-BA0D-4005-B991-3525BF831366}">
          <x14:formula1>
            <xm:f>項目!A4:$ILA$524290</xm:f>
          </x14:formula1>
          <xm:sqref>ILJ524295:ILJ524318</xm:sqref>
        </x14:dataValidation>
        <x14:dataValidation type="list" allowBlank="1" showInputMessage="1" showErrorMessage="1" xr:uid="{ED741804-CB24-45C9-99CE-6EF5BA935EE5}">
          <x14:formula1>
            <xm:f>項目!A4:$IUW$524290</xm:f>
          </x14:formula1>
          <xm:sqref>IVF524295:IVF524318</xm:sqref>
        </x14:dataValidation>
        <x14:dataValidation type="list" allowBlank="1" showInputMessage="1" showErrorMessage="1" xr:uid="{75558189-0C94-4498-BBC5-0DCFA3BCEE36}">
          <x14:formula1>
            <xm:f>項目!A4:$JES$524290</xm:f>
          </x14:formula1>
          <xm:sqref>JFB524295:JFB524318</xm:sqref>
        </x14:dataValidation>
        <x14:dataValidation type="list" allowBlank="1" showInputMessage="1" showErrorMessage="1" xr:uid="{0E7A8235-79DB-4E15-8971-0A3334FF6208}">
          <x14:formula1>
            <xm:f>項目!A4:$JOO$524290</xm:f>
          </x14:formula1>
          <xm:sqref>JOX524295:JOX524318</xm:sqref>
        </x14:dataValidation>
        <x14:dataValidation type="list" allowBlank="1" showInputMessage="1" showErrorMessage="1" xr:uid="{9B9B9966-C207-43ED-801F-54633CE68720}">
          <x14:formula1>
            <xm:f>項目!A4:$JYK$524290</xm:f>
          </x14:formula1>
          <xm:sqref>JYT524295:JYT524318</xm:sqref>
        </x14:dataValidation>
        <x14:dataValidation type="list" allowBlank="1" showInputMessage="1" showErrorMessage="1" xr:uid="{3C2DF0AD-3BFA-4C4F-B20A-3D3ADB6D5CA9}">
          <x14:formula1>
            <xm:f>項目!A4:$KIG$524290</xm:f>
          </x14:formula1>
          <xm:sqref>KIP524295:KIP524318</xm:sqref>
        </x14:dataValidation>
        <x14:dataValidation type="list" allowBlank="1" showInputMessage="1" showErrorMessage="1" xr:uid="{4B96BC8F-AE77-40E9-8FF3-6F22872960DB}">
          <x14:formula1>
            <xm:f>項目!A4:$KSC$524290</xm:f>
          </x14:formula1>
          <xm:sqref>KSL524295:KSL524318</xm:sqref>
        </x14:dataValidation>
        <x14:dataValidation type="list" allowBlank="1" showInputMessage="1" showErrorMessage="1" xr:uid="{0C87E0A9-FC1B-46A5-8F65-A5140358684F}">
          <x14:formula1>
            <xm:f>項目!A4:$LBY$524290</xm:f>
          </x14:formula1>
          <xm:sqref>LCH524295:LCH524318</xm:sqref>
        </x14:dataValidation>
        <x14:dataValidation type="list" allowBlank="1" showInputMessage="1" showErrorMessage="1" xr:uid="{C5E2F007-45A5-40BC-991B-4681848E8F9B}">
          <x14:formula1>
            <xm:f>項目!A4:$LLU$524290</xm:f>
          </x14:formula1>
          <xm:sqref>LMD524295:LMD524318</xm:sqref>
        </x14:dataValidation>
        <x14:dataValidation type="list" allowBlank="1" showInputMessage="1" showErrorMessage="1" xr:uid="{4043BD37-5A37-4FF1-A0D9-79D9A45F222E}">
          <x14:formula1>
            <xm:f>項目!A4:$LVQ$524290</xm:f>
          </x14:formula1>
          <xm:sqref>LVZ524295:LVZ524318</xm:sqref>
        </x14:dataValidation>
        <x14:dataValidation type="list" allowBlank="1" showInputMessage="1" showErrorMessage="1" xr:uid="{D7605106-2317-4624-B149-901A647867CD}">
          <x14:formula1>
            <xm:f>項目!A4:$MFM$524290</xm:f>
          </x14:formula1>
          <xm:sqref>MFV524295:MFV524318</xm:sqref>
        </x14:dataValidation>
        <x14:dataValidation type="list" allowBlank="1" showInputMessage="1" showErrorMessage="1" xr:uid="{EA4B20B9-6A44-4137-99CA-72ABD1EC97AD}">
          <x14:formula1>
            <xm:f>項目!A4:$MPI$524290</xm:f>
          </x14:formula1>
          <xm:sqref>MPR524295:MPR524318</xm:sqref>
        </x14:dataValidation>
        <x14:dataValidation type="list" allowBlank="1" showInputMessage="1" showErrorMessage="1" xr:uid="{D169801D-F771-450F-B416-219C3EE0199C}">
          <x14:formula1>
            <xm:f>項目!A4:$MZE$524290</xm:f>
          </x14:formula1>
          <xm:sqref>MZN524295:MZN524318</xm:sqref>
        </x14:dataValidation>
        <x14:dataValidation type="list" allowBlank="1" showInputMessage="1" showErrorMessage="1" xr:uid="{9F893A13-DFE5-40B5-AF93-261FDA0B6DF6}">
          <x14:formula1>
            <xm:f>項目!A4:$NJA$524290</xm:f>
          </x14:formula1>
          <xm:sqref>NJJ524295:NJJ524318</xm:sqref>
        </x14:dataValidation>
        <x14:dataValidation type="list" allowBlank="1" showInputMessage="1" showErrorMessage="1" xr:uid="{1A3A6F49-8B11-4474-A45C-73617FAA756C}">
          <x14:formula1>
            <xm:f>項目!A4:$NSW$524290</xm:f>
          </x14:formula1>
          <xm:sqref>NTF524295:NTF524318</xm:sqref>
        </x14:dataValidation>
        <x14:dataValidation type="list" allowBlank="1" showInputMessage="1" showErrorMessage="1" xr:uid="{42892060-6C05-48ED-A3A9-F5B9D3FFE07B}">
          <x14:formula1>
            <xm:f>項目!A4:$OCS$524290</xm:f>
          </x14:formula1>
          <xm:sqref>ODB524295:ODB524318</xm:sqref>
        </x14:dataValidation>
        <x14:dataValidation type="list" allowBlank="1" showInputMessage="1" showErrorMessage="1" xr:uid="{4C992AB8-4117-4B55-B887-E022774E5CE0}">
          <x14:formula1>
            <xm:f>項目!A4:$OMO$524290</xm:f>
          </x14:formula1>
          <xm:sqref>OMX524295:OMX524318</xm:sqref>
        </x14:dataValidation>
        <x14:dataValidation type="list" allowBlank="1" showInputMessage="1" showErrorMessage="1" xr:uid="{71CE0A73-AFE2-487D-A995-3051B22A7632}">
          <x14:formula1>
            <xm:f>項目!A4:$OWK$524290</xm:f>
          </x14:formula1>
          <xm:sqref>OWT524295:OWT524318</xm:sqref>
        </x14:dataValidation>
        <x14:dataValidation type="list" allowBlank="1" showInputMessage="1" showErrorMessage="1" xr:uid="{9A4EA6F7-0ED1-4CF2-8A06-0F1D979D00C3}">
          <x14:formula1>
            <xm:f>項目!A4:$PGG$524290</xm:f>
          </x14:formula1>
          <xm:sqref>PGP524295:PGP524318</xm:sqref>
        </x14:dataValidation>
        <x14:dataValidation type="list" allowBlank="1" showInputMessage="1" showErrorMessage="1" xr:uid="{6DA9A7BF-4799-45FA-AC56-E23AE6301E92}">
          <x14:formula1>
            <xm:f>項目!A4:$PQC$524290</xm:f>
          </x14:formula1>
          <xm:sqref>PQL524295:PQL524318</xm:sqref>
        </x14:dataValidation>
        <x14:dataValidation type="list" allowBlank="1" showInputMessage="1" showErrorMessage="1" xr:uid="{924E1E5D-40E3-4D3B-AA0A-A31E7A072EA9}">
          <x14:formula1>
            <xm:f>項目!A4:$PZY$524290</xm:f>
          </x14:formula1>
          <xm:sqref>QAH524295:QAH524318</xm:sqref>
        </x14:dataValidation>
        <x14:dataValidation type="list" allowBlank="1" showInputMessage="1" showErrorMessage="1" xr:uid="{AD3DA439-12D0-4511-947A-B9100ED2AF52}">
          <x14:formula1>
            <xm:f>項目!A4:$QJU$524290</xm:f>
          </x14:formula1>
          <xm:sqref>QKD524295:QKD524318</xm:sqref>
        </x14:dataValidation>
        <x14:dataValidation type="list" allowBlank="1" showInputMessage="1" showErrorMessage="1" xr:uid="{BD2E271E-AD4E-4E1F-951D-44C3D0267D47}">
          <x14:formula1>
            <xm:f>項目!A4:$QTQ$524290</xm:f>
          </x14:formula1>
          <xm:sqref>QTZ524295:QTZ524318</xm:sqref>
        </x14:dataValidation>
        <x14:dataValidation type="list" allowBlank="1" showInputMessage="1" showErrorMessage="1" xr:uid="{20572559-49F4-4053-B0A8-91440318E150}">
          <x14:formula1>
            <xm:f>項目!A4:$RDM$524290</xm:f>
          </x14:formula1>
          <xm:sqref>RDV524295:RDV524318</xm:sqref>
        </x14:dataValidation>
        <x14:dataValidation type="list" allowBlank="1" showInputMessage="1" showErrorMessage="1" xr:uid="{46FF5C1C-35BF-4250-8C09-617C9972E3DF}">
          <x14:formula1>
            <xm:f>項目!A4:$RNI$524290</xm:f>
          </x14:formula1>
          <xm:sqref>RNR524295:RNR524318</xm:sqref>
        </x14:dataValidation>
        <x14:dataValidation type="list" allowBlank="1" showInputMessage="1" showErrorMessage="1" xr:uid="{DF645B0E-25B0-433D-B423-912970DBF27D}">
          <x14:formula1>
            <xm:f>項目!A4:$RXE$524290</xm:f>
          </x14:formula1>
          <xm:sqref>RXN524295:RXN524318</xm:sqref>
        </x14:dataValidation>
        <x14:dataValidation type="list" allowBlank="1" showInputMessage="1" showErrorMessage="1" xr:uid="{5B7D7A5E-E1C4-4F5A-82F9-ABB28CCF596E}">
          <x14:formula1>
            <xm:f>項目!A4:$SHA$524290</xm:f>
          </x14:formula1>
          <xm:sqref>SHJ524295:SHJ524318</xm:sqref>
        </x14:dataValidation>
        <x14:dataValidation type="list" allowBlank="1" showInputMessage="1" showErrorMessage="1" xr:uid="{39D7226C-D00D-471E-9143-90C60C78404E}">
          <x14:formula1>
            <xm:f>項目!A4:$SQW$524290</xm:f>
          </x14:formula1>
          <xm:sqref>SRF524295:SRF524318</xm:sqref>
        </x14:dataValidation>
        <x14:dataValidation type="list" allowBlank="1" showInputMessage="1" showErrorMessage="1" xr:uid="{B7208EF0-D421-422B-862F-F76E0BB465F6}">
          <x14:formula1>
            <xm:f>項目!A4:$TAS$524290</xm:f>
          </x14:formula1>
          <xm:sqref>TBB524295:TBB524318</xm:sqref>
        </x14:dataValidation>
        <x14:dataValidation type="list" allowBlank="1" showInputMessage="1" showErrorMessage="1" xr:uid="{D2138BDB-5A8A-4973-B6BD-64B9EF84F091}">
          <x14:formula1>
            <xm:f>項目!A4:$TKO$524290</xm:f>
          </x14:formula1>
          <xm:sqref>TKX524295:TKX524318</xm:sqref>
        </x14:dataValidation>
        <x14:dataValidation type="list" allowBlank="1" showInputMessage="1" showErrorMessage="1" xr:uid="{9D4AAD32-B2B4-4521-A18D-926ECCEF6FF9}">
          <x14:formula1>
            <xm:f>項目!A4:$TUK$524290</xm:f>
          </x14:formula1>
          <xm:sqref>TUT524295:TUT524318</xm:sqref>
        </x14:dataValidation>
        <x14:dataValidation type="list" allowBlank="1" showInputMessage="1" showErrorMessage="1" xr:uid="{373ECD0A-D6F3-4E46-B13F-4E536E713776}">
          <x14:formula1>
            <xm:f>項目!A4:$UEG$524290</xm:f>
          </x14:formula1>
          <xm:sqref>UEP524295:UEP524318</xm:sqref>
        </x14:dataValidation>
        <x14:dataValidation type="list" allowBlank="1" showInputMessage="1" showErrorMessage="1" xr:uid="{89F856FE-BC9B-432E-AAB4-6A7211E4C543}">
          <x14:formula1>
            <xm:f>項目!A4:$UOC$524290</xm:f>
          </x14:formula1>
          <xm:sqref>UOL524295:UOL524318</xm:sqref>
        </x14:dataValidation>
        <x14:dataValidation type="list" allowBlank="1" showInputMessage="1" showErrorMessage="1" xr:uid="{89F26817-EA41-4F1E-8344-A341B0D750AB}">
          <x14:formula1>
            <xm:f>項目!A4:$UXY$524290</xm:f>
          </x14:formula1>
          <xm:sqref>UYH524295:UYH524318</xm:sqref>
        </x14:dataValidation>
        <x14:dataValidation type="list" allowBlank="1" showInputMessage="1" showErrorMessage="1" xr:uid="{EC88BF4C-4381-4434-B923-20BDEA4BDAD2}">
          <x14:formula1>
            <xm:f>項目!A4:$VHU$524290</xm:f>
          </x14:formula1>
          <xm:sqref>VID524295:VID524318</xm:sqref>
        </x14:dataValidation>
        <x14:dataValidation type="list" allowBlank="1" showInputMessage="1" showErrorMessage="1" xr:uid="{49F2475F-200A-4A98-9624-1019469F949E}">
          <x14:formula1>
            <xm:f>項目!A4:$VRQ$524290</xm:f>
          </x14:formula1>
          <xm:sqref>VRZ524295:VRZ524318</xm:sqref>
        </x14:dataValidation>
        <x14:dataValidation type="list" allowBlank="1" showInputMessage="1" showErrorMessage="1" xr:uid="{5EB94707-0AC3-4B52-B471-88B079C0DC25}">
          <x14:formula1>
            <xm:f>項目!A4:$WBM$524290</xm:f>
          </x14:formula1>
          <xm:sqref>WBV524295:WBV524318</xm:sqref>
        </x14:dataValidation>
        <x14:dataValidation type="list" allowBlank="1" showInputMessage="1" showErrorMessage="1" xr:uid="{DB34AD3B-B408-4EF2-B2DF-99C18F4D8EF4}">
          <x14:formula1>
            <xm:f>項目!A4:$WLI$524290</xm:f>
          </x14:formula1>
          <xm:sqref>WLR524295:WLR524318</xm:sqref>
        </x14:dataValidation>
        <x14:dataValidation type="list" allowBlank="1" showInputMessage="1" showErrorMessage="1" xr:uid="{5ED6CBAF-6355-4E26-BD8C-379670F4EEDF}">
          <x14:formula1>
            <xm:f>項目!A4:$WVE$524290</xm:f>
          </x14:formula1>
          <xm:sqref>WVN524295:WVN524318</xm:sqref>
        </x14:dataValidation>
        <x14:dataValidation type="list" allowBlank="1" showInputMessage="1" showErrorMessage="1" xr:uid="{06269461-5373-4092-A08E-F80F1CD1D86B}">
          <x14:formula1>
            <xm:f>項目!A4:$IS$589826</xm:f>
          </x14:formula1>
          <xm:sqref>JB589831:JB589854</xm:sqref>
        </x14:dataValidation>
        <x14:dataValidation type="list" allowBlank="1" showInputMessage="1" showErrorMessage="1" xr:uid="{1D87E1DA-CBBD-4BC5-B737-11DD8D093B33}">
          <x14:formula1>
            <xm:f>項目!A4:$SO$589826</xm:f>
          </x14:formula1>
          <xm:sqref>SX589831:SX589854</xm:sqref>
        </x14:dataValidation>
        <x14:dataValidation type="list" allowBlank="1" showInputMessage="1" showErrorMessage="1" xr:uid="{70927D6B-C598-4A75-9E35-0BC1D412F01F}">
          <x14:formula1>
            <xm:f>項目!A4:$ACK$589826</xm:f>
          </x14:formula1>
          <xm:sqref>ACT589831:ACT589854</xm:sqref>
        </x14:dataValidation>
        <x14:dataValidation type="list" allowBlank="1" showInputMessage="1" showErrorMessage="1" xr:uid="{12DF72DA-AA3D-4508-8BE2-6BDB0F1F404C}">
          <x14:formula1>
            <xm:f>項目!A4:$AMG$589826</xm:f>
          </x14:formula1>
          <xm:sqref>AMP589831:AMP589854</xm:sqref>
        </x14:dataValidation>
        <x14:dataValidation type="list" allowBlank="1" showInputMessage="1" showErrorMessage="1" xr:uid="{626A7CC4-237A-41C9-A0AE-F9C73AE8BADF}">
          <x14:formula1>
            <xm:f>項目!A4:$AWC$589826</xm:f>
          </x14:formula1>
          <xm:sqref>AWL589831:AWL589854</xm:sqref>
        </x14:dataValidation>
        <x14:dataValidation type="list" allowBlank="1" showInputMessage="1" showErrorMessage="1" xr:uid="{183665FD-7833-453B-9F16-F671E7F72663}">
          <x14:formula1>
            <xm:f>項目!A4:$BFY$589826</xm:f>
          </x14:formula1>
          <xm:sqref>BGH589831:BGH589854</xm:sqref>
        </x14:dataValidation>
        <x14:dataValidation type="list" allowBlank="1" showInputMessage="1" showErrorMessage="1" xr:uid="{BFB4BD21-B77D-4D04-9292-C7BCCD1398D4}">
          <x14:formula1>
            <xm:f>項目!A4:$BPU$589826</xm:f>
          </x14:formula1>
          <xm:sqref>BQD589831:BQD589854</xm:sqref>
        </x14:dataValidation>
        <x14:dataValidation type="list" allowBlank="1" showInputMessage="1" showErrorMessage="1" xr:uid="{6B04D14C-66D0-46F1-A4DB-700814A7C208}">
          <x14:formula1>
            <xm:f>項目!A4:$BZQ$589826</xm:f>
          </x14:formula1>
          <xm:sqref>BZZ589831:BZZ589854</xm:sqref>
        </x14:dataValidation>
        <x14:dataValidation type="list" allowBlank="1" showInputMessage="1" showErrorMessage="1" xr:uid="{48525ADD-8E11-4582-AE49-8EE63C4B70CF}">
          <x14:formula1>
            <xm:f>項目!A4:$CJM$589826</xm:f>
          </x14:formula1>
          <xm:sqref>CJV589831:CJV589854</xm:sqref>
        </x14:dataValidation>
        <x14:dataValidation type="list" allowBlank="1" showInputMessage="1" showErrorMessage="1" xr:uid="{6D64A013-690F-4064-AAB1-6CAC8CC7D95B}">
          <x14:formula1>
            <xm:f>項目!A4:$CTI$589826</xm:f>
          </x14:formula1>
          <xm:sqref>CTR589831:CTR589854</xm:sqref>
        </x14:dataValidation>
        <x14:dataValidation type="list" allowBlank="1" showInputMessage="1" showErrorMessage="1" xr:uid="{E946905A-4F35-45A7-B6C7-9B89BE9A1952}">
          <x14:formula1>
            <xm:f>項目!A4:$DDE$589826</xm:f>
          </x14:formula1>
          <xm:sqref>DDN589831:DDN589854</xm:sqref>
        </x14:dataValidation>
        <x14:dataValidation type="list" allowBlank="1" showInputMessage="1" showErrorMessage="1" xr:uid="{896894F6-D010-4C49-9221-7D4A4B89803F}">
          <x14:formula1>
            <xm:f>項目!A4:$DNA$589826</xm:f>
          </x14:formula1>
          <xm:sqref>DNJ589831:DNJ589854</xm:sqref>
        </x14:dataValidation>
        <x14:dataValidation type="list" allowBlank="1" showInputMessage="1" showErrorMessage="1" xr:uid="{31917C5C-9591-40D7-B7B9-DE45BDEEE535}">
          <x14:formula1>
            <xm:f>項目!A4:$DWW$589826</xm:f>
          </x14:formula1>
          <xm:sqref>DXF589831:DXF589854</xm:sqref>
        </x14:dataValidation>
        <x14:dataValidation type="list" allowBlank="1" showInputMessage="1" showErrorMessage="1" xr:uid="{947EA7FE-4E91-4EDD-B969-B78544DD6392}">
          <x14:formula1>
            <xm:f>項目!A4:$EGS$589826</xm:f>
          </x14:formula1>
          <xm:sqref>EHB589831:EHB589854</xm:sqref>
        </x14:dataValidation>
        <x14:dataValidation type="list" allowBlank="1" showInputMessage="1" showErrorMessage="1" xr:uid="{7781C668-F0F0-4E9E-877E-448E560361F9}">
          <x14:formula1>
            <xm:f>項目!A4:$EQO$589826</xm:f>
          </x14:formula1>
          <xm:sqref>EQX589831:EQX589854</xm:sqref>
        </x14:dataValidation>
        <x14:dataValidation type="list" allowBlank="1" showInputMessage="1" showErrorMessage="1" xr:uid="{83CF3F47-5B54-49DE-848B-5FE717DD2F2A}">
          <x14:formula1>
            <xm:f>項目!A4:$FAK$589826</xm:f>
          </x14:formula1>
          <xm:sqref>FAT589831:FAT589854</xm:sqref>
        </x14:dataValidation>
        <x14:dataValidation type="list" allowBlank="1" showInputMessage="1" showErrorMessage="1" xr:uid="{00F9D639-793E-4820-8E71-36BFA2A1D037}">
          <x14:formula1>
            <xm:f>項目!A4:$FKG$589826</xm:f>
          </x14:formula1>
          <xm:sqref>FKP589831:FKP589854</xm:sqref>
        </x14:dataValidation>
        <x14:dataValidation type="list" allowBlank="1" showInputMessage="1" showErrorMessage="1" xr:uid="{AD3BBA9C-D939-4648-8F32-557F6E9FF89F}">
          <x14:formula1>
            <xm:f>項目!A4:$FUC$589826</xm:f>
          </x14:formula1>
          <xm:sqref>FUL589831:FUL589854</xm:sqref>
        </x14:dataValidation>
        <x14:dataValidation type="list" allowBlank="1" showInputMessage="1" showErrorMessage="1" xr:uid="{99871D90-E701-4C3E-90E2-ABF890157BEF}">
          <x14:formula1>
            <xm:f>項目!A4:$GDY$589826</xm:f>
          </x14:formula1>
          <xm:sqref>GEH589831:GEH589854</xm:sqref>
        </x14:dataValidation>
        <x14:dataValidation type="list" allowBlank="1" showInputMessage="1" showErrorMessage="1" xr:uid="{7694443E-BD1A-4D25-8ACB-4F958A2A9DB9}">
          <x14:formula1>
            <xm:f>項目!A4:$GNU$589826</xm:f>
          </x14:formula1>
          <xm:sqref>GOD589831:GOD589854</xm:sqref>
        </x14:dataValidation>
        <x14:dataValidation type="list" allowBlank="1" showInputMessage="1" showErrorMessage="1" xr:uid="{CC31F048-2DDB-42E9-B9DB-C8899DE07CF7}">
          <x14:formula1>
            <xm:f>項目!A4:$GXQ$589826</xm:f>
          </x14:formula1>
          <xm:sqref>GXZ589831:GXZ589854</xm:sqref>
        </x14:dataValidation>
        <x14:dataValidation type="list" allowBlank="1" showInputMessage="1" showErrorMessage="1" xr:uid="{2540FA2F-146B-44EB-869E-658C5744392A}">
          <x14:formula1>
            <xm:f>項目!A4:$HHM$589826</xm:f>
          </x14:formula1>
          <xm:sqref>HHV589831:HHV589854</xm:sqref>
        </x14:dataValidation>
        <x14:dataValidation type="list" allowBlank="1" showInputMessage="1" showErrorMessage="1" xr:uid="{E80D6756-4D7D-4149-84D9-30A9A8BA2989}">
          <x14:formula1>
            <xm:f>項目!A4:$HRI$589826</xm:f>
          </x14:formula1>
          <xm:sqref>HRR589831:HRR589854</xm:sqref>
        </x14:dataValidation>
        <x14:dataValidation type="list" allowBlank="1" showInputMessage="1" showErrorMessage="1" xr:uid="{FD3B3AA1-7D99-411C-A2A6-140C7E771CB9}">
          <x14:formula1>
            <xm:f>項目!A4:$IBE$589826</xm:f>
          </x14:formula1>
          <xm:sqref>IBN589831:IBN589854</xm:sqref>
        </x14:dataValidation>
        <x14:dataValidation type="list" allowBlank="1" showInputMessage="1" showErrorMessage="1" xr:uid="{B20689E0-F42C-403E-9B8A-7B1CCF855A41}">
          <x14:formula1>
            <xm:f>項目!A4:$ILA$589826</xm:f>
          </x14:formula1>
          <xm:sqref>ILJ589831:ILJ589854</xm:sqref>
        </x14:dataValidation>
        <x14:dataValidation type="list" allowBlank="1" showInputMessage="1" showErrorMessage="1" xr:uid="{63BDB3E4-2931-48BF-9E26-695845BE0EA1}">
          <x14:formula1>
            <xm:f>項目!A4:$IUW$589826</xm:f>
          </x14:formula1>
          <xm:sqref>IVF589831:IVF589854</xm:sqref>
        </x14:dataValidation>
        <x14:dataValidation type="list" allowBlank="1" showInputMessage="1" showErrorMessage="1" xr:uid="{5DBDF8FF-AD27-4082-BFC5-B70DD95CB4B8}">
          <x14:formula1>
            <xm:f>項目!A4:$JES$589826</xm:f>
          </x14:formula1>
          <xm:sqref>JFB589831:JFB589854</xm:sqref>
        </x14:dataValidation>
        <x14:dataValidation type="list" allowBlank="1" showInputMessage="1" showErrorMessage="1" xr:uid="{42DFD4DA-0B1D-4018-B78A-DDC5175D792D}">
          <x14:formula1>
            <xm:f>項目!A4:$JOO$589826</xm:f>
          </x14:formula1>
          <xm:sqref>JOX589831:JOX589854</xm:sqref>
        </x14:dataValidation>
        <x14:dataValidation type="list" allowBlank="1" showInputMessage="1" showErrorMessage="1" xr:uid="{59BA520A-48CA-44F2-BCE6-2CAAF778657C}">
          <x14:formula1>
            <xm:f>項目!A4:$JYK$589826</xm:f>
          </x14:formula1>
          <xm:sqref>JYT589831:JYT589854</xm:sqref>
        </x14:dataValidation>
        <x14:dataValidation type="list" allowBlank="1" showInputMessage="1" showErrorMessage="1" xr:uid="{020D4715-467F-4B88-848F-C45A8E20C1FE}">
          <x14:formula1>
            <xm:f>項目!A4:$KIG$589826</xm:f>
          </x14:formula1>
          <xm:sqref>KIP589831:KIP589854</xm:sqref>
        </x14:dataValidation>
        <x14:dataValidation type="list" allowBlank="1" showInputMessage="1" showErrorMessage="1" xr:uid="{4A4A7DFA-F9E7-4096-A88B-15C09D0AA9C8}">
          <x14:formula1>
            <xm:f>項目!A4:$KSC$589826</xm:f>
          </x14:formula1>
          <xm:sqref>KSL589831:KSL589854</xm:sqref>
        </x14:dataValidation>
        <x14:dataValidation type="list" allowBlank="1" showInputMessage="1" showErrorMessage="1" xr:uid="{0039EF21-A8D3-49CD-8596-0BE40D7C9892}">
          <x14:formula1>
            <xm:f>項目!A4:$LBY$589826</xm:f>
          </x14:formula1>
          <xm:sqref>LCH589831:LCH589854</xm:sqref>
        </x14:dataValidation>
        <x14:dataValidation type="list" allowBlank="1" showInputMessage="1" showErrorMessage="1" xr:uid="{677A8B47-7899-4C01-8EFF-B0BF2C77ACA8}">
          <x14:formula1>
            <xm:f>項目!A4:$LLU$589826</xm:f>
          </x14:formula1>
          <xm:sqref>LMD589831:LMD589854</xm:sqref>
        </x14:dataValidation>
        <x14:dataValidation type="list" allowBlank="1" showInputMessage="1" showErrorMessage="1" xr:uid="{2EB60DB0-FBE6-4A3B-BC67-0A383DBC3F08}">
          <x14:formula1>
            <xm:f>項目!A4:$LVQ$589826</xm:f>
          </x14:formula1>
          <xm:sqref>LVZ589831:LVZ589854</xm:sqref>
        </x14:dataValidation>
        <x14:dataValidation type="list" allowBlank="1" showInputMessage="1" showErrorMessage="1" xr:uid="{933B7243-DA3D-4E0C-AC91-022ED4023F83}">
          <x14:formula1>
            <xm:f>項目!A4:$MFM$589826</xm:f>
          </x14:formula1>
          <xm:sqref>MFV589831:MFV589854</xm:sqref>
        </x14:dataValidation>
        <x14:dataValidation type="list" allowBlank="1" showInputMessage="1" showErrorMessage="1" xr:uid="{2986F541-9297-4582-A31D-6A032B19BA2E}">
          <x14:formula1>
            <xm:f>項目!A4:$MPI$589826</xm:f>
          </x14:formula1>
          <xm:sqref>MPR589831:MPR589854</xm:sqref>
        </x14:dataValidation>
        <x14:dataValidation type="list" allowBlank="1" showInputMessage="1" showErrorMessage="1" xr:uid="{B0F8DD8B-9601-4C3E-ACA1-8758B3699670}">
          <x14:formula1>
            <xm:f>項目!A4:$MZE$589826</xm:f>
          </x14:formula1>
          <xm:sqref>MZN589831:MZN589854</xm:sqref>
        </x14:dataValidation>
        <x14:dataValidation type="list" allowBlank="1" showInputMessage="1" showErrorMessage="1" xr:uid="{74F00528-3D1D-4BDF-97D5-8A97870B89C2}">
          <x14:formula1>
            <xm:f>項目!A4:$NJA$589826</xm:f>
          </x14:formula1>
          <xm:sqref>NJJ589831:NJJ589854</xm:sqref>
        </x14:dataValidation>
        <x14:dataValidation type="list" allowBlank="1" showInputMessage="1" showErrorMessage="1" xr:uid="{70289BB8-53B2-4229-AC53-E6256E860F7A}">
          <x14:formula1>
            <xm:f>項目!A4:$NSW$589826</xm:f>
          </x14:formula1>
          <xm:sqref>NTF589831:NTF589854</xm:sqref>
        </x14:dataValidation>
        <x14:dataValidation type="list" allowBlank="1" showInputMessage="1" showErrorMessage="1" xr:uid="{16DC9870-B066-4A4D-BE09-FD58E2B73B1E}">
          <x14:formula1>
            <xm:f>項目!A4:$OCS$589826</xm:f>
          </x14:formula1>
          <xm:sqref>ODB589831:ODB589854</xm:sqref>
        </x14:dataValidation>
        <x14:dataValidation type="list" allowBlank="1" showInputMessage="1" showErrorMessage="1" xr:uid="{13300AAE-A871-499E-93D0-DC6FE6F4FCC2}">
          <x14:formula1>
            <xm:f>項目!A4:$OMO$589826</xm:f>
          </x14:formula1>
          <xm:sqref>OMX589831:OMX589854</xm:sqref>
        </x14:dataValidation>
        <x14:dataValidation type="list" allowBlank="1" showInputMessage="1" showErrorMessage="1" xr:uid="{E47C5177-EA26-44CC-83D9-C0A413B75DFE}">
          <x14:formula1>
            <xm:f>項目!A4:$OWK$589826</xm:f>
          </x14:formula1>
          <xm:sqref>OWT589831:OWT589854</xm:sqref>
        </x14:dataValidation>
        <x14:dataValidation type="list" allowBlank="1" showInputMessage="1" showErrorMessage="1" xr:uid="{1EE9D8BE-86E4-4E34-9C62-A0F12F143195}">
          <x14:formula1>
            <xm:f>項目!A4:$PGG$589826</xm:f>
          </x14:formula1>
          <xm:sqref>PGP589831:PGP589854</xm:sqref>
        </x14:dataValidation>
        <x14:dataValidation type="list" allowBlank="1" showInputMessage="1" showErrorMessage="1" xr:uid="{84753837-4130-49CC-84D3-8621867E861E}">
          <x14:formula1>
            <xm:f>項目!A4:$PQC$589826</xm:f>
          </x14:formula1>
          <xm:sqref>PQL589831:PQL589854</xm:sqref>
        </x14:dataValidation>
        <x14:dataValidation type="list" allowBlank="1" showInputMessage="1" showErrorMessage="1" xr:uid="{25CF6C6A-E3C2-4AF6-A5DB-CC873258EC3A}">
          <x14:formula1>
            <xm:f>項目!A4:$PZY$589826</xm:f>
          </x14:formula1>
          <xm:sqref>QAH589831:QAH589854</xm:sqref>
        </x14:dataValidation>
        <x14:dataValidation type="list" allowBlank="1" showInputMessage="1" showErrorMessage="1" xr:uid="{9BFF9598-58E4-4FF1-B01E-3695908CC1DC}">
          <x14:formula1>
            <xm:f>項目!A4:$QJU$589826</xm:f>
          </x14:formula1>
          <xm:sqref>QKD589831:QKD589854</xm:sqref>
        </x14:dataValidation>
        <x14:dataValidation type="list" allowBlank="1" showInputMessage="1" showErrorMessage="1" xr:uid="{D6359A3F-F13B-4AD7-B0D7-7E3E1403AB36}">
          <x14:formula1>
            <xm:f>項目!A4:$QTQ$589826</xm:f>
          </x14:formula1>
          <xm:sqref>QTZ589831:QTZ589854</xm:sqref>
        </x14:dataValidation>
        <x14:dataValidation type="list" allowBlank="1" showInputMessage="1" showErrorMessage="1" xr:uid="{16290581-B722-45BB-8F5A-674BD2E4F476}">
          <x14:formula1>
            <xm:f>項目!A4:$RDM$589826</xm:f>
          </x14:formula1>
          <xm:sqref>RDV589831:RDV589854</xm:sqref>
        </x14:dataValidation>
        <x14:dataValidation type="list" allowBlank="1" showInputMessage="1" showErrorMessage="1" xr:uid="{23D19946-5C20-473C-A7C2-73643B284EF2}">
          <x14:formula1>
            <xm:f>項目!A4:$RNI$589826</xm:f>
          </x14:formula1>
          <xm:sqref>RNR589831:RNR589854</xm:sqref>
        </x14:dataValidation>
        <x14:dataValidation type="list" allowBlank="1" showInputMessage="1" showErrorMessage="1" xr:uid="{DB560E2F-F591-4180-BCF5-1B845CD0AE3A}">
          <x14:formula1>
            <xm:f>項目!A4:$RXE$589826</xm:f>
          </x14:formula1>
          <xm:sqref>RXN589831:RXN589854</xm:sqref>
        </x14:dataValidation>
        <x14:dataValidation type="list" allowBlank="1" showInputMessage="1" showErrorMessage="1" xr:uid="{17B0BABB-2AA1-4852-8F26-29EC9CD443D0}">
          <x14:formula1>
            <xm:f>項目!A4:$SHA$589826</xm:f>
          </x14:formula1>
          <xm:sqref>SHJ589831:SHJ589854</xm:sqref>
        </x14:dataValidation>
        <x14:dataValidation type="list" allowBlank="1" showInputMessage="1" showErrorMessage="1" xr:uid="{378AC4E4-84E7-4359-B9A8-C5436CFE282E}">
          <x14:formula1>
            <xm:f>項目!A4:$SQW$589826</xm:f>
          </x14:formula1>
          <xm:sqref>SRF589831:SRF589854</xm:sqref>
        </x14:dataValidation>
        <x14:dataValidation type="list" allowBlank="1" showInputMessage="1" showErrorMessage="1" xr:uid="{86601C21-62F5-42AD-8E53-959BE53F4D74}">
          <x14:formula1>
            <xm:f>項目!A4:$TAS$589826</xm:f>
          </x14:formula1>
          <xm:sqref>TBB589831:TBB589854</xm:sqref>
        </x14:dataValidation>
        <x14:dataValidation type="list" allowBlank="1" showInputMessage="1" showErrorMessage="1" xr:uid="{577D7042-F63C-449F-BCCC-E17B89BA5675}">
          <x14:formula1>
            <xm:f>項目!A4:$TKO$589826</xm:f>
          </x14:formula1>
          <xm:sqref>TKX589831:TKX589854</xm:sqref>
        </x14:dataValidation>
        <x14:dataValidation type="list" allowBlank="1" showInputMessage="1" showErrorMessage="1" xr:uid="{23233F52-2569-4FE7-B546-FB8281974C4D}">
          <x14:formula1>
            <xm:f>項目!A4:$TUK$589826</xm:f>
          </x14:formula1>
          <xm:sqref>TUT589831:TUT589854</xm:sqref>
        </x14:dataValidation>
        <x14:dataValidation type="list" allowBlank="1" showInputMessage="1" showErrorMessage="1" xr:uid="{479EE180-E87C-4319-A457-87BEB674B4F3}">
          <x14:formula1>
            <xm:f>項目!A4:$UEG$589826</xm:f>
          </x14:formula1>
          <xm:sqref>UEP589831:UEP589854</xm:sqref>
        </x14:dataValidation>
        <x14:dataValidation type="list" allowBlank="1" showInputMessage="1" showErrorMessage="1" xr:uid="{DAD0A6CE-70B2-400B-9403-90C81C5D13CF}">
          <x14:formula1>
            <xm:f>項目!A4:$UOC$589826</xm:f>
          </x14:formula1>
          <xm:sqref>UOL589831:UOL589854</xm:sqref>
        </x14:dataValidation>
        <x14:dataValidation type="list" allowBlank="1" showInputMessage="1" showErrorMessage="1" xr:uid="{D0D2D05E-D21D-4771-9620-83F5B4D8FA32}">
          <x14:formula1>
            <xm:f>項目!A4:$UXY$589826</xm:f>
          </x14:formula1>
          <xm:sqref>UYH589831:UYH589854</xm:sqref>
        </x14:dataValidation>
        <x14:dataValidation type="list" allowBlank="1" showInputMessage="1" showErrorMessage="1" xr:uid="{7F85F75F-B84C-44DB-8E8C-25B71DF861DD}">
          <x14:formula1>
            <xm:f>項目!A4:$VHU$589826</xm:f>
          </x14:formula1>
          <xm:sqref>VID589831:VID589854</xm:sqref>
        </x14:dataValidation>
        <x14:dataValidation type="list" allowBlank="1" showInputMessage="1" showErrorMessage="1" xr:uid="{C897A794-713A-40D4-A8FA-A71A18D4448E}">
          <x14:formula1>
            <xm:f>項目!A4:$VRQ$589826</xm:f>
          </x14:formula1>
          <xm:sqref>VRZ589831:VRZ589854</xm:sqref>
        </x14:dataValidation>
        <x14:dataValidation type="list" allowBlank="1" showInputMessage="1" showErrorMessage="1" xr:uid="{DCAA8650-F208-460E-A997-0E9F8ED0ABCE}">
          <x14:formula1>
            <xm:f>項目!A4:$WBM$589826</xm:f>
          </x14:formula1>
          <xm:sqref>WBV589831:WBV589854</xm:sqref>
        </x14:dataValidation>
        <x14:dataValidation type="list" allowBlank="1" showInputMessage="1" showErrorMessage="1" xr:uid="{D2C7EB8E-6A50-4383-A081-0A23D2EB99C3}">
          <x14:formula1>
            <xm:f>項目!A4:$WLI$589826</xm:f>
          </x14:formula1>
          <xm:sqref>WLR589831:WLR589854</xm:sqref>
        </x14:dataValidation>
        <x14:dataValidation type="list" allowBlank="1" showInputMessage="1" showErrorMessage="1" xr:uid="{85BB9F5E-245A-4A56-A372-456CE73F8BFF}">
          <x14:formula1>
            <xm:f>項目!A4:$WVE$589826</xm:f>
          </x14:formula1>
          <xm:sqref>WVN589831:WVN589854</xm:sqref>
        </x14:dataValidation>
        <x14:dataValidation type="list" allowBlank="1" showInputMessage="1" showErrorMessage="1" xr:uid="{CF63F166-1DE7-4F96-9D31-60D9B2C03D38}">
          <x14:formula1>
            <xm:f>項目!A4:$IS$655362</xm:f>
          </x14:formula1>
          <xm:sqref>JB655367:JB655390</xm:sqref>
        </x14:dataValidation>
        <x14:dataValidation type="list" allowBlank="1" showInputMessage="1" showErrorMessage="1" xr:uid="{00280CAE-7806-4DFF-AC67-350380C8456A}">
          <x14:formula1>
            <xm:f>項目!A4:$SO$655362</xm:f>
          </x14:formula1>
          <xm:sqref>SX655367:SX655390</xm:sqref>
        </x14:dataValidation>
        <x14:dataValidation type="list" allowBlank="1" showInputMessage="1" showErrorMessage="1" xr:uid="{19EFD64F-B824-4888-8FE9-17CC046A35B4}">
          <x14:formula1>
            <xm:f>項目!A4:$ACK$655362</xm:f>
          </x14:formula1>
          <xm:sqref>ACT655367:ACT655390</xm:sqref>
        </x14:dataValidation>
        <x14:dataValidation type="list" allowBlank="1" showInputMessage="1" showErrorMessage="1" xr:uid="{236C8C38-D0AA-4D35-8891-4817C8A64260}">
          <x14:formula1>
            <xm:f>項目!A4:$AMG$655362</xm:f>
          </x14:formula1>
          <xm:sqref>AMP655367:AMP655390</xm:sqref>
        </x14:dataValidation>
        <x14:dataValidation type="list" allowBlank="1" showInputMessage="1" showErrorMessage="1" xr:uid="{34AB226A-4D5B-437A-A5C6-1D37B76B0905}">
          <x14:formula1>
            <xm:f>項目!A4:$AWC$655362</xm:f>
          </x14:formula1>
          <xm:sqref>AWL655367:AWL655390</xm:sqref>
        </x14:dataValidation>
        <x14:dataValidation type="list" allowBlank="1" showInputMessage="1" showErrorMessage="1" xr:uid="{2B89A096-BCCC-456D-B5A3-3B62CBAF580C}">
          <x14:formula1>
            <xm:f>項目!A4:$BFY$655362</xm:f>
          </x14:formula1>
          <xm:sqref>BGH655367:BGH655390</xm:sqref>
        </x14:dataValidation>
        <x14:dataValidation type="list" allowBlank="1" showInputMessage="1" showErrorMessage="1" xr:uid="{99240EB2-0AC4-4F53-A096-368CA93D9902}">
          <x14:formula1>
            <xm:f>項目!A4:$BPU$655362</xm:f>
          </x14:formula1>
          <xm:sqref>BQD655367:BQD655390</xm:sqref>
        </x14:dataValidation>
        <x14:dataValidation type="list" allowBlank="1" showInputMessage="1" showErrorMessage="1" xr:uid="{E65D690F-D17F-46FC-9867-D78460161C29}">
          <x14:formula1>
            <xm:f>項目!A4:$BZQ$655362</xm:f>
          </x14:formula1>
          <xm:sqref>BZZ655367:BZZ655390</xm:sqref>
        </x14:dataValidation>
        <x14:dataValidation type="list" allowBlank="1" showInputMessage="1" showErrorMessage="1" xr:uid="{8C786637-CFB4-4B4E-BE2E-B8B744F6EAA3}">
          <x14:formula1>
            <xm:f>項目!A4:$CJM$655362</xm:f>
          </x14:formula1>
          <xm:sqref>CJV655367:CJV655390</xm:sqref>
        </x14:dataValidation>
        <x14:dataValidation type="list" allowBlank="1" showInputMessage="1" showErrorMessage="1" xr:uid="{FB095624-BDEC-4237-9780-829DD7CD2DF5}">
          <x14:formula1>
            <xm:f>項目!A4:$CTI$655362</xm:f>
          </x14:formula1>
          <xm:sqref>CTR655367:CTR655390</xm:sqref>
        </x14:dataValidation>
        <x14:dataValidation type="list" allowBlank="1" showInputMessage="1" showErrorMessage="1" xr:uid="{939AD395-7636-4271-B5C6-3B4F52A533C5}">
          <x14:formula1>
            <xm:f>項目!A4:$DDE$655362</xm:f>
          </x14:formula1>
          <xm:sqref>DDN655367:DDN655390</xm:sqref>
        </x14:dataValidation>
        <x14:dataValidation type="list" allowBlank="1" showInputMessage="1" showErrorMessage="1" xr:uid="{4BE2BFCF-79AE-400B-82B5-705A4F93BC53}">
          <x14:formula1>
            <xm:f>項目!A4:$DNA$655362</xm:f>
          </x14:formula1>
          <xm:sqref>DNJ655367:DNJ655390</xm:sqref>
        </x14:dataValidation>
        <x14:dataValidation type="list" allowBlank="1" showInputMessage="1" showErrorMessage="1" xr:uid="{F8B23925-53E0-49E8-A6DA-DD4284F77882}">
          <x14:formula1>
            <xm:f>項目!A4:$DWW$655362</xm:f>
          </x14:formula1>
          <xm:sqref>DXF655367:DXF655390</xm:sqref>
        </x14:dataValidation>
        <x14:dataValidation type="list" allowBlank="1" showInputMessage="1" showErrorMessage="1" xr:uid="{135E108E-3085-404D-AB07-F5338CB2794A}">
          <x14:formula1>
            <xm:f>項目!A4:$EGS$655362</xm:f>
          </x14:formula1>
          <xm:sqref>EHB655367:EHB655390</xm:sqref>
        </x14:dataValidation>
        <x14:dataValidation type="list" allowBlank="1" showInputMessage="1" showErrorMessage="1" xr:uid="{681D7502-4A60-4342-B298-FCE160931639}">
          <x14:formula1>
            <xm:f>項目!A4:$EQO$655362</xm:f>
          </x14:formula1>
          <xm:sqref>EQX655367:EQX655390</xm:sqref>
        </x14:dataValidation>
        <x14:dataValidation type="list" allowBlank="1" showInputMessage="1" showErrorMessage="1" xr:uid="{7F7AA32B-7D1F-45A1-8846-51031021438E}">
          <x14:formula1>
            <xm:f>項目!A4:$FAK$655362</xm:f>
          </x14:formula1>
          <xm:sqref>FAT655367:FAT655390</xm:sqref>
        </x14:dataValidation>
        <x14:dataValidation type="list" allowBlank="1" showInputMessage="1" showErrorMessage="1" xr:uid="{74ADFFF1-547A-43B8-87F9-5E0EC2D4D309}">
          <x14:formula1>
            <xm:f>項目!A4:$FKG$655362</xm:f>
          </x14:formula1>
          <xm:sqref>FKP655367:FKP655390</xm:sqref>
        </x14:dataValidation>
        <x14:dataValidation type="list" allowBlank="1" showInputMessage="1" showErrorMessage="1" xr:uid="{B90F5494-294F-4DA2-9458-CD74F6C13F8E}">
          <x14:formula1>
            <xm:f>項目!A4:$FUC$655362</xm:f>
          </x14:formula1>
          <xm:sqref>FUL655367:FUL655390</xm:sqref>
        </x14:dataValidation>
        <x14:dataValidation type="list" allowBlank="1" showInputMessage="1" showErrorMessage="1" xr:uid="{1BE48FE2-BC17-4F21-BEA7-84F293523108}">
          <x14:formula1>
            <xm:f>項目!A4:$GDY$655362</xm:f>
          </x14:formula1>
          <xm:sqref>GEH655367:GEH655390</xm:sqref>
        </x14:dataValidation>
        <x14:dataValidation type="list" allowBlank="1" showInputMessage="1" showErrorMessage="1" xr:uid="{A64A5821-4398-4495-8F04-B99F1532B0DA}">
          <x14:formula1>
            <xm:f>項目!A4:$GNU$655362</xm:f>
          </x14:formula1>
          <xm:sqref>GOD655367:GOD655390</xm:sqref>
        </x14:dataValidation>
        <x14:dataValidation type="list" allowBlank="1" showInputMessage="1" showErrorMessage="1" xr:uid="{43774ACC-DDF8-411D-AD5B-E16A239E67B6}">
          <x14:formula1>
            <xm:f>項目!A4:$GXQ$655362</xm:f>
          </x14:formula1>
          <xm:sqref>GXZ655367:GXZ655390</xm:sqref>
        </x14:dataValidation>
        <x14:dataValidation type="list" allowBlank="1" showInputMessage="1" showErrorMessage="1" xr:uid="{8CC325EF-13D0-4714-94DE-DFDB6B845279}">
          <x14:formula1>
            <xm:f>項目!A4:$HHM$655362</xm:f>
          </x14:formula1>
          <xm:sqref>HHV655367:HHV655390</xm:sqref>
        </x14:dataValidation>
        <x14:dataValidation type="list" allowBlank="1" showInputMessage="1" showErrorMessage="1" xr:uid="{A12DC141-472D-4238-BDF5-52928B8D4E32}">
          <x14:formula1>
            <xm:f>項目!A4:$HRI$655362</xm:f>
          </x14:formula1>
          <xm:sqref>HRR655367:HRR655390</xm:sqref>
        </x14:dataValidation>
        <x14:dataValidation type="list" allowBlank="1" showInputMessage="1" showErrorMessage="1" xr:uid="{7E3E609A-B93F-4A96-8739-04D3AD195A92}">
          <x14:formula1>
            <xm:f>項目!A4:$IBE$655362</xm:f>
          </x14:formula1>
          <xm:sqref>IBN655367:IBN655390</xm:sqref>
        </x14:dataValidation>
        <x14:dataValidation type="list" allowBlank="1" showInputMessage="1" showErrorMessage="1" xr:uid="{2101F3B1-E357-4191-B9B5-18B885261805}">
          <x14:formula1>
            <xm:f>項目!A4:$ILA$655362</xm:f>
          </x14:formula1>
          <xm:sqref>ILJ655367:ILJ655390</xm:sqref>
        </x14:dataValidation>
        <x14:dataValidation type="list" allowBlank="1" showInputMessage="1" showErrorMessage="1" xr:uid="{3FB1D0F3-DF8F-4512-88F8-B944C03F06DA}">
          <x14:formula1>
            <xm:f>項目!A4:$IUW$655362</xm:f>
          </x14:formula1>
          <xm:sqref>IVF655367:IVF655390</xm:sqref>
        </x14:dataValidation>
        <x14:dataValidation type="list" allowBlank="1" showInputMessage="1" showErrorMessage="1" xr:uid="{B65E70EB-E581-4337-80F3-B7016BFD82AD}">
          <x14:formula1>
            <xm:f>項目!A4:$JES$655362</xm:f>
          </x14:formula1>
          <xm:sqref>JFB655367:JFB655390</xm:sqref>
        </x14:dataValidation>
        <x14:dataValidation type="list" allowBlank="1" showInputMessage="1" showErrorMessage="1" xr:uid="{04DE8124-9422-4ACC-9A5B-0D9D8DF9888F}">
          <x14:formula1>
            <xm:f>項目!A4:$JOO$655362</xm:f>
          </x14:formula1>
          <xm:sqref>JOX655367:JOX655390</xm:sqref>
        </x14:dataValidation>
        <x14:dataValidation type="list" allowBlank="1" showInputMessage="1" showErrorMessage="1" xr:uid="{FC020E82-54B1-43D8-B4E7-21AEB74EB48E}">
          <x14:formula1>
            <xm:f>項目!A4:$JYK$655362</xm:f>
          </x14:formula1>
          <xm:sqref>JYT655367:JYT655390</xm:sqref>
        </x14:dataValidation>
        <x14:dataValidation type="list" allowBlank="1" showInputMessage="1" showErrorMessage="1" xr:uid="{C8FE8BA3-056C-444D-8812-64B110EDD6AD}">
          <x14:formula1>
            <xm:f>項目!A4:$KIG$655362</xm:f>
          </x14:formula1>
          <xm:sqref>KIP655367:KIP655390</xm:sqref>
        </x14:dataValidation>
        <x14:dataValidation type="list" allowBlank="1" showInputMessage="1" showErrorMessage="1" xr:uid="{2E3C5E87-A5B5-4F74-AFA0-04E0284B93EF}">
          <x14:formula1>
            <xm:f>項目!A4:$KSC$655362</xm:f>
          </x14:formula1>
          <xm:sqref>KSL655367:KSL655390</xm:sqref>
        </x14:dataValidation>
        <x14:dataValidation type="list" allowBlank="1" showInputMessage="1" showErrorMessage="1" xr:uid="{6FFFB854-17BF-4E6E-85E8-E816A6DE3216}">
          <x14:formula1>
            <xm:f>項目!A4:$LBY$655362</xm:f>
          </x14:formula1>
          <xm:sqref>LCH655367:LCH655390</xm:sqref>
        </x14:dataValidation>
        <x14:dataValidation type="list" allowBlank="1" showInputMessage="1" showErrorMessage="1" xr:uid="{FA62906F-D2F0-48A4-A56E-012395EB58E2}">
          <x14:formula1>
            <xm:f>項目!A4:$LLU$655362</xm:f>
          </x14:formula1>
          <xm:sqref>LMD655367:LMD655390</xm:sqref>
        </x14:dataValidation>
        <x14:dataValidation type="list" allowBlank="1" showInputMessage="1" showErrorMessage="1" xr:uid="{F8BF16C9-4C13-44AB-AFDC-763D59550C5B}">
          <x14:formula1>
            <xm:f>項目!A4:$LVQ$655362</xm:f>
          </x14:formula1>
          <xm:sqref>LVZ655367:LVZ655390</xm:sqref>
        </x14:dataValidation>
        <x14:dataValidation type="list" allowBlank="1" showInputMessage="1" showErrorMessage="1" xr:uid="{1A755D1E-5C73-48D9-9674-9D9F7BA44AB4}">
          <x14:formula1>
            <xm:f>項目!A4:$MFM$655362</xm:f>
          </x14:formula1>
          <xm:sqref>MFV655367:MFV655390</xm:sqref>
        </x14:dataValidation>
        <x14:dataValidation type="list" allowBlank="1" showInputMessage="1" showErrorMessage="1" xr:uid="{24391333-6657-40DC-BD53-82046FD1D2EA}">
          <x14:formula1>
            <xm:f>項目!A4:$MPI$655362</xm:f>
          </x14:formula1>
          <xm:sqref>MPR655367:MPR655390</xm:sqref>
        </x14:dataValidation>
        <x14:dataValidation type="list" allowBlank="1" showInputMessage="1" showErrorMessage="1" xr:uid="{5776753C-5626-4629-B570-481569AE5F02}">
          <x14:formula1>
            <xm:f>項目!A4:$MZE$655362</xm:f>
          </x14:formula1>
          <xm:sqref>MZN655367:MZN655390</xm:sqref>
        </x14:dataValidation>
        <x14:dataValidation type="list" allowBlank="1" showInputMessage="1" showErrorMessage="1" xr:uid="{306AE193-10EE-4C57-9682-2806E35922B9}">
          <x14:formula1>
            <xm:f>項目!A4:$NJA$655362</xm:f>
          </x14:formula1>
          <xm:sqref>NJJ655367:NJJ655390</xm:sqref>
        </x14:dataValidation>
        <x14:dataValidation type="list" allowBlank="1" showInputMessage="1" showErrorMessage="1" xr:uid="{95BA1723-B911-455D-9E0E-C5E623D01643}">
          <x14:formula1>
            <xm:f>項目!A4:$NSW$655362</xm:f>
          </x14:formula1>
          <xm:sqref>NTF655367:NTF655390</xm:sqref>
        </x14:dataValidation>
        <x14:dataValidation type="list" allowBlank="1" showInputMessage="1" showErrorMessage="1" xr:uid="{23AD335A-2E9C-40BB-BC22-17B49DA16F0E}">
          <x14:formula1>
            <xm:f>項目!A4:$OCS$655362</xm:f>
          </x14:formula1>
          <xm:sqref>ODB655367:ODB655390</xm:sqref>
        </x14:dataValidation>
        <x14:dataValidation type="list" allowBlank="1" showInputMessage="1" showErrorMessage="1" xr:uid="{5941AEF9-8F04-47A4-A667-F3FC50029338}">
          <x14:formula1>
            <xm:f>項目!A4:$OMO$655362</xm:f>
          </x14:formula1>
          <xm:sqref>OMX655367:OMX655390</xm:sqref>
        </x14:dataValidation>
        <x14:dataValidation type="list" allowBlank="1" showInputMessage="1" showErrorMessage="1" xr:uid="{F7A4B5CB-9BBE-4345-B9F5-490C89AC0341}">
          <x14:formula1>
            <xm:f>項目!A4:$OWK$655362</xm:f>
          </x14:formula1>
          <xm:sqref>OWT655367:OWT655390</xm:sqref>
        </x14:dataValidation>
        <x14:dataValidation type="list" allowBlank="1" showInputMessage="1" showErrorMessage="1" xr:uid="{E54BB173-FB4A-4E48-86DD-E2C54F35A6AD}">
          <x14:formula1>
            <xm:f>項目!A4:$PGG$655362</xm:f>
          </x14:formula1>
          <xm:sqref>PGP655367:PGP655390</xm:sqref>
        </x14:dataValidation>
        <x14:dataValidation type="list" allowBlank="1" showInputMessage="1" showErrorMessage="1" xr:uid="{B9A5C23E-1E20-40C9-B95E-1586EEBE686A}">
          <x14:formula1>
            <xm:f>項目!A4:$PQC$655362</xm:f>
          </x14:formula1>
          <xm:sqref>PQL655367:PQL655390</xm:sqref>
        </x14:dataValidation>
        <x14:dataValidation type="list" allowBlank="1" showInputMessage="1" showErrorMessage="1" xr:uid="{1302B924-D8F4-49A1-88EE-80EC3EF50E29}">
          <x14:formula1>
            <xm:f>項目!A4:$PZY$655362</xm:f>
          </x14:formula1>
          <xm:sqref>QAH655367:QAH655390</xm:sqref>
        </x14:dataValidation>
        <x14:dataValidation type="list" allowBlank="1" showInputMessage="1" showErrorMessage="1" xr:uid="{D2976E43-C610-460F-AC8B-87EC1E96E06C}">
          <x14:formula1>
            <xm:f>項目!A4:$QJU$655362</xm:f>
          </x14:formula1>
          <xm:sqref>QKD655367:QKD655390</xm:sqref>
        </x14:dataValidation>
        <x14:dataValidation type="list" allowBlank="1" showInputMessage="1" showErrorMessage="1" xr:uid="{4013B6D9-8FA7-441C-8C85-949F1192272B}">
          <x14:formula1>
            <xm:f>項目!A4:$QTQ$655362</xm:f>
          </x14:formula1>
          <xm:sqref>QTZ655367:QTZ655390</xm:sqref>
        </x14:dataValidation>
        <x14:dataValidation type="list" allowBlank="1" showInputMessage="1" showErrorMessage="1" xr:uid="{01B124B6-38E4-458E-8F62-FE695D3B338D}">
          <x14:formula1>
            <xm:f>項目!A4:$RDM$655362</xm:f>
          </x14:formula1>
          <xm:sqref>RDV655367:RDV655390</xm:sqref>
        </x14:dataValidation>
        <x14:dataValidation type="list" allowBlank="1" showInputMessage="1" showErrorMessage="1" xr:uid="{89364C25-FFB4-45BC-8E13-31A82433925A}">
          <x14:formula1>
            <xm:f>項目!A4:$RNI$655362</xm:f>
          </x14:formula1>
          <xm:sqref>RNR655367:RNR655390</xm:sqref>
        </x14:dataValidation>
        <x14:dataValidation type="list" allowBlank="1" showInputMessage="1" showErrorMessage="1" xr:uid="{DAFEEFED-DA12-4C66-AADB-9913DBBD6594}">
          <x14:formula1>
            <xm:f>項目!A4:$RXE$655362</xm:f>
          </x14:formula1>
          <xm:sqref>RXN655367:RXN655390</xm:sqref>
        </x14:dataValidation>
        <x14:dataValidation type="list" allowBlank="1" showInputMessage="1" showErrorMessage="1" xr:uid="{26A08D75-6914-4403-8CC5-47A94A3BE3D7}">
          <x14:formula1>
            <xm:f>項目!A4:$SHA$655362</xm:f>
          </x14:formula1>
          <xm:sqref>SHJ655367:SHJ655390</xm:sqref>
        </x14:dataValidation>
        <x14:dataValidation type="list" allowBlank="1" showInputMessage="1" showErrorMessage="1" xr:uid="{E284189F-BFB1-448D-BD4B-B9DDD797F381}">
          <x14:formula1>
            <xm:f>項目!A4:$SQW$655362</xm:f>
          </x14:formula1>
          <xm:sqref>SRF655367:SRF655390</xm:sqref>
        </x14:dataValidation>
        <x14:dataValidation type="list" allowBlank="1" showInputMessage="1" showErrorMessage="1" xr:uid="{2129297B-E491-46D1-8209-5AE81027DAB4}">
          <x14:formula1>
            <xm:f>項目!A4:$TAS$655362</xm:f>
          </x14:formula1>
          <xm:sqref>TBB655367:TBB655390</xm:sqref>
        </x14:dataValidation>
        <x14:dataValidation type="list" allowBlank="1" showInputMessage="1" showErrorMessage="1" xr:uid="{1B02AB60-3B89-493A-B546-3E5DA9A238B0}">
          <x14:formula1>
            <xm:f>項目!A4:$TKO$655362</xm:f>
          </x14:formula1>
          <xm:sqref>TKX655367:TKX655390</xm:sqref>
        </x14:dataValidation>
        <x14:dataValidation type="list" allowBlank="1" showInputMessage="1" showErrorMessage="1" xr:uid="{CBE089F3-B493-43E0-B084-C4C43B3BFAFD}">
          <x14:formula1>
            <xm:f>項目!A4:$TUK$655362</xm:f>
          </x14:formula1>
          <xm:sqref>TUT655367:TUT655390</xm:sqref>
        </x14:dataValidation>
        <x14:dataValidation type="list" allowBlank="1" showInputMessage="1" showErrorMessage="1" xr:uid="{70C95F4B-3AA9-47AE-ADEA-EBB119A87D06}">
          <x14:formula1>
            <xm:f>項目!A4:$UEG$655362</xm:f>
          </x14:formula1>
          <xm:sqref>UEP655367:UEP655390</xm:sqref>
        </x14:dataValidation>
        <x14:dataValidation type="list" allowBlank="1" showInputMessage="1" showErrorMessage="1" xr:uid="{4A27C3EE-F89A-465A-B09B-5D5E7C5DC6A8}">
          <x14:formula1>
            <xm:f>項目!A4:$UOC$655362</xm:f>
          </x14:formula1>
          <xm:sqref>UOL655367:UOL655390</xm:sqref>
        </x14:dataValidation>
        <x14:dataValidation type="list" allowBlank="1" showInputMessage="1" showErrorMessage="1" xr:uid="{746726C8-1252-49F9-862E-A9D55ED8DD6A}">
          <x14:formula1>
            <xm:f>項目!A4:$UXY$655362</xm:f>
          </x14:formula1>
          <xm:sqref>UYH655367:UYH655390</xm:sqref>
        </x14:dataValidation>
        <x14:dataValidation type="list" allowBlank="1" showInputMessage="1" showErrorMessage="1" xr:uid="{C8C470B3-091E-4230-B6EE-DBA63DC4ED80}">
          <x14:formula1>
            <xm:f>項目!A4:$VHU$655362</xm:f>
          </x14:formula1>
          <xm:sqref>VID655367:VID655390</xm:sqref>
        </x14:dataValidation>
        <x14:dataValidation type="list" allowBlank="1" showInputMessage="1" showErrorMessage="1" xr:uid="{E3632C79-1B25-486D-BD7D-300A7B0B96B6}">
          <x14:formula1>
            <xm:f>項目!A4:$VRQ$655362</xm:f>
          </x14:formula1>
          <xm:sqref>VRZ655367:VRZ655390</xm:sqref>
        </x14:dataValidation>
        <x14:dataValidation type="list" allowBlank="1" showInputMessage="1" showErrorMessage="1" xr:uid="{5E8F4B3D-754F-4FE9-B730-6FFD7BA6C8C4}">
          <x14:formula1>
            <xm:f>項目!A4:$WBM$655362</xm:f>
          </x14:formula1>
          <xm:sqref>WBV655367:WBV655390</xm:sqref>
        </x14:dataValidation>
        <x14:dataValidation type="list" allowBlank="1" showInputMessage="1" showErrorMessage="1" xr:uid="{2FF82097-BBA2-46F4-848F-29B4CFBB9A52}">
          <x14:formula1>
            <xm:f>項目!A4:$WLI$655362</xm:f>
          </x14:formula1>
          <xm:sqref>WLR655367:WLR655390</xm:sqref>
        </x14:dataValidation>
        <x14:dataValidation type="list" allowBlank="1" showInputMessage="1" showErrorMessage="1" xr:uid="{F92C4079-DD81-4A01-B695-D7FAFCD58198}">
          <x14:formula1>
            <xm:f>項目!A4:$WVE$655362</xm:f>
          </x14:formula1>
          <xm:sqref>WVN655367:WVN655390</xm:sqref>
        </x14:dataValidation>
        <x14:dataValidation type="list" allowBlank="1" showInputMessage="1" showErrorMessage="1" xr:uid="{05722401-B020-4E9F-862B-2B7C78DCF523}">
          <x14:formula1>
            <xm:f>項目!A4:$IS$720898</xm:f>
          </x14:formula1>
          <xm:sqref>JB720903:JB720926</xm:sqref>
        </x14:dataValidation>
        <x14:dataValidation type="list" allowBlank="1" showInputMessage="1" showErrorMessage="1" xr:uid="{D5DC79B4-EE11-4C52-9A31-0A12F126013F}">
          <x14:formula1>
            <xm:f>項目!A4:$SO$720898</xm:f>
          </x14:formula1>
          <xm:sqref>SX720903:SX720926</xm:sqref>
        </x14:dataValidation>
        <x14:dataValidation type="list" allowBlank="1" showInputMessage="1" showErrorMessage="1" xr:uid="{213BDEB9-7826-4081-9E67-A0C166214888}">
          <x14:formula1>
            <xm:f>項目!A4:$ACK$720898</xm:f>
          </x14:formula1>
          <xm:sqref>ACT720903:ACT720926</xm:sqref>
        </x14:dataValidation>
        <x14:dataValidation type="list" allowBlank="1" showInputMessage="1" showErrorMessage="1" xr:uid="{847A9FB6-3F49-4E6F-A79E-EFC967F07E91}">
          <x14:formula1>
            <xm:f>項目!A4:$AMG$720898</xm:f>
          </x14:formula1>
          <xm:sqref>AMP720903:AMP720926</xm:sqref>
        </x14:dataValidation>
        <x14:dataValidation type="list" allowBlank="1" showInputMessage="1" showErrorMessage="1" xr:uid="{42B1A81F-74F5-483B-819D-4146D99AA678}">
          <x14:formula1>
            <xm:f>項目!A4:$AWC$720898</xm:f>
          </x14:formula1>
          <xm:sqref>AWL720903:AWL720926</xm:sqref>
        </x14:dataValidation>
        <x14:dataValidation type="list" allowBlank="1" showInputMessage="1" showErrorMessage="1" xr:uid="{729FD67F-96F9-4627-82CF-1F7496F0E658}">
          <x14:formula1>
            <xm:f>項目!A4:$BFY$720898</xm:f>
          </x14:formula1>
          <xm:sqref>BGH720903:BGH720926</xm:sqref>
        </x14:dataValidation>
        <x14:dataValidation type="list" allowBlank="1" showInputMessage="1" showErrorMessage="1" xr:uid="{577DF3C3-9F8E-4E99-A0CD-CF4E43C1BF50}">
          <x14:formula1>
            <xm:f>項目!A4:$BPU$720898</xm:f>
          </x14:formula1>
          <xm:sqref>BQD720903:BQD720926</xm:sqref>
        </x14:dataValidation>
        <x14:dataValidation type="list" allowBlank="1" showInputMessage="1" showErrorMessage="1" xr:uid="{41884DA4-4403-44FF-97E6-6CB78035A9A1}">
          <x14:formula1>
            <xm:f>項目!A4:$BZQ$720898</xm:f>
          </x14:formula1>
          <xm:sqref>BZZ720903:BZZ720926</xm:sqref>
        </x14:dataValidation>
        <x14:dataValidation type="list" allowBlank="1" showInputMessage="1" showErrorMessage="1" xr:uid="{D49735E7-1AD0-4999-9370-A1112F906F10}">
          <x14:formula1>
            <xm:f>項目!A4:$CJM$720898</xm:f>
          </x14:formula1>
          <xm:sqref>CJV720903:CJV720926</xm:sqref>
        </x14:dataValidation>
        <x14:dataValidation type="list" allowBlank="1" showInputMessage="1" showErrorMessage="1" xr:uid="{118348C2-3C52-44F4-8E06-A93C076D98D6}">
          <x14:formula1>
            <xm:f>項目!A4:$CTI$720898</xm:f>
          </x14:formula1>
          <xm:sqref>CTR720903:CTR720926</xm:sqref>
        </x14:dataValidation>
        <x14:dataValidation type="list" allowBlank="1" showInputMessage="1" showErrorMessage="1" xr:uid="{557D9DEA-62A5-40C2-8298-89DAB6F70AD8}">
          <x14:formula1>
            <xm:f>項目!A4:$DDE$720898</xm:f>
          </x14:formula1>
          <xm:sqref>DDN720903:DDN720926</xm:sqref>
        </x14:dataValidation>
        <x14:dataValidation type="list" allowBlank="1" showInputMessage="1" showErrorMessage="1" xr:uid="{0EC5895A-C9AC-465F-B143-7264F1118149}">
          <x14:formula1>
            <xm:f>項目!A4:$DNA$720898</xm:f>
          </x14:formula1>
          <xm:sqref>DNJ720903:DNJ720926</xm:sqref>
        </x14:dataValidation>
        <x14:dataValidation type="list" allowBlank="1" showInputMessage="1" showErrorMessage="1" xr:uid="{0C46DDBA-FD84-4E9B-8475-ED4E71F1F133}">
          <x14:formula1>
            <xm:f>項目!A4:$DWW$720898</xm:f>
          </x14:formula1>
          <xm:sqref>DXF720903:DXF720926</xm:sqref>
        </x14:dataValidation>
        <x14:dataValidation type="list" allowBlank="1" showInputMessage="1" showErrorMessage="1" xr:uid="{26423E5C-A622-445C-83D2-F28B8EEEA1D0}">
          <x14:formula1>
            <xm:f>項目!A4:$EGS$720898</xm:f>
          </x14:formula1>
          <xm:sqref>EHB720903:EHB720926</xm:sqref>
        </x14:dataValidation>
        <x14:dataValidation type="list" allowBlank="1" showInputMessage="1" showErrorMessage="1" xr:uid="{DFD90245-6A59-4DA0-ABDC-B839A6DA72A8}">
          <x14:formula1>
            <xm:f>項目!A4:$EQO$720898</xm:f>
          </x14:formula1>
          <xm:sqref>EQX720903:EQX720926</xm:sqref>
        </x14:dataValidation>
        <x14:dataValidation type="list" allowBlank="1" showInputMessage="1" showErrorMessage="1" xr:uid="{17E69F4B-655C-458D-8877-6C66655DFD9F}">
          <x14:formula1>
            <xm:f>項目!A4:$FAK$720898</xm:f>
          </x14:formula1>
          <xm:sqref>FAT720903:FAT720926</xm:sqref>
        </x14:dataValidation>
        <x14:dataValidation type="list" allowBlank="1" showInputMessage="1" showErrorMessage="1" xr:uid="{0ECA6742-58C8-49AD-A0C6-AE1D31E743C7}">
          <x14:formula1>
            <xm:f>項目!A4:$FKG$720898</xm:f>
          </x14:formula1>
          <xm:sqref>FKP720903:FKP720926</xm:sqref>
        </x14:dataValidation>
        <x14:dataValidation type="list" allowBlank="1" showInputMessage="1" showErrorMessage="1" xr:uid="{8A88B9E3-4D50-45CB-A386-CC36F44B8E09}">
          <x14:formula1>
            <xm:f>項目!A4:$FUC$720898</xm:f>
          </x14:formula1>
          <xm:sqref>FUL720903:FUL720926</xm:sqref>
        </x14:dataValidation>
        <x14:dataValidation type="list" allowBlank="1" showInputMessage="1" showErrorMessage="1" xr:uid="{EE670A86-9960-4B2C-BEF8-C2E126653894}">
          <x14:formula1>
            <xm:f>項目!A4:$GDY$720898</xm:f>
          </x14:formula1>
          <xm:sqref>GEH720903:GEH720926</xm:sqref>
        </x14:dataValidation>
        <x14:dataValidation type="list" allowBlank="1" showInputMessage="1" showErrorMessage="1" xr:uid="{A2EB875F-4BAD-436A-A937-ECE8E40982AF}">
          <x14:formula1>
            <xm:f>項目!A4:$GNU$720898</xm:f>
          </x14:formula1>
          <xm:sqref>GOD720903:GOD720926</xm:sqref>
        </x14:dataValidation>
        <x14:dataValidation type="list" allowBlank="1" showInputMessage="1" showErrorMessage="1" xr:uid="{FA557D6D-2F2C-4ADC-9FA2-BF764752A8C3}">
          <x14:formula1>
            <xm:f>項目!A4:$GXQ$720898</xm:f>
          </x14:formula1>
          <xm:sqref>GXZ720903:GXZ720926</xm:sqref>
        </x14:dataValidation>
        <x14:dataValidation type="list" allowBlank="1" showInputMessage="1" showErrorMessage="1" xr:uid="{C53B6349-43F6-4373-AC9D-FF3972DAE0DE}">
          <x14:formula1>
            <xm:f>項目!A4:$HHM$720898</xm:f>
          </x14:formula1>
          <xm:sqref>HHV720903:HHV720926</xm:sqref>
        </x14:dataValidation>
        <x14:dataValidation type="list" allowBlank="1" showInputMessage="1" showErrorMessage="1" xr:uid="{A807930D-EB48-45BE-95FB-CD78FEFF210B}">
          <x14:formula1>
            <xm:f>項目!A4:$HRI$720898</xm:f>
          </x14:formula1>
          <xm:sqref>HRR720903:HRR720926</xm:sqref>
        </x14:dataValidation>
        <x14:dataValidation type="list" allowBlank="1" showInputMessage="1" showErrorMessage="1" xr:uid="{88B5FF28-45F1-4EB1-AE3C-1D99D2EEE5FA}">
          <x14:formula1>
            <xm:f>項目!A4:$IBE$720898</xm:f>
          </x14:formula1>
          <xm:sqref>IBN720903:IBN720926</xm:sqref>
        </x14:dataValidation>
        <x14:dataValidation type="list" allowBlank="1" showInputMessage="1" showErrorMessage="1" xr:uid="{40C1EFAE-7140-4C91-A1FB-0684DC151628}">
          <x14:formula1>
            <xm:f>項目!A4:$ILA$720898</xm:f>
          </x14:formula1>
          <xm:sqref>ILJ720903:ILJ720926</xm:sqref>
        </x14:dataValidation>
        <x14:dataValidation type="list" allowBlank="1" showInputMessage="1" showErrorMessage="1" xr:uid="{BFB4601C-6D4A-4A1E-8562-130D26E2465E}">
          <x14:formula1>
            <xm:f>項目!A4:$IUW$720898</xm:f>
          </x14:formula1>
          <xm:sqref>IVF720903:IVF720926</xm:sqref>
        </x14:dataValidation>
        <x14:dataValidation type="list" allowBlank="1" showInputMessage="1" showErrorMessage="1" xr:uid="{540272F7-AE49-40B1-9A64-1E3FE2D32C55}">
          <x14:formula1>
            <xm:f>項目!A4:$JES$720898</xm:f>
          </x14:formula1>
          <xm:sqref>JFB720903:JFB720926</xm:sqref>
        </x14:dataValidation>
        <x14:dataValidation type="list" allowBlank="1" showInputMessage="1" showErrorMessage="1" xr:uid="{B96AA7E9-D679-4D01-B147-2D9C109B3F92}">
          <x14:formula1>
            <xm:f>項目!A4:$JOO$720898</xm:f>
          </x14:formula1>
          <xm:sqref>JOX720903:JOX720926</xm:sqref>
        </x14:dataValidation>
        <x14:dataValidation type="list" allowBlank="1" showInputMessage="1" showErrorMessage="1" xr:uid="{858C2CB9-DE8F-4984-8E4E-B2BF25FF22F4}">
          <x14:formula1>
            <xm:f>項目!A4:$JYK$720898</xm:f>
          </x14:formula1>
          <xm:sqref>JYT720903:JYT720926</xm:sqref>
        </x14:dataValidation>
        <x14:dataValidation type="list" allowBlank="1" showInputMessage="1" showErrorMessage="1" xr:uid="{4F066E5E-28AA-498F-806D-7F6A3C6A751F}">
          <x14:formula1>
            <xm:f>項目!A4:$KIG$720898</xm:f>
          </x14:formula1>
          <xm:sqref>KIP720903:KIP720926</xm:sqref>
        </x14:dataValidation>
        <x14:dataValidation type="list" allowBlank="1" showInputMessage="1" showErrorMessage="1" xr:uid="{5B7375AA-1DB1-4257-B7DA-3CD50D7F2223}">
          <x14:formula1>
            <xm:f>項目!A4:$KSC$720898</xm:f>
          </x14:formula1>
          <xm:sqref>KSL720903:KSL720926</xm:sqref>
        </x14:dataValidation>
        <x14:dataValidation type="list" allowBlank="1" showInputMessage="1" showErrorMessage="1" xr:uid="{5C28C7E3-4741-4FA7-9D39-D04BB1372776}">
          <x14:formula1>
            <xm:f>項目!A4:$LBY$720898</xm:f>
          </x14:formula1>
          <xm:sqref>LCH720903:LCH720926</xm:sqref>
        </x14:dataValidation>
        <x14:dataValidation type="list" allowBlank="1" showInputMessage="1" showErrorMessage="1" xr:uid="{B483B70C-1A79-4719-B91D-7DFC5A7EA4A7}">
          <x14:formula1>
            <xm:f>項目!A4:$LLU$720898</xm:f>
          </x14:formula1>
          <xm:sqref>LMD720903:LMD720926</xm:sqref>
        </x14:dataValidation>
        <x14:dataValidation type="list" allowBlank="1" showInputMessage="1" showErrorMessage="1" xr:uid="{392E4AE1-7DFA-4AB8-BC51-6FA246B4FAA8}">
          <x14:formula1>
            <xm:f>項目!A4:$LVQ$720898</xm:f>
          </x14:formula1>
          <xm:sqref>LVZ720903:LVZ720926</xm:sqref>
        </x14:dataValidation>
        <x14:dataValidation type="list" allowBlank="1" showInputMessage="1" showErrorMessage="1" xr:uid="{969FAF70-FA18-49EF-A667-349FF6231B99}">
          <x14:formula1>
            <xm:f>項目!A4:$MFM$720898</xm:f>
          </x14:formula1>
          <xm:sqref>MFV720903:MFV720926</xm:sqref>
        </x14:dataValidation>
        <x14:dataValidation type="list" allowBlank="1" showInputMessage="1" showErrorMessage="1" xr:uid="{FA11DA49-05A5-459A-8F4C-858D79B0CD8F}">
          <x14:formula1>
            <xm:f>項目!A4:$MPI$720898</xm:f>
          </x14:formula1>
          <xm:sqref>MPR720903:MPR720926</xm:sqref>
        </x14:dataValidation>
        <x14:dataValidation type="list" allowBlank="1" showInputMessage="1" showErrorMessage="1" xr:uid="{3BFBDE58-A06A-4888-9C6E-E4525A30C711}">
          <x14:formula1>
            <xm:f>項目!A4:$MZE$720898</xm:f>
          </x14:formula1>
          <xm:sqref>MZN720903:MZN720926</xm:sqref>
        </x14:dataValidation>
        <x14:dataValidation type="list" allowBlank="1" showInputMessage="1" showErrorMessage="1" xr:uid="{7DE04499-D1C8-4F0C-A6FB-C05AF41F51B3}">
          <x14:formula1>
            <xm:f>項目!A4:$NJA$720898</xm:f>
          </x14:formula1>
          <xm:sqref>NJJ720903:NJJ720926</xm:sqref>
        </x14:dataValidation>
        <x14:dataValidation type="list" allowBlank="1" showInputMessage="1" showErrorMessage="1" xr:uid="{9C6347B2-FBE3-44B9-8B99-7D79645F4AA1}">
          <x14:formula1>
            <xm:f>項目!A4:$NSW$720898</xm:f>
          </x14:formula1>
          <xm:sqref>NTF720903:NTF720926</xm:sqref>
        </x14:dataValidation>
        <x14:dataValidation type="list" allowBlank="1" showInputMessage="1" showErrorMessage="1" xr:uid="{A7743325-C1C1-43BC-91EF-E6BBD89B75EA}">
          <x14:formula1>
            <xm:f>項目!A4:$OCS$720898</xm:f>
          </x14:formula1>
          <xm:sqref>ODB720903:ODB720926</xm:sqref>
        </x14:dataValidation>
        <x14:dataValidation type="list" allowBlank="1" showInputMessage="1" showErrorMessage="1" xr:uid="{5BE8908A-345D-485E-B1A2-ECBC64133E7A}">
          <x14:formula1>
            <xm:f>項目!A4:$OMO$720898</xm:f>
          </x14:formula1>
          <xm:sqref>OMX720903:OMX720926</xm:sqref>
        </x14:dataValidation>
        <x14:dataValidation type="list" allowBlank="1" showInputMessage="1" showErrorMessage="1" xr:uid="{6B91C381-E9ED-4AF8-97EE-76997619B47D}">
          <x14:formula1>
            <xm:f>項目!A4:$OWK$720898</xm:f>
          </x14:formula1>
          <xm:sqref>OWT720903:OWT720926</xm:sqref>
        </x14:dataValidation>
        <x14:dataValidation type="list" allowBlank="1" showInputMessage="1" showErrorMessage="1" xr:uid="{BA029FEB-FC0F-4BAF-B040-6DABF062F6DB}">
          <x14:formula1>
            <xm:f>項目!A4:$PGG$720898</xm:f>
          </x14:formula1>
          <xm:sqref>PGP720903:PGP720926</xm:sqref>
        </x14:dataValidation>
        <x14:dataValidation type="list" allowBlank="1" showInputMessage="1" showErrorMessage="1" xr:uid="{587CE357-2FC8-4CA8-9A0E-5393DC825D13}">
          <x14:formula1>
            <xm:f>項目!A4:$PQC$720898</xm:f>
          </x14:formula1>
          <xm:sqref>PQL720903:PQL720926</xm:sqref>
        </x14:dataValidation>
        <x14:dataValidation type="list" allowBlank="1" showInputMessage="1" showErrorMessage="1" xr:uid="{249FAC7B-A449-4F8D-AA67-1F9E88094AA1}">
          <x14:formula1>
            <xm:f>項目!A4:$PZY$720898</xm:f>
          </x14:formula1>
          <xm:sqref>QAH720903:QAH720926</xm:sqref>
        </x14:dataValidation>
        <x14:dataValidation type="list" allowBlank="1" showInputMessage="1" showErrorMessage="1" xr:uid="{24E74CF9-E8A7-4727-B77A-FF2AB7FE16F7}">
          <x14:formula1>
            <xm:f>項目!A4:$QJU$720898</xm:f>
          </x14:formula1>
          <xm:sqref>QKD720903:QKD720926</xm:sqref>
        </x14:dataValidation>
        <x14:dataValidation type="list" allowBlank="1" showInputMessage="1" showErrorMessage="1" xr:uid="{064CFA17-7231-4B58-A409-19710C448364}">
          <x14:formula1>
            <xm:f>項目!A4:$QTQ$720898</xm:f>
          </x14:formula1>
          <xm:sqref>QTZ720903:QTZ720926</xm:sqref>
        </x14:dataValidation>
        <x14:dataValidation type="list" allowBlank="1" showInputMessage="1" showErrorMessage="1" xr:uid="{88E747CB-8CBD-4735-8B0A-DF725709C86F}">
          <x14:formula1>
            <xm:f>項目!A4:$RDM$720898</xm:f>
          </x14:formula1>
          <xm:sqref>RDV720903:RDV720926</xm:sqref>
        </x14:dataValidation>
        <x14:dataValidation type="list" allowBlank="1" showInputMessage="1" showErrorMessage="1" xr:uid="{78B08FEA-666D-40A4-B4AB-8067A9099715}">
          <x14:formula1>
            <xm:f>項目!A4:$RNI$720898</xm:f>
          </x14:formula1>
          <xm:sqref>RNR720903:RNR720926</xm:sqref>
        </x14:dataValidation>
        <x14:dataValidation type="list" allowBlank="1" showInputMessage="1" showErrorMessage="1" xr:uid="{2A382E20-EA27-44A0-B634-5B8F0C4EB0B1}">
          <x14:formula1>
            <xm:f>項目!A4:$RXE$720898</xm:f>
          </x14:formula1>
          <xm:sqref>RXN720903:RXN720926</xm:sqref>
        </x14:dataValidation>
        <x14:dataValidation type="list" allowBlank="1" showInputMessage="1" showErrorMessage="1" xr:uid="{87A8512D-B780-4051-829F-176633A01937}">
          <x14:formula1>
            <xm:f>項目!A4:$SHA$720898</xm:f>
          </x14:formula1>
          <xm:sqref>SHJ720903:SHJ720926</xm:sqref>
        </x14:dataValidation>
        <x14:dataValidation type="list" allowBlank="1" showInputMessage="1" showErrorMessage="1" xr:uid="{0428CBCD-FEC6-43AD-93EB-3416D0CDFA41}">
          <x14:formula1>
            <xm:f>項目!A4:$SQW$720898</xm:f>
          </x14:formula1>
          <xm:sqref>SRF720903:SRF720926</xm:sqref>
        </x14:dataValidation>
        <x14:dataValidation type="list" allowBlank="1" showInputMessage="1" showErrorMessage="1" xr:uid="{479EE659-4F10-45DC-878B-FD2DE3AD6C5D}">
          <x14:formula1>
            <xm:f>項目!A4:$TAS$720898</xm:f>
          </x14:formula1>
          <xm:sqref>TBB720903:TBB720926</xm:sqref>
        </x14:dataValidation>
        <x14:dataValidation type="list" allowBlank="1" showInputMessage="1" showErrorMessage="1" xr:uid="{EA30DE22-6440-4477-884B-8F5BBC73F5D1}">
          <x14:formula1>
            <xm:f>項目!A4:$TKO$720898</xm:f>
          </x14:formula1>
          <xm:sqref>TKX720903:TKX720926</xm:sqref>
        </x14:dataValidation>
        <x14:dataValidation type="list" allowBlank="1" showInputMessage="1" showErrorMessage="1" xr:uid="{A8A7F339-CA6F-4C92-88BD-776C2A8E3394}">
          <x14:formula1>
            <xm:f>項目!A4:$TUK$720898</xm:f>
          </x14:formula1>
          <xm:sqref>TUT720903:TUT720926</xm:sqref>
        </x14:dataValidation>
        <x14:dataValidation type="list" allowBlank="1" showInputMessage="1" showErrorMessage="1" xr:uid="{3FC3C9D1-25E3-4EAE-9F95-CD5EAA229610}">
          <x14:formula1>
            <xm:f>項目!A4:$UEG$720898</xm:f>
          </x14:formula1>
          <xm:sqref>UEP720903:UEP720926</xm:sqref>
        </x14:dataValidation>
        <x14:dataValidation type="list" allowBlank="1" showInputMessage="1" showErrorMessage="1" xr:uid="{958ACBE3-BE6D-45C5-8D3C-C523868F03BD}">
          <x14:formula1>
            <xm:f>項目!A4:$UOC$720898</xm:f>
          </x14:formula1>
          <xm:sqref>UOL720903:UOL720926</xm:sqref>
        </x14:dataValidation>
        <x14:dataValidation type="list" allowBlank="1" showInputMessage="1" showErrorMessage="1" xr:uid="{01EFE1CE-78A5-4F95-8CAB-E9BB32588C4F}">
          <x14:formula1>
            <xm:f>項目!A4:$UXY$720898</xm:f>
          </x14:formula1>
          <xm:sqref>UYH720903:UYH720926</xm:sqref>
        </x14:dataValidation>
        <x14:dataValidation type="list" allowBlank="1" showInputMessage="1" showErrorMessage="1" xr:uid="{DA2F1A84-FEB5-4AE8-994A-E712B81692D7}">
          <x14:formula1>
            <xm:f>項目!A4:$VHU$720898</xm:f>
          </x14:formula1>
          <xm:sqref>VID720903:VID720926</xm:sqref>
        </x14:dataValidation>
        <x14:dataValidation type="list" allowBlank="1" showInputMessage="1" showErrorMessage="1" xr:uid="{99D83478-6273-440D-932D-F7727AB38A79}">
          <x14:formula1>
            <xm:f>項目!A4:$VRQ$720898</xm:f>
          </x14:formula1>
          <xm:sqref>VRZ720903:VRZ720926</xm:sqref>
        </x14:dataValidation>
        <x14:dataValidation type="list" allowBlank="1" showInputMessage="1" showErrorMessage="1" xr:uid="{AFDC0C19-1E44-451F-B641-C8490E694132}">
          <x14:formula1>
            <xm:f>項目!A4:$WBM$720898</xm:f>
          </x14:formula1>
          <xm:sqref>WBV720903:WBV720926</xm:sqref>
        </x14:dataValidation>
        <x14:dataValidation type="list" allowBlank="1" showInputMessage="1" showErrorMessage="1" xr:uid="{E378FBF0-1B9E-492E-BF51-4D48B21D1440}">
          <x14:formula1>
            <xm:f>項目!A4:$WLI$720898</xm:f>
          </x14:formula1>
          <xm:sqref>WLR720903:WLR720926</xm:sqref>
        </x14:dataValidation>
        <x14:dataValidation type="list" allowBlank="1" showInputMessage="1" showErrorMessage="1" xr:uid="{48008C52-C13E-4335-890F-B906FC85B0D9}">
          <x14:formula1>
            <xm:f>項目!A4:$WVE$720898</xm:f>
          </x14:formula1>
          <xm:sqref>WVN720903:WVN720926</xm:sqref>
        </x14:dataValidation>
        <x14:dataValidation type="list" allowBlank="1" showInputMessage="1" showErrorMessage="1" xr:uid="{1B36D289-4BD5-4300-9442-538CB0D9C5DC}">
          <x14:formula1>
            <xm:f>項目!A4:$IS$786434</xm:f>
          </x14:formula1>
          <xm:sqref>JB786439:JB786462</xm:sqref>
        </x14:dataValidation>
        <x14:dataValidation type="list" allowBlank="1" showInputMessage="1" showErrorMessage="1" xr:uid="{C6785757-72E5-4EB7-80E9-C4BE44A69502}">
          <x14:formula1>
            <xm:f>項目!A4:$SO$786434</xm:f>
          </x14:formula1>
          <xm:sqref>SX786439:SX786462</xm:sqref>
        </x14:dataValidation>
        <x14:dataValidation type="list" allowBlank="1" showInputMessage="1" showErrorMessage="1" xr:uid="{94FFE445-999F-48D6-BADF-CB8036A931D8}">
          <x14:formula1>
            <xm:f>項目!A4:$ACK$786434</xm:f>
          </x14:formula1>
          <xm:sqref>ACT786439:ACT786462</xm:sqref>
        </x14:dataValidation>
        <x14:dataValidation type="list" allowBlank="1" showInputMessage="1" showErrorMessage="1" xr:uid="{E0E3EF82-7F0F-41C0-9003-7239C9E78ECD}">
          <x14:formula1>
            <xm:f>項目!A4:$AMG$786434</xm:f>
          </x14:formula1>
          <xm:sqref>AMP786439:AMP786462</xm:sqref>
        </x14:dataValidation>
        <x14:dataValidation type="list" allowBlank="1" showInputMessage="1" showErrorMessage="1" xr:uid="{BF72E997-1591-4B4E-99EF-46CAE2A37C2A}">
          <x14:formula1>
            <xm:f>項目!A4:$AWC$786434</xm:f>
          </x14:formula1>
          <xm:sqref>AWL786439:AWL786462</xm:sqref>
        </x14:dataValidation>
        <x14:dataValidation type="list" allowBlank="1" showInputMessage="1" showErrorMessage="1" xr:uid="{627F8CB4-5926-4566-8A39-9D8ECC581C54}">
          <x14:formula1>
            <xm:f>項目!A4:$BFY$786434</xm:f>
          </x14:formula1>
          <xm:sqref>BGH786439:BGH786462</xm:sqref>
        </x14:dataValidation>
        <x14:dataValidation type="list" allowBlank="1" showInputMessage="1" showErrorMessage="1" xr:uid="{FB51BBBF-7656-4A74-8AD0-314BCC1C6295}">
          <x14:formula1>
            <xm:f>項目!A4:$BPU$786434</xm:f>
          </x14:formula1>
          <xm:sqref>BQD786439:BQD786462</xm:sqref>
        </x14:dataValidation>
        <x14:dataValidation type="list" allowBlank="1" showInputMessage="1" showErrorMessage="1" xr:uid="{87080F09-92ED-4005-A08D-4F5307DC2709}">
          <x14:formula1>
            <xm:f>項目!A4:$BZQ$786434</xm:f>
          </x14:formula1>
          <xm:sqref>BZZ786439:BZZ786462</xm:sqref>
        </x14:dataValidation>
        <x14:dataValidation type="list" allowBlank="1" showInputMessage="1" showErrorMessage="1" xr:uid="{F531C3C5-9348-4320-8136-5AE939659C25}">
          <x14:formula1>
            <xm:f>項目!A4:$CJM$786434</xm:f>
          </x14:formula1>
          <xm:sqref>CJV786439:CJV786462</xm:sqref>
        </x14:dataValidation>
        <x14:dataValidation type="list" allowBlank="1" showInputMessage="1" showErrorMessage="1" xr:uid="{87A7EDA6-2DAE-4F4C-915D-5115E7F1CE13}">
          <x14:formula1>
            <xm:f>項目!A4:$CTI$786434</xm:f>
          </x14:formula1>
          <xm:sqref>CTR786439:CTR786462</xm:sqref>
        </x14:dataValidation>
        <x14:dataValidation type="list" allowBlank="1" showInputMessage="1" showErrorMessage="1" xr:uid="{B87AA2CC-C353-4CFB-A420-F32726BEC37D}">
          <x14:formula1>
            <xm:f>項目!A4:$DDE$786434</xm:f>
          </x14:formula1>
          <xm:sqref>DDN786439:DDN786462</xm:sqref>
        </x14:dataValidation>
        <x14:dataValidation type="list" allowBlank="1" showInputMessage="1" showErrorMessage="1" xr:uid="{9911F317-9DF0-4ADC-AEDE-FA2E629F9CA7}">
          <x14:formula1>
            <xm:f>項目!A4:$DNA$786434</xm:f>
          </x14:formula1>
          <xm:sqref>DNJ786439:DNJ786462</xm:sqref>
        </x14:dataValidation>
        <x14:dataValidation type="list" allowBlank="1" showInputMessage="1" showErrorMessage="1" xr:uid="{178AEEF1-10F8-4048-8DFA-61CDCD9E6364}">
          <x14:formula1>
            <xm:f>項目!A4:$DWW$786434</xm:f>
          </x14:formula1>
          <xm:sqref>DXF786439:DXF786462</xm:sqref>
        </x14:dataValidation>
        <x14:dataValidation type="list" allowBlank="1" showInputMessage="1" showErrorMessage="1" xr:uid="{0C6D84AD-3878-4898-B09E-EBFAD5536C8B}">
          <x14:formula1>
            <xm:f>項目!A4:$EGS$786434</xm:f>
          </x14:formula1>
          <xm:sqref>EHB786439:EHB786462</xm:sqref>
        </x14:dataValidation>
        <x14:dataValidation type="list" allowBlank="1" showInputMessage="1" showErrorMessage="1" xr:uid="{104449B8-AE50-4F8A-A66F-16E6A9255B20}">
          <x14:formula1>
            <xm:f>項目!A4:$EQO$786434</xm:f>
          </x14:formula1>
          <xm:sqref>EQX786439:EQX786462</xm:sqref>
        </x14:dataValidation>
        <x14:dataValidation type="list" allowBlank="1" showInputMessage="1" showErrorMessage="1" xr:uid="{CFAA85B6-C2E1-459A-93EC-48251B148EDF}">
          <x14:formula1>
            <xm:f>項目!A4:$FAK$786434</xm:f>
          </x14:formula1>
          <xm:sqref>FAT786439:FAT786462</xm:sqref>
        </x14:dataValidation>
        <x14:dataValidation type="list" allowBlank="1" showInputMessage="1" showErrorMessage="1" xr:uid="{522FFF6C-1175-47BC-80EE-8FC2A285918E}">
          <x14:formula1>
            <xm:f>項目!A4:$FKG$786434</xm:f>
          </x14:formula1>
          <xm:sqref>FKP786439:FKP786462</xm:sqref>
        </x14:dataValidation>
        <x14:dataValidation type="list" allowBlank="1" showInputMessage="1" showErrorMessage="1" xr:uid="{DA2FE4DA-14F6-4341-9765-93C5F8186409}">
          <x14:formula1>
            <xm:f>項目!A4:$FUC$786434</xm:f>
          </x14:formula1>
          <xm:sqref>FUL786439:FUL786462</xm:sqref>
        </x14:dataValidation>
        <x14:dataValidation type="list" allowBlank="1" showInputMessage="1" showErrorMessage="1" xr:uid="{C8CCEEEC-C541-4AC4-8F64-8D6586B4F6A5}">
          <x14:formula1>
            <xm:f>項目!A4:$GDY$786434</xm:f>
          </x14:formula1>
          <xm:sqref>GEH786439:GEH786462</xm:sqref>
        </x14:dataValidation>
        <x14:dataValidation type="list" allowBlank="1" showInputMessage="1" showErrorMessage="1" xr:uid="{E36BBCB4-4936-4A98-9AC7-AD6573F6A6FA}">
          <x14:formula1>
            <xm:f>項目!A4:$GNU$786434</xm:f>
          </x14:formula1>
          <xm:sqref>GOD786439:GOD786462</xm:sqref>
        </x14:dataValidation>
        <x14:dataValidation type="list" allowBlank="1" showInputMessage="1" showErrorMessage="1" xr:uid="{EDCC65F3-7DB7-4B15-9600-81DE022E1D35}">
          <x14:formula1>
            <xm:f>項目!A4:$GXQ$786434</xm:f>
          </x14:formula1>
          <xm:sqref>GXZ786439:GXZ786462</xm:sqref>
        </x14:dataValidation>
        <x14:dataValidation type="list" allowBlank="1" showInputMessage="1" showErrorMessage="1" xr:uid="{892761B0-C67F-4316-B374-A7485DBFEB6D}">
          <x14:formula1>
            <xm:f>項目!A4:$HHM$786434</xm:f>
          </x14:formula1>
          <xm:sqref>HHV786439:HHV786462</xm:sqref>
        </x14:dataValidation>
        <x14:dataValidation type="list" allowBlank="1" showInputMessage="1" showErrorMessage="1" xr:uid="{FCCF8665-1972-453B-AFF5-2B80894B5427}">
          <x14:formula1>
            <xm:f>項目!A4:$HRI$786434</xm:f>
          </x14:formula1>
          <xm:sqref>HRR786439:HRR786462</xm:sqref>
        </x14:dataValidation>
        <x14:dataValidation type="list" allowBlank="1" showInputMessage="1" showErrorMessage="1" xr:uid="{8F8F4321-0CBF-45AE-806B-FEAA64FD2136}">
          <x14:formula1>
            <xm:f>項目!A4:$IBE$786434</xm:f>
          </x14:formula1>
          <xm:sqref>IBN786439:IBN786462</xm:sqref>
        </x14:dataValidation>
        <x14:dataValidation type="list" allowBlank="1" showInputMessage="1" showErrorMessage="1" xr:uid="{40BD401A-5631-433E-A796-45E22FBE06C9}">
          <x14:formula1>
            <xm:f>項目!A4:$ILA$786434</xm:f>
          </x14:formula1>
          <xm:sqref>ILJ786439:ILJ786462</xm:sqref>
        </x14:dataValidation>
        <x14:dataValidation type="list" allowBlank="1" showInputMessage="1" showErrorMessage="1" xr:uid="{33660D3F-1227-4E5A-9390-D64132710CF6}">
          <x14:formula1>
            <xm:f>項目!A4:$IUW$786434</xm:f>
          </x14:formula1>
          <xm:sqref>IVF786439:IVF786462</xm:sqref>
        </x14:dataValidation>
        <x14:dataValidation type="list" allowBlank="1" showInputMessage="1" showErrorMessage="1" xr:uid="{34C2711B-56D3-40D3-8600-9D4D2075D2D8}">
          <x14:formula1>
            <xm:f>項目!A4:$JES$786434</xm:f>
          </x14:formula1>
          <xm:sqref>JFB786439:JFB786462</xm:sqref>
        </x14:dataValidation>
        <x14:dataValidation type="list" allowBlank="1" showInputMessage="1" showErrorMessage="1" xr:uid="{CBDDA050-11BB-4D43-967D-0EC6971DB3FC}">
          <x14:formula1>
            <xm:f>項目!A4:$JOO$786434</xm:f>
          </x14:formula1>
          <xm:sqref>JOX786439:JOX786462</xm:sqref>
        </x14:dataValidation>
        <x14:dataValidation type="list" allowBlank="1" showInputMessage="1" showErrorMessage="1" xr:uid="{225016C0-482C-4FA0-8F7A-7C087748D77D}">
          <x14:formula1>
            <xm:f>項目!A4:$JYK$786434</xm:f>
          </x14:formula1>
          <xm:sqref>JYT786439:JYT786462</xm:sqref>
        </x14:dataValidation>
        <x14:dataValidation type="list" allowBlank="1" showInputMessage="1" showErrorMessage="1" xr:uid="{C23EDFBB-1A4D-4C5E-B65D-8F30FCCA2B5C}">
          <x14:formula1>
            <xm:f>項目!A4:$KIG$786434</xm:f>
          </x14:formula1>
          <xm:sqref>KIP786439:KIP786462</xm:sqref>
        </x14:dataValidation>
        <x14:dataValidation type="list" allowBlank="1" showInputMessage="1" showErrorMessage="1" xr:uid="{59E9222B-A59B-4064-8DE5-FAF62747D3D1}">
          <x14:formula1>
            <xm:f>項目!A4:$KSC$786434</xm:f>
          </x14:formula1>
          <xm:sqref>KSL786439:KSL786462</xm:sqref>
        </x14:dataValidation>
        <x14:dataValidation type="list" allowBlank="1" showInputMessage="1" showErrorMessage="1" xr:uid="{A8DE3A30-DF6A-40A3-82AF-3DFD6026B645}">
          <x14:formula1>
            <xm:f>項目!A4:$LBY$786434</xm:f>
          </x14:formula1>
          <xm:sqref>LCH786439:LCH786462</xm:sqref>
        </x14:dataValidation>
        <x14:dataValidation type="list" allowBlank="1" showInputMessage="1" showErrorMessage="1" xr:uid="{F2D54254-A7F5-45A8-ABA4-2E086A1CEFA9}">
          <x14:formula1>
            <xm:f>項目!A4:$LLU$786434</xm:f>
          </x14:formula1>
          <xm:sqref>LMD786439:LMD786462</xm:sqref>
        </x14:dataValidation>
        <x14:dataValidation type="list" allowBlank="1" showInputMessage="1" showErrorMessage="1" xr:uid="{36E01BE0-899F-48B2-AE46-577C481DF970}">
          <x14:formula1>
            <xm:f>項目!A4:$LVQ$786434</xm:f>
          </x14:formula1>
          <xm:sqref>LVZ786439:LVZ786462</xm:sqref>
        </x14:dataValidation>
        <x14:dataValidation type="list" allowBlank="1" showInputMessage="1" showErrorMessage="1" xr:uid="{0868B4D9-194D-407D-BF40-0B37FF7504E7}">
          <x14:formula1>
            <xm:f>項目!A4:$MFM$786434</xm:f>
          </x14:formula1>
          <xm:sqref>MFV786439:MFV786462</xm:sqref>
        </x14:dataValidation>
        <x14:dataValidation type="list" allowBlank="1" showInputMessage="1" showErrorMessage="1" xr:uid="{9DFF4C77-60DD-4D9B-9D31-2618D62B4D07}">
          <x14:formula1>
            <xm:f>項目!A4:$MPI$786434</xm:f>
          </x14:formula1>
          <xm:sqref>MPR786439:MPR786462</xm:sqref>
        </x14:dataValidation>
        <x14:dataValidation type="list" allowBlank="1" showInputMessage="1" showErrorMessage="1" xr:uid="{473DC1BE-AA84-430C-A162-0CCFE9CD27E5}">
          <x14:formula1>
            <xm:f>項目!A4:$MZE$786434</xm:f>
          </x14:formula1>
          <xm:sqref>MZN786439:MZN786462</xm:sqref>
        </x14:dataValidation>
        <x14:dataValidation type="list" allowBlank="1" showInputMessage="1" showErrorMessage="1" xr:uid="{A2506632-6403-400A-BD2F-A304FC400C77}">
          <x14:formula1>
            <xm:f>項目!A4:$NJA$786434</xm:f>
          </x14:formula1>
          <xm:sqref>NJJ786439:NJJ786462</xm:sqref>
        </x14:dataValidation>
        <x14:dataValidation type="list" allowBlank="1" showInputMessage="1" showErrorMessage="1" xr:uid="{CFB74BC8-B2AE-4AA9-A1C7-0F990FE48F6D}">
          <x14:formula1>
            <xm:f>項目!A4:$NSW$786434</xm:f>
          </x14:formula1>
          <xm:sqref>NTF786439:NTF786462</xm:sqref>
        </x14:dataValidation>
        <x14:dataValidation type="list" allowBlank="1" showInputMessage="1" showErrorMessage="1" xr:uid="{93D1E2A8-3958-4B16-8469-AF170A0C05B4}">
          <x14:formula1>
            <xm:f>項目!A4:$OCS$786434</xm:f>
          </x14:formula1>
          <xm:sqref>ODB786439:ODB786462</xm:sqref>
        </x14:dataValidation>
        <x14:dataValidation type="list" allowBlank="1" showInputMessage="1" showErrorMessage="1" xr:uid="{C8CD2219-1C52-4C93-93B4-52582BB9C356}">
          <x14:formula1>
            <xm:f>項目!A4:$OMO$786434</xm:f>
          </x14:formula1>
          <xm:sqref>OMX786439:OMX786462</xm:sqref>
        </x14:dataValidation>
        <x14:dataValidation type="list" allowBlank="1" showInputMessage="1" showErrorMessage="1" xr:uid="{005308C8-E05F-415C-AD3F-3ED12BA5A769}">
          <x14:formula1>
            <xm:f>項目!A4:$OWK$786434</xm:f>
          </x14:formula1>
          <xm:sqref>OWT786439:OWT786462</xm:sqref>
        </x14:dataValidation>
        <x14:dataValidation type="list" allowBlank="1" showInputMessage="1" showErrorMessage="1" xr:uid="{7B300891-C8DD-48A7-AEDA-601D308CE2A3}">
          <x14:formula1>
            <xm:f>項目!A4:$PGG$786434</xm:f>
          </x14:formula1>
          <xm:sqref>PGP786439:PGP786462</xm:sqref>
        </x14:dataValidation>
        <x14:dataValidation type="list" allowBlank="1" showInputMessage="1" showErrorMessage="1" xr:uid="{414E1CAC-5845-4E41-B642-F44415A078A6}">
          <x14:formula1>
            <xm:f>項目!A4:$PQC$786434</xm:f>
          </x14:formula1>
          <xm:sqref>PQL786439:PQL786462</xm:sqref>
        </x14:dataValidation>
        <x14:dataValidation type="list" allowBlank="1" showInputMessage="1" showErrorMessage="1" xr:uid="{D09A74F2-2DC6-436A-8A92-E888117CAB7B}">
          <x14:formula1>
            <xm:f>項目!A4:$PZY$786434</xm:f>
          </x14:formula1>
          <xm:sqref>QAH786439:QAH786462</xm:sqref>
        </x14:dataValidation>
        <x14:dataValidation type="list" allowBlank="1" showInputMessage="1" showErrorMessage="1" xr:uid="{675A59CB-E160-4150-A1AD-E9EC6BC0203D}">
          <x14:formula1>
            <xm:f>項目!A4:$QJU$786434</xm:f>
          </x14:formula1>
          <xm:sqref>QKD786439:QKD786462</xm:sqref>
        </x14:dataValidation>
        <x14:dataValidation type="list" allowBlank="1" showInputMessage="1" showErrorMessage="1" xr:uid="{68712F24-DDD3-4894-97BC-A7B9C1D776CA}">
          <x14:formula1>
            <xm:f>項目!A4:$QTQ$786434</xm:f>
          </x14:formula1>
          <xm:sqref>QTZ786439:QTZ786462</xm:sqref>
        </x14:dataValidation>
        <x14:dataValidation type="list" allowBlank="1" showInputMessage="1" showErrorMessage="1" xr:uid="{D997978B-4AFD-4483-B4B4-B2CA4A1291D4}">
          <x14:formula1>
            <xm:f>項目!A4:$RDM$786434</xm:f>
          </x14:formula1>
          <xm:sqref>RDV786439:RDV786462</xm:sqref>
        </x14:dataValidation>
        <x14:dataValidation type="list" allowBlank="1" showInputMessage="1" showErrorMessage="1" xr:uid="{0F770667-C893-4351-906D-BD798286FCDB}">
          <x14:formula1>
            <xm:f>項目!A4:$RNI$786434</xm:f>
          </x14:formula1>
          <xm:sqref>RNR786439:RNR786462</xm:sqref>
        </x14:dataValidation>
        <x14:dataValidation type="list" allowBlank="1" showInputMessage="1" showErrorMessage="1" xr:uid="{979D585D-F073-41FD-8F03-3AA5BEE2E7F3}">
          <x14:formula1>
            <xm:f>項目!A4:$RXE$786434</xm:f>
          </x14:formula1>
          <xm:sqref>RXN786439:RXN786462</xm:sqref>
        </x14:dataValidation>
        <x14:dataValidation type="list" allowBlank="1" showInputMessage="1" showErrorMessage="1" xr:uid="{DB8D0400-EC42-4894-B7A8-FBC96CACA21F}">
          <x14:formula1>
            <xm:f>項目!A4:$SHA$786434</xm:f>
          </x14:formula1>
          <xm:sqref>SHJ786439:SHJ786462</xm:sqref>
        </x14:dataValidation>
        <x14:dataValidation type="list" allowBlank="1" showInputMessage="1" showErrorMessage="1" xr:uid="{0CB0B568-50E8-48DF-B08F-4DA2CDD5A04E}">
          <x14:formula1>
            <xm:f>項目!A4:$SQW$786434</xm:f>
          </x14:formula1>
          <xm:sqref>SRF786439:SRF786462</xm:sqref>
        </x14:dataValidation>
        <x14:dataValidation type="list" allowBlank="1" showInputMessage="1" showErrorMessage="1" xr:uid="{F0342FE5-F87F-476F-B8DD-3CD3499AECE2}">
          <x14:formula1>
            <xm:f>項目!A4:$TAS$786434</xm:f>
          </x14:formula1>
          <xm:sqref>TBB786439:TBB786462</xm:sqref>
        </x14:dataValidation>
        <x14:dataValidation type="list" allowBlank="1" showInputMessage="1" showErrorMessage="1" xr:uid="{6BC72407-B3C8-4B8B-891F-90CBD1192113}">
          <x14:formula1>
            <xm:f>項目!A4:$TKO$786434</xm:f>
          </x14:formula1>
          <xm:sqref>TKX786439:TKX786462</xm:sqref>
        </x14:dataValidation>
        <x14:dataValidation type="list" allowBlank="1" showInputMessage="1" showErrorMessage="1" xr:uid="{C7F0ADCC-6513-45A9-945E-D44A39A639C1}">
          <x14:formula1>
            <xm:f>項目!A4:$TUK$786434</xm:f>
          </x14:formula1>
          <xm:sqref>TUT786439:TUT786462</xm:sqref>
        </x14:dataValidation>
        <x14:dataValidation type="list" allowBlank="1" showInputMessage="1" showErrorMessage="1" xr:uid="{061100D1-060C-47FE-89FC-3B44B9A73361}">
          <x14:formula1>
            <xm:f>項目!A4:$UEG$786434</xm:f>
          </x14:formula1>
          <xm:sqref>UEP786439:UEP786462</xm:sqref>
        </x14:dataValidation>
        <x14:dataValidation type="list" allowBlank="1" showInputMessage="1" showErrorMessage="1" xr:uid="{D6BDDAA7-29CD-4B5F-9E44-2D0931FD171B}">
          <x14:formula1>
            <xm:f>項目!A4:$UOC$786434</xm:f>
          </x14:formula1>
          <xm:sqref>UOL786439:UOL786462</xm:sqref>
        </x14:dataValidation>
        <x14:dataValidation type="list" allowBlank="1" showInputMessage="1" showErrorMessage="1" xr:uid="{C998C228-FE75-4EEB-9DB3-150DD2952C79}">
          <x14:formula1>
            <xm:f>項目!A4:$UXY$786434</xm:f>
          </x14:formula1>
          <xm:sqref>UYH786439:UYH786462</xm:sqref>
        </x14:dataValidation>
        <x14:dataValidation type="list" allowBlank="1" showInputMessage="1" showErrorMessage="1" xr:uid="{449BDC47-CE48-4212-9E88-C8304C543FB7}">
          <x14:formula1>
            <xm:f>項目!A4:$VHU$786434</xm:f>
          </x14:formula1>
          <xm:sqref>VID786439:VID786462</xm:sqref>
        </x14:dataValidation>
        <x14:dataValidation type="list" allowBlank="1" showInputMessage="1" showErrorMessage="1" xr:uid="{ADB67FFA-5EA4-4C8D-9904-5AC4AE231013}">
          <x14:formula1>
            <xm:f>項目!A4:$VRQ$786434</xm:f>
          </x14:formula1>
          <xm:sqref>VRZ786439:VRZ786462</xm:sqref>
        </x14:dataValidation>
        <x14:dataValidation type="list" allowBlank="1" showInputMessage="1" showErrorMessage="1" xr:uid="{D71255DD-54F6-4A97-8689-532612B39682}">
          <x14:formula1>
            <xm:f>項目!A4:$WBM$786434</xm:f>
          </x14:formula1>
          <xm:sqref>WBV786439:WBV786462</xm:sqref>
        </x14:dataValidation>
        <x14:dataValidation type="list" allowBlank="1" showInputMessage="1" showErrorMessage="1" xr:uid="{8AAC5978-C1F2-4B03-9A7D-1D20C2D337F2}">
          <x14:formula1>
            <xm:f>項目!A4:$WLI$786434</xm:f>
          </x14:formula1>
          <xm:sqref>WLR786439:WLR786462</xm:sqref>
        </x14:dataValidation>
        <x14:dataValidation type="list" allowBlank="1" showInputMessage="1" showErrorMessage="1" xr:uid="{50307C12-A48A-4FF9-AAEF-27BB886E93EE}">
          <x14:formula1>
            <xm:f>項目!A4:$WVE$786434</xm:f>
          </x14:formula1>
          <xm:sqref>WVN786439:WVN786462</xm:sqref>
        </x14:dataValidation>
        <x14:dataValidation type="list" allowBlank="1" showInputMessage="1" showErrorMessage="1" xr:uid="{B3E5A419-1ED3-4115-8D3A-53B8F9175E09}">
          <x14:formula1>
            <xm:f>項目!A4:$IS$851970</xm:f>
          </x14:formula1>
          <xm:sqref>JB851975:JB851998</xm:sqref>
        </x14:dataValidation>
        <x14:dataValidation type="list" allowBlank="1" showInputMessage="1" showErrorMessage="1" xr:uid="{029E30FF-2833-4C8A-B17A-C15CDC13401D}">
          <x14:formula1>
            <xm:f>項目!A4:$SO$851970</xm:f>
          </x14:formula1>
          <xm:sqref>SX851975:SX851998</xm:sqref>
        </x14:dataValidation>
        <x14:dataValidation type="list" allowBlank="1" showInputMessage="1" showErrorMessage="1" xr:uid="{F917A2B8-0BDE-4BAE-A88C-1394A92BFBD9}">
          <x14:formula1>
            <xm:f>項目!A4:$ACK$851970</xm:f>
          </x14:formula1>
          <xm:sqref>ACT851975:ACT851998</xm:sqref>
        </x14:dataValidation>
        <x14:dataValidation type="list" allowBlank="1" showInputMessage="1" showErrorMessage="1" xr:uid="{86F8F240-B8EA-4C74-B5B6-7250996F90A6}">
          <x14:formula1>
            <xm:f>項目!A4:$AMG$851970</xm:f>
          </x14:formula1>
          <xm:sqref>AMP851975:AMP851998</xm:sqref>
        </x14:dataValidation>
        <x14:dataValidation type="list" allowBlank="1" showInputMessage="1" showErrorMessage="1" xr:uid="{5FA461DB-3358-40FE-AEF4-3D733402BD04}">
          <x14:formula1>
            <xm:f>項目!A4:$AWC$851970</xm:f>
          </x14:formula1>
          <xm:sqref>AWL851975:AWL851998</xm:sqref>
        </x14:dataValidation>
        <x14:dataValidation type="list" allowBlank="1" showInputMessage="1" showErrorMessage="1" xr:uid="{38CEFAFB-81BE-42D7-B0EC-D9C05FDD3AFA}">
          <x14:formula1>
            <xm:f>項目!A4:$BFY$851970</xm:f>
          </x14:formula1>
          <xm:sqref>BGH851975:BGH851998</xm:sqref>
        </x14:dataValidation>
        <x14:dataValidation type="list" allowBlank="1" showInputMessage="1" showErrorMessage="1" xr:uid="{BE8B2C5E-9E58-4510-AFD7-A8D17B5CB0EF}">
          <x14:formula1>
            <xm:f>項目!A4:$BPU$851970</xm:f>
          </x14:formula1>
          <xm:sqref>BQD851975:BQD851998</xm:sqref>
        </x14:dataValidation>
        <x14:dataValidation type="list" allowBlank="1" showInputMessage="1" showErrorMessage="1" xr:uid="{9A87A0EE-284A-4B4B-ADC4-F6619CA43426}">
          <x14:formula1>
            <xm:f>項目!A4:$BZQ$851970</xm:f>
          </x14:formula1>
          <xm:sqref>BZZ851975:BZZ851998</xm:sqref>
        </x14:dataValidation>
        <x14:dataValidation type="list" allowBlank="1" showInputMessage="1" showErrorMessage="1" xr:uid="{82B3666A-82BB-4F80-8B6E-3A4F95143B42}">
          <x14:formula1>
            <xm:f>項目!A4:$CJM$851970</xm:f>
          </x14:formula1>
          <xm:sqref>CJV851975:CJV851998</xm:sqref>
        </x14:dataValidation>
        <x14:dataValidation type="list" allowBlank="1" showInputMessage="1" showErrorMessage="1" xr:uid="{EEBA96E4-90A6-43F9-8375-2FD44579BADB}">
          <x14:formula1>
            <xm:f>項目!A4:$CTI$851970</xm:f>
          </x14:formula1>
          <xm:sqref>CTR851975:CTR851998</xm:sqref>
        </x14:dataValidation>
        <x14:dataValidation type="list" allowBlank="1" showInputMessage="1" showErrorMessage="1" xr:uid="{65D29AF8-DE02-48C7-8D4C-4296A2A101E3}">
          <x14:formula1>
            <xm:f>項目!A4:$DDE$851970</xm:f>
          </x14:formula1>
          <xm:sqref>DDN851975:DDN851998</xm:sqref>
        </x14:dataValidation>
        <x14:dataValidation type="list" allowBlank="1" showInputMessage="1" showErrorMessage="1" xr:uid="{5E00C70A-A9EC-4FB0-B775-B0360BF8EFBF}">
          <x14:formula1>
            <xm:f>項目!A4:$DNA$851970</xm:f>
          </x14:formula1>
          <xm:sqref>DNJ851975:DNJ851998</xm:sqref>
        </x14:dataValidation>
        <x14:dataValidation type="list" allowBlank="1" showInputMessage="1" showErrorMessage="1" xr:uid="{AF8EEC02-8F8F-4FD3-8414-8A38FFFD8FC9}">
          <x14:formula1>
            <xm:f>項目!A4:$DWW$851970</xm:f>
          </x14:formula1>
          <xm:sqref>DXF851975:DXF851998</xm:sqref>
        </x14:dataValidation>
        <x14:dataValidation type="list" allowBlank="1" showInputMessage="1" showErrorMessage="1" xr:uid="{36EF6473-3B90-4966-B96A-8BC9F115017B}">
          <x14:formula1>
            <xm:f>項目!A4:$EGS$851970</xm:f>
          </x14:formula1>
          <xm:sqref>EHB851975:EHB851998</xm:sqref>
        </x14:dataValidation>
        <x14:dataValidation type="list" allowBlank="1" showInputMessage="1" showErrorMessage="1" xr:uid="{1A4E8720-F42E-4B9F-AD2B-06C27BCE3EF6}">
          <x14:formula1>
            <xm:f>項目!A4:$EQO$851970</xm:f>
          </x14:formula1>
          <xm:sqref>EQX851975:EQX851998</xm:sqref>
        </x14:dataValidation>
        <x14:dataValidation type="list" allowBlank="1" showInputMessage="1" showErrorMessage="1" xr:uid="{9275FCAD-0A4B-4DE6-BE54-028D5A481AB4}">
          <x14:formula1>
            <xm:f>項目!A4:$FAK$851970</xm:f>
          </x14:formula1>
          <xm:sqref>FAT851975:FAT851998</xm:sqref>
        </x14:dataValidation>
        <x14:dataValidation type="list" allowBlank="1" showInputMessage="1" showErrorMessage="1" xr:uid="{2E392396-62A4-4001-BCCC-1DDCAB13A92A}">
          <x14:formula1>
            <xm:f>項目!A4:$FKG$851970</xm:f>
          </x14:formula1>
          <xm:sqref>FKP851975:FKP851998</xm:sqref>
        </x14:dataValidation>
        <x14:dataValidation type="list" allowBlank="1" showInputMessage="1" showErrorMessage="1" xr:uid="{9BAEB073-ED4F-43F3-AECC-CCA92ECA498F}">
          <x14:formula1>
            <xm:f>項目!A4:$FUC$851970</xm:f>
          </x14:formula1>
          <xm:sqref>FUL851975:FUL851998</xm:sqref>
        </x14:dataValidation>
        <x14:dataValidation type="list" allowBlank="1" showInputMessage="1" showErrorMessage="1" xr:uid="{C286C7BA-13AB-4794-9E79-49936C5CA94E}">
          <x14:formula1>
            <xm:f>項目!A4:$GDY$851970</xm:f>
          </x14:formula1>
          <xm:sqref>GEH851975:GEH851998</xm:sqref>
        </x14:dataValidation>
        <x14:dataValidation type="list" allowBlank="1" showInputMessage="1" showErrorMessage="1" xr:uid="{E25D07A1-FC9F-4B69-B358-9EA742FFCEEB}">
          <x14:formula1>
            <xm:f>項目!A4:$GNU$851970</xm:f>
          </x14:formula1>
          <xm:sqref>GOD851975:GOD851998</xm:sqref>
        </x14:dataValidation>
        <x14:dataValidation type="list" allowBlank="1" showInputMessage="1" showErrorMessage="1" xr:uid="{181F0837-A969-4C23-9749-9EB6D0253255}">
          <x14:formula1>
            <xm:f>項目!A4:$GXQ$851970</xm:f>
          </x14:formula1>
          <xm:sqref>GXZ851975:GXZ851998</xm:sqref>
        </x14:dataValidation>
        <x14:dataValidation type="list" allowBlank="1" showInputMessage="1" showErrorMessage="1" xr:uid="{3C92E39F-6A06-4798-BDA7-DC68BF2194DF}">
          <x14:formula1>
            <xm:f>項目!A4:$HHM$851970</xm:f>
          </x14:formula1>
          <xm:sqref>HHV851975:HHV851998</xm:sqref>
        </x14:dataValidation>
        <x14:dataValidation type="list" allowBlank="1" showInputMessage="1" showErrorMessage="1" xr:uid="{3026E4D3-822D-44D1-B9D2-7CAC6760FA86}">
          <x14:formula1>
            <xm:f>項目!A4:$HRI$851970</xm:f>
          </x14:formula1>
          <xm:sqref>HRR851975:HRR851998</xm:sqref>
        </x14:dataValidation>
        <x14:dataValidation type="list" allowBlank="1" showInputMessage="1" showErrorMessage="1" xr:uid="{D97E79CF-8152-4888-9B09-16B9633BD97B}">
          <x14:formula1>
            <xm:f>項目!A4:$IBE$851970</xm:f>
          </x14:formula1>
          <xm:sqref>IBN851975:IBN851998</xm:sqref>
        </x14:dataValidation>
        <x14:dataValidation type="list" allowBlank="1" showInputMessage="1" showErrorMessage="1" xr:uid="{84B90885-FA58-4135-ABCD-DCB508706E5F}">
          <x14:formula1>
            <xm:f>項目!A4:$ILA$851970</xm:f>
          </x14:formula1>
          <xm:sqref>ILJ851975:ILJ851998</xm:sqref>
        </x14:dataValidation>
        <x14:dataValidation type="list" allowBlank="1" showInputMessage="1" showErrorMessage="1" xr:uid="{A66369EF-9C4A-4689-B74E-D69D9DE823EE}">
          <x14:formula1>
            <xm:f>項目!A4:$IUW$851970</xm:f>
          </x14:formula1>
          <xm:sqref>IVF851975:IVF851998</xm:sqref>
        </x14:dataValidation>
        <x14:dataValidation type="list" allowBlank="1" showInputMessage="1" showErrorMessage="1" xr:uid="{8A9EFC5A-EC4A-489D-BC1D-9E978C9099E4}">
          <x14:formula1>
            <xm:f>項目!A4:$JES$851970</xm:f>
          </x14:formula1>
          <xm:sqref>JFB851975:JFB851998</xm:sqref>
        </x14:dataValidation>
        <x14:dataValidation type="list" allowBlank="1" showInputMessage="1" showErrorMessage="1" xr:uid="{6D940FC5-0FC7-493D-A27B-D87D772D33EA}">
          <x14:formula1>
            <xm:f>項目!A4:$JOO$851970</xm:f>
          </x14:formula1>
          <xm:sqref>JOX851975:JOX851998</xm:sqref>
        </x14:dataValidation>
        <x14:dataValidation type="list" allowBlank="1" showInputMessage="1" showErrorMessage="1" xr:uid="{F60AC41F-1F38-4F8D-8F64-5007ED48938B}">
          <x14:formula1>
            <xm:f>項目!A4:$JYK$851970</xm:f>
          </x14:formula1>
          <xm:sqref>JYT851975:JYT851998</xm:sqref>
        </x14:dataValidation>
        <x14:dataValidation type="list" allowBlank="1" showInputMessage="1" showErrorMessage="1" xr:uid="{3EA7B2C3-A526-4606-ABC9-D5BB4D38525A}">
          <x14:formula1>
            <xm:f>項目!A4:$KIG$851970</xm:f>
          </x14:formula1>
          <xm:sqref>KIP851975:KIP851998</xm:sqref>
        </x14:dataValidation>
        <x14:dataValidation type="list" allowBlank="1" showInputMessage="1" showErrorMessage="1" xr:uid="{EADE4E4B-1FEF-4714-94EF-855AFDD22D12}">
          <x14:formula1>
            <xm:f>項目!A4:$KSC$851970</xm:f>
          </x14:formula1>
          <xm:sqref>KSL851975:KSL851998</xm:sqref>
        </x14:dataValidation>
        <x14:dataValidation type="list" allowBlank="1" showInputMessage="1" showErrorMessage="1" xr:uid="{74F105F7-91BA-444C-933A-16A580F7BD7D}">
          <x14:formula1>
            <xm:f>項目!A4:$LBY$851970</xm:f>
          </x14:formula1>
          <xm:sqref>LCH851975:LCH851998</xm:sqref>
        </x14:dataValidation>
        <x14:dataValidation type="list" allowBlank="1" showInputMessage="1" showErrorMessage="1" xr:uid="{FEA8A2F0-B476-4CED-BEEB-B71099526CE8}">
          <x14:formula1>
            <xm:f>項目!A4:$LLU$851970</xm:f>
          </x14:formula1>
          <xm:sqref>LMD851975:LMD851998</xm:sqref>
        </x14:dataValidation>
        <x14:dataValidation type="list" allowBlank="1" showInputMessage="1" showErrorMessage="1" xr:uid="{8021D367-5144-4AC4-84EE-3D851E8431B9}">
          <x14:formula1>
            <xm:f>項目!A4:$LVQ$851970</xm:f>
          </x14:formula1>
          <xm:sqref>LVZ851975:LVZ851998</xm:sqref>
        </x14:dataValidation>
        <x14:dataValidation type="list" allowBlank="1" showInputMessage="1" showErrorMessage="1" xr:uid="{F518FEC2-E80D-4676-917E-3F63760F5204}">
          <x14:formula1>
            <xm:f>項目!A4:$MFM$851970</xm:f>
          </x14:formula1>
          <xm:sqref>MFV851975:MFV851998</xm:sqref>
        </x14:dataValidation>
        <x14:dataValidation type="list" allowBlank="1" showInputMessage="1" showErrorMessage="1" xr:uid="{FD1897D2-69E0-4CA8-8751-1A0BD6970073}">
          <x14:formula1>
            <xm:f>項目!A4:$MPI$851970</xm:f>
          </x14:formula1>
          <xm:sqref>MPR851975:MPR851998</xm:sqref>
        </x14:dataValidation>
        <x14:dataValidation type="list" allowBlank="1" showInputMessage="1" showErrorMessage="1" xr:uid="{5D9E27E5-40A4-42CA-9AF8-F4F8DE4D821B}">
          <x14:formula1>
            <xm:f>項目!A4:$MZE$851970</xm:f>
          </x14:formula1>
          <xm:sqref>MZN851975:MZN851998</xm:sqref>
        </x14:dataValidation>
        <x14:dataValidation type="list" allowBlank="1" showInputMessage="1" showErrorMessage="1" xr:uid="{67C2F9FD-7642-4CBF-89CD-F2D837B3D25A}">
          <x14:formula1>
            <xm:f>項目!A4:$NJA$851970</xm:f>
          </x14:formula1>
          <xm:sqref>NJJ851975:NJJ851998</xm:sqref>
        </x14:dataValidation>
        <x14:dataValidation type="list" allowBlank="1" showInputMessage="1" showErrorMessage="1" xr:uid="{56F2B007-CDF7-46ED-8AA2-A8CFF609A159}">
          <x14:formula1>
            <xm:f>項目!A4:$NSW$851970</xm:f>
          </x14:formula1>
          <xm:sqref>NTF851975:NTF851998</xm:sqref>
        </x14:dataValidation>
        <x14:dataValidation type="list" allowBlank="1" showInputMessage="1" showErrorMessage="1" xr:uid="{E391E906-6F2C-4B3F-B025-4FB60364B0B3}">
          <x14:formula1>
            <xm:f>項目!A4:$OCS$851970</xm:f>
          </x14:formula1>
          <xm:sqref>ODB851975:ODB851998</xm:sqref>
        </x14:dataValidation>
        <x14:dataValidation type="list" allowBlank="1" showInputMessage="1" showErrorMessage="1" xr:uid="{A6A1FFC2-C588-485F-8700-5A19D69C0A0A}">
          <x14:formula1>
            <xm:f>項目!A4:$OMO$851970</xm:f>
          </x14:formula1>
          <xm:sqref>OMX851975:OMX851998</xm:sqref>
        </x14:dataValidation>
        <x14:dataValidation type="list" allowBlank="1" showInputMessage="1" showErrorMessage="1" xr:uid="{FB2789AC-0975-450A-A470-B2754AF687B2}">
          <x14:formula1>
            <xm:f>項目!A4:$OWK$851970</xm:f>
          </x14:formula1>
          <xm:sqref>OWT851975:OWT851998</xm:sqref>
        </x14:dataValidation>
        <x14:dataValidation type="list" allowBlank="1" showInputMessage="1" showErrorMessage="1" xr:uid="{CD9F923E-1E2D-4F9A-A1C6-4D6B9F605882}">
          <x14:formula1>
            <xm:f>項目!A4:$PGG$851970</xm:f>
          </x14:formula1>
          <xm:sqref>PGP851975:PGP851998</xm:sqref>
        </x14:dataValidation>
        <x14:dataValidation type="list" allowBlank="1" showInputMessage="1" showErrorMessage="1" xr:uid="{12B08A25-9A3D-4A67-98DE-320F5FA6DF32}">
          <x14:formula1>
            <xm:f>項目!A4:$PQC$851970</xm:f>
          </x14:formula1>
          <xm:sqref>PQL851975:PQL851998</xm:sqref>
        </x14:dataValidation>
        <x14:dataValidation type="list" allowBlank="1" showInputMessage="1" showErrorMessage="1" xr:uid="{FC2FD384-8AC1-44BA-9F8A-F70E2F75FF82}">
          <x14:formula1>
            <xm:f>項目!A4:$PZY$851970</xm:f>
          </x14:formula1>
          <xm:sqref>QAH851975:QAH851998</xm:sqref>
        </x14:dataValidation>
        <x14:dataValidation type="list" allowBlank="1" showInputMessage="1" showErrorMessage="1" xr:uid="{EA45746E-394A-454C-9E3C-F966192F44B8}">
          <x14:formula1>
            <xm:f>項目!A4:$QJU$851970</xm:f>
          </x14:formula1>
          <xm:sqref>QKD851975:QKD851998</xm:sqref>
        </x14:dataValidation>
        <x14:dataValidation type="list" allowBlank="1" showInputMessage="1" showErrorMessage="1" xr:uid="{ABDA0D37-3F74-42A0-9168-2781C7A567B8}">
          <x14:formula1>
            <xm:f>項目!A4:$QTQ$851970</xm:f>
          </x14:formula1>
          <xm:sqref>QTZ851975:QTZ851998</xm:sqref>
        </x14:dataValidation>
        <x14:dataValidation type="list" allowBlank="1" showInputMessage="1" showErrorMessage="1" xr:uid="{B3AC9261-82D2-47EF-89BF-C15BC2E667E8}">
          <x14:formula1>
            <xm:f>項目!A4:$RDM$851970</xm:f>
          </x14:formula1>
          <xm:sqref>RDV851975:RDV851998</xm:sqref>
        </x14:dataValidation>
        <x14:dataValidation type="list" allowBlank="1" showInputMessage="1" showErrorMessage="1" xr:uid="{F4189CF7-A487-45DE-8FA2-1B37B96311A2}">
          <x14:formula1>
            <xm:f>項目!A4:$RNI$851970</xm:f>
          </x14:formula1>
          <xm:sqref>RNR851975:RNR851998</xm:sqref>
        </x14:dataValidation>
        <x14:dataValidation type="list" allowBlank="1" showInputMessage="1" showErrorMessage="1" xr:uid="{38134EB1-84E0-4F96-ABAC-BA915B161F66}">
          <x14:formula1>
            <xm:f>項目!A4:$RXE$851970</xm:f>
          </x14:formula1>
          <xm:sqref>RXN851975:RXN851998</xm:sqref>
        </x14:dataValidation>
        <x14:dataValidation type="list" allowBlank="1" showInputMessage="1" showErrorMessage="1" xr:uid="{98FD7219-9398-4C7B-8D7F-9685CE9B2A75}">
          <x14:formula1>
            <xm:f>項目!A4:$SHA$851970</xm:f>
          </x14:formula1>
          <xm:sqref>SHJ851975:SHJ851998</xm:sqref>
        </x14:dataValidation>
        <x14:dataValidation type="list" allowBlank="1" showInputMessage="1" showErrorMessage="1" xr:uid="{F0E2606C-FAE7-4288-8CC6-1E6105FF4363}">
          <x14:formula1>
            <xm:f>項目!A4:$SQW$851970</xm:f>
          </x14:formula1>
          <xm:sqref>SRF851975:SRF851998</xm:sqref>
        </x14:dataValidation>
        <x14:dataValidation type="list" allowBlank="1" showInputMessage="1" showErrorMessage="1" xr:uid="{E0AA9BC4-093E-46C7-B20B-754103616864}">
          <x14:formula1>
            <xm:f>項目!A4:$TAS$851970</xm:f>
          </x14:formula1>
          <xm:sqref>TBB851975:TBB851998</xm:sqref>
        </x14:dataValidation>
        <x14:dataValidation type="list" allowBlank="1" showInputMessage="1" showErrorMessage="1" xr:uid="{F4214D81-349E-4C52-817C-2B5F85BB1E42}">
          <x14:formula1>
            <xm:f>項目!A4:$TKO$851970</xm:f>
          </x14:formula1>
          <xm:sqref>TKX851975:TKX851998</xm:sqref>
        </x14:dataValidation>
        <x14:dataValidation type="list" allowBlank="1" showInputMessage="1" showErrorMessage="1" xr:uid="{E00B7E67-6403-4B3E-847C-91B7FF36B63A}">
          <x14:formula1>
            <xm:f>項目!A4:$TUK$851970</xm:f>
          </x14:formula1>
          <xm:sqref>TUT851975:TUT851998</xm:sqref>
        </x14:dataValidation>
        <x14:dataValidation type="list" allowBlank="1" showInputMessage="1" showErrorMessage="1" xr:uid="{229B3472-07F1-48CC-B94B-509B29F110CF}">
          <x14:formula1>
            <xm:f>項目!A4:$UEG$851970</xm:f>
          </x14:formula1>
          <xm:sqref>UEP851975:UEP851998</xm:sqref>
        </x14:dataValidation>
        <x14:dataValidation type="list" allowBlank="1" showInputMessage="1" showErrorMessage="1" xr:uid="{C04D1EDE-328E-4476-949B-1D7BC2753E4B}">
          <x14:formula1>
            <xm:f>項目!A4:$UOC$851970</xm:f>
          </x14:formula1>
          <xm:sqref>UOL851975:UOL851998</xm:sqref>
        </x14:dataValidation>
        <x14:dataValidation type="list" allowBlank="1" showInputMessage="1" showErrorMessage="1" xr:uid="{343C62B7-7ECB-4968-A195-E220AAB3C626}">
          <x14:formula1>
            <xm:f>項目!A4:$UXY$851970</xm:f>
          </x14:formula1>
          <xm:sqref>UYH851975:UYH851998</xm:sqref>
        </x14:dataValidation>
        <x14:dataValidation type="list" allowBlank="1" showInputMessage="1" showErrorMessage="1" xr:uid="{0150AFDF-912C-49C7-81F7-83D4F178DEEB}">
          <x14:formula1>
            <xm:f>項目!A4:$VHU$851970</xm:f>
          </x14:formula1>
          <xm:sqref>VID851975:VID851998</xm:sqref>
        </x14:dataValidation>
        <x14:dataValidation type="list" allowBlank="1" showInputMessage="1" showErrorMessage="1" xr:uid="{1FF8C8A8-1563-47D2-8266-C3D0C84044BD}">
          <x14:formula1>
            <xm:f>項目!A4:$VRQ$851970</xm:f>
          </x14:formula1>
          <xm:sqref>VRZ851975:VRZ851998</xm:sqref>
        </x14:dataValidation>
        <x14:dataValidation type="list" allowBlank="1" showInputMessage="1" showErrorMessage="1" xr:uid="{5C94BB5E-8921-42EE-A396-5D53E8C60CB8}">
          <x14:formula1>
            <xm:f>項目!A4:$WBM$851970</xm:f>
          </x14:formula1>
          <xm:sqref>WBV851975:WBV851998</xm:sqref>
        </x14:dataValidation>
        <x14:dataValidation type="list" allowBlank="1" showInputMessage="1" showErrorMessage="1" xr:uid="{418EC493-461C-4108-81F2-9A3D577E25B1}">
          <x14:formula1>
            <xm:f>項目!A4:$WLI$851970</xm:f>
          </x14:formula1>
          <xm:sqref>WLR851975:WLR851998</xm:sqref>
        </x14:dataValidation>
        <x14:dataValidation type="list" allowBlank="1" showInputMessage="1" showErrorMessage="1" xr:uid="{873275D1-5246-4EAF-B6FE-E6C44F880E77}">
          <x14:formula1>
            <xm:f>項目!A4:$WVE$851970</xm:f>
          </x14:formula1>
          <xm:sqref>WVN851975:WVN851998</xm:sqref>
        </x14:dataValidation>
        <x14:dataValidation type="list" allowBlank="1" showInputMessage="1" showErrorMessage="1" xr:uid="{5EE4E607-83A8-4B19-B6D7-6E466FEED002}">
          <x14:formula1>
            <xm:f>項目!A4:$IS$917506</xm:f>
          </x14:formula1>
          <xm:sqref>JB917511:JB917534</xm:sqref>
        </x14:dataValidation>
        <x14:dataValidation type="list" allowBlank="1" showInputMessage="1" showErrorMessage="1" xr:uid="{E3DB8E2C-D233-4FA4-9392-FAC8EB7D4752}">
          <x14:formula1>
            <xm:f>項目!A4:$SO$917506</xm:f>
          </x14:formula1>
          <xm:sqref>SX917511:SX917534</xm:sqref>
        </x14:dataValidation>
        <x14:dataValidation type="list" allowBlank="1" showInputMessage="1" showErrorMessage="1" xr:uid="{BA529948-6A53-4CD6-B98E-CD95333ECC01}">
          <x14:formula1>
            <xm:f>項目!A4:$ACK$917506</xm:f>
          </x14:formula1>
          <xm:sqref>ACT917511:ACT917534</xm:sqref>
        </x14:dataValidation>
        <x14:dataValidation type="list" allowBlank="1" showInputMessage="1" showErrorMessage="1" xr:uid="{96885AF2-A04B-497E-9785-F1D569D020B1}">
          <x14:formula1>
            <xm:f>項目!A4:$AMG$917506</xm:f>
          </x14:formula1>
          <xm:sqref>AMP917511:AMP917534</xm:sqref>
        </x14:dataValidation>
        <x14:dataValidation type="list" allowBlank="1" showInputMessage="1" showErrorMessage="1" xr:uid="{15ED0025-981F-4572-B2DB-AF299813631D}">
          <x14:formula1>
            <xm:f>項目!A4:$AWC$917506</xm:f>
          </x14:formula1>
          <xm:sqref>AWL917511:AWL917534</xm:sqref>
        </x14:dataValidation>
        <x14:dataValidation type="list" allowBlank="1" showInputMessage="1" showErrorMessage="1" xr:uid="{61A92845-49AD-4E34-8B86-320F84D66845}">
          <x14:formula1>
            <xm:f>項目!A4:$BFY$917506</xm:f>
          </x14:formula1>
          <xm:sqref>BGH917511:BGH917534</xm:sqref>
        </x14:dataValidation>
        <x14:dataValidation type="list" allowBlank="1" showInputMessage="1" showErrorMessage="1" xr:uid="{DF100ED9-C05B-48D1-9BF3-D3ADAE699894}">
          <x14:formula1>
            <xm:f>項目!A4:$BPU$917506</xm:f>
          </x14:formula1>
          <xm:sqref>BQD917511:BQD917534</xm:sqref>
        </x14:dataValidation>
        <x14:dataValidation type="list" allowBlank="1" showInputMessage="1" showErrorMessage="1" xr:uid="{84A607D9-2763-4F52-A1C0-3D7E58B4178F}">
          <x14:formula1>
            <xm:f>項目!A4:$BZQ$917506</xm:f>
          </x14:formula1>
          <xm:sqref>BZZ917511:BZZ917534</xm:sqref>
        </x14:dataValidation>
        <x14:dataValidation type="list" allowBlank="1" showInputMessage="1" showErrorMessage="1" xr:uid="{C7E651A5-1396-4E49-B822-93017F8F72ED}">
          <x14:formula1>
            <xm:f>項目!A4:$CJM$917506</xm:f>
          </x14:formula1>
          <xm:sqref>CJV917511:CJV917534</xm:sqref>
        </x14:dataValidation>
        <x14:dataValidation type="list" allowBlank="1" showInputMessage="1" showErrorMessage="1" xr:uid="{018AEE3F-841B-4463-B935-7AB08D503641}">
          <x14:formula1>
            <xm:f>項目!A4:$CTI$917506</xm:f>
          </x14:formula1>
          <xm:sqref>CTR917511:CTR917534</xm:sqref>
        </x14:dataValidation>
        <x14:dataValidation type="list" allowBlank="1" showInputMessage="1" showErrorMessage="1" xr:uid="{107D054F-DCBB-48C0-9E06-70D57A6109E5}">
          <x14:formula1>
            <xm:f>項目!A4:$DDE$917506</xm:f>
          </x14:formula1>
          <xm:sqref>DDN917511:DDN917534</xm:sqref>
        </x14:dataValidation>
        <x14:dataValidation type="list" allowBlank="1" showInputMessage="1" showErrorMessage="1" xr:uid="{C77172E9-08D5-433D-8B43-C5141FA238D0}">
          <x14:formula1>
            <xm:f>項目!A4:$DNA$917506</xm:f>
          </x14:formula1>
          <xm:sqref>DNJ917511:DNJ917534</xm:sqref>
        </x14:dataValidation>
        <x14:dataValidation type="list" allowBlank="1" showInputMessage="1" showErrorMessage="1" xr:uid="{AFB597F3-5CE1-4503-A596-BDFA13F12DF5}">
          <x14:formula1>
            <xm:f>項目!A4:$DWW$917506</xm:f>
          </x14:formula1>
          <xm:sqref>DXF917511:DXF917534</xm:sqref>
        </x14:dataValidation>
        <x14:dataValidation type="list" allowBlank="1" showInputMessage="1" showErrorMessage="1" xr:uid="{088FB491-FAE3-4352-B400-BC459813BADF}">
          <x14:formula1>
            <xm:f>項目!A4:$EGS$917506</xm:f>
          </x14:formula1>
          <xm:sqref>EHB917511:EHB917534</xm:sqref>
        </x14:dataValidation>
        <x14:dataValidation type="list" allowBlank="1" showInputMessage="1" showErrorMessage="1" xr:uid="{8B680989-7E45-4E59-B00B-9E0FF42AFD4F}">
          <x14:formula1>
            <xm:f>項目!A4:$EQO$917506</xm:f>
          </x14:formula1>
          <xm:sqref>EQX917511:EQX917534</xm:sqref>
        </x14:dataValidation>
        <x14:dataValidation type="list" allowBlank="1" showInputMessage="1" showErrorMessage="1" xr:uid="{32F8E23E-4F06-45A9-B0D7-23BF4BD36907}">
          <x14:formula1>
            <xm:f>項目!A4:$FAK$917506</xm:f>
          </x14:formula1>
          <xm:sqref>FAT917511:FAT917534</xm:sqref>
        </x14:dataValidation>
        <x14:dataValidation type="list" allowBlank="1" showInputMessage="1" showErrorMessage="1" xr:uid="{E8E6826C-46F1-4B5E-9205-A08C65846D4E}">
          <x14:formula1>
            <xm:f>項目!A4:$FKG$917506</xm:f>
          </x14:formula1>
          <xm:sqref>FKP917511:FKP917534</xm:sqref>
        </x14:dataValidation>
        <x14:dataValidation type="list" allowBlank="1" showInputMessage="1" showErrorMessage="1" xr:uid="{FFB30525-22E4-4896-991C-69F141A0B320}">
          <x14:formula1>
            <xm:f>項目!A4:$FUC$917506</xm:f>
          </x14:formula1>
          <xm:sqref>FUL917511:FUL917534</xm:sqref>
        </x14:dataValidation>
        <x14:dataValidation type="list" allowBlank="1" showInputMessage="1" showErrorMessage="1" xr:uid="{FACC2CE8-467B-415F-BD1A-D7AFB40F47F1}">
          <x14:formula1>
            <xm:f>項目!A4:$GDY$917506</xm:f>
          </x14:formula1>
          <xm:sqref>GEH917511:GEH917534</xm:sqref>
        </x14:dataValidation>
        <x14:dataValidation type="list" allowBlank="1" showInputMessage="1" showErrorMessage="1" xr:uid="{FF9E60FF-42A7-4295-B4AF-A47AA872DE5C}">
          <x14:formula1>
            <xm:f>項目!A4:$GNU$917506</xm:f>
          </x14:formula1>
          <xm:sqref>GOD917511:GOD917534</xm:sqref>
        </x14:dataValidation>
        <x14:dataValidation type="list" allowBlank="1" showInputMessage="1" showErrorMessage="1" xr:uid="{0F6E0E19-BABA-430E-BC80-A9E298A901F9}">
          <x14:formula1>
            <xm:f>項目!A4:$GXQ$917506</xm:f>
          </x14:formula1>
          <xm:sqref>GXZ917511:GXZ917534</xm:sqref>
        </x14:dataValidation>
        <x14:dataValidation type="list" allowBlank="1" showInputMessage="1" showErrorMessage="1" xr:uid="{A5B3A2BE-B438-4643-BB19-A375BBD8C435}">
          <x14:formula1>
            <xm:f>項目!A4:$HHM$917506</xm:f>
          </x14:formula1>
          <xm:sqref>HHV917511:HHV917534</xm:sqref>
        </x14:dataValidation>
        <x14:dataValidation type="list" allowBlank="1" showInputMessage="1" showErrorMessage="1" xr:uid="{BBED36AC-CB65-491F-891A-5DBCF6683325}">
          <x14:formula1>
            <xm:f>項目!A4:$HRI$917506</xm:f>
          </x14:formula1>
          <xm:sqref>HRR917511:HRR917534</xm:sqref>
        </x14:dataValidation>
        <x14:dataValidation type="list" allowBlank="1" showInputMessage="1" showErrorMessage="1" xr:uid="{95A4B43F-17C6-4BC2-A310-979EA07550FD}">
          <x14:formula1>
            <xm:f>項目!A4:$IBE$917506</xm:f>
          </x14:formula1>
          <xm:sqref>IBN917511:IBN917534</xm:sqref>
        </x14:dataValidation>
        <x14:dataValidation type="list" allowBlank="1" showInputMessage="1" showErrorMessage="1" xr:uid="{BC7D0073-9777-4B6B-850C-3A0069C4B137}">
          <x14:formula1>
            <xm:f>項目!A4:$ILA$917506</xm:f>
          </x14:formula1>
          <xm:sqref>ILJ917511:ILJ917534</xm:sqref>
        </x14:dataValidation>
        <x14:dataValidation type="list" allowBlank="1" showInputMessage="1" showErrorMessage="1" xr:uid="{F5ED5591-D0BF-4656-9256-2AAEEBEE52A9}">
          <x14:formula1>
            <xm:f>項目!A4:$IUW$917506</xm:f>
          </x14:formula1>
          <xm:sqref>IVF917511:IVF917534</xm:sqref>
        </x14:dataValidation>
        <x14:dataValidation type="list" allowBlank="1" showInputMessage="1" showErrorMessage="1" xr:uid="{54768CCB-AFF3-4BD7-AA3D-50A43C3B0794}">
          <x14:formula1>
            <xm:f>項目!A4:$JES$917506</xm:f>
          </x14:formula1>
          <xm:sqref>JFB917511:JFB917534</xm:sqref>
        </x14:dataValidation>
        <x14:dataValidation type="list" allowBlank="1" showInputMessage="1" showErrorMessage="1" xr:uid="{9DA7C2CD-0A7B-41FF-8613-0284B7636682}">
          <x14:formula1>
            <xm:f>項目!A4:$JOO$917506</xm:f>
          </x14:formula1>
          <xm:sqref>JOX917511:JOX917534</xm:sqref>
        </x14:dataValidation>
        <x14:dataValidation type="list" allowBlank="1" showInputMessage="1" showErrorMessage="1" xr:uid="{25AB9F08-54EE-448E-A024-F590BE99329E}">
          <x14:formula1>
            <xm:f>項目!A4:$JYK$917506</xm:f>
          </x14:formula1>
          <xm:sqref>JYT917511:JYT917534</xm:sqref>
        </x14:dataValidation>
        <x14:dataValidation type="list" allowBlank="1" showInputMessage="1" showErrorMessage="1" xr:uid="{B5F58AB8-8926-4478-8BBD-83A8CFD8DAA0}">
          <x14:formula1>
            <xm:f>項目!A4:$KIG$917506</xm:f>
          </x14:formula1>
          <xm:sqref>KIP917511:KIP917534</xm:sqref>
        </x14:dataValidation>
        <x14:dataValidation type="list" allowBlank="1" showInputMessage="1" showErrorMessage="1" xr:uid="{0E4E234E-A1A6-44A2-ADD0-D58B02BA600B}">
          <x14:formula1>
            <xm:f>項目!A4:$KSC$917506</xm:f>
          </x14:formula1>
          <xm:sqref>KSL917511:KSL917534</xm:sqref>
        </x14:dataValidation>
        <x14:dataValidation type="list" allowBlank="1" showInputMessage="1" showErrorMessage="1" xr:uid="{2665BC01-310D-4354-AA14-61021F362C71}">
          <x14:formula1>
            <xm:f>項目!A4:$LBY$917506</xm:f>
          </x14:formula1>
          <xm:sqref>LCH917511:LCH917534</xm:sqref>
        </x14:dataValidation>
        <x14:dataValidation type="list" allowBlank="1" showInputMessage="1" showErrorMessage="1" xr:uid="{C6D4CE49-B76E-4840-A8C3-26E8DDB201A2}">
          <x14:formula1>
            <xm:f>項目!A4:$LLU$917506</xm:f>
          </x14:formula1>
          <xm:sqref>LMD917511:LMD917534</xm:sqref>
        </x14:dataValidation>
        <x14:dataValidation type="list" allowBlank="1" showInputMessage="1" showErrorMessage="1" xr:uid="{8597D9B9-9FD3-49F4-83B4-8503D9C2D005}">
          <x14:formula1>
            <xm:f>項目!A4:$LVQ$917506</xm:f>
          </x14:formula1>
          <xm:sqref>LVZ917511:LVZ917534</xm:sqref>
        </x14:dataValidation>
        <x14:dataValidation type="list" allowBlank="1" showInputMessage="1" showErrorMessage="1" xr:uid="{469932B9-80F8-45AA-A724-865A361AB93E}">
          <x14:formula1>
            <xm:f>項目!A4:$MFM$917506</xm:f>
          </x14:formula1>
          <xm:sqref>MFV917511:MFV917534</xm:sqref>
        </x14:dataValidation>
        <x14:dataValidation type="list" allowBlank="1" showInputMessage="1" showErrorMessage="1" xr:uid="{4A999F06-0A36-478B-ACAD-7A8AFE892A39}">
          <x14:formula1>
            <xm:f>項目!A4:$MPI$917506</xm:f>
          </x14:formula1>
          <xm:sqref>MPR917511:MPR917534</xm:sqref>
        </x14:dataValidation>
        <x14:dataValidation type="list" allowBlank="1" showInputMessage="1" showErrorMessage="1" xr:uid="{2A2B36EE-18A3-45D8-89A1-D2EE93FA0EE6}">
          <x14:formula1>
            <xm:f>項目!A4:$MZE$917506</xm:f>
          </x14:formula1>
          <xm:sqref>MZN917511:MZN917534</xm:sqref>
        </x14:dataValidation>
        <x14:dataValidation type="list" allowBlank="1" showInputMessage="1" showErrorMessage="1" xr:uid="{A268086D-30FA-4222-93C0-7F44F152C215}">
          <x14:formula1>
            <xm:f>項目!A4:$NJA$917506</xm:f>
          </x14:formula1>
          <xm:sqref>NJJ917511:NJJ917534</xm:sqref>
        </x14:dataValidation>
        <x14:dataValidation type="list" allowBlank="1" showInputMessage="1" showErrorMessage="1" xr:uid="{D857777D-B9F6-45EF-8F16-2B1C62E53848}">
          <x14:formula1>
            <xm:f>項目!A4:$NSW$917506</xm:f>
          </x14:formula1>
          <xm:sqref>NTF917511:NTF917534</xm:sqref>
        </x14:dataValidation>
        <x14:dataValidation type="list" allowBlank="1" showInputMessage="1" showErrorMessage="1" xr:uid="{F1C9CFCA-967B-4F8D-B7BA-0596E26DAAC7}">
          <x14:formula1>
            <xm:f>項目!A4:$OCS$917506</xm:f>
          </x14:formula1>
          <xm:sqref>ODB917511:ODB917534</xm:sqref>
        </x14:dataValidation>
        <x14:dataValidation type="list" allowBlank="1" showInputMessage="1" showErrorMessage="1" xr:uid="{767A0F4C-6FF6-462D-BEC7-3821B3F7DAD5}">
          <x14:formula1>
            <xm:f>項目!A4:$OMO$917506</xm:f>
          </x14:formula1>
          <xm:sqref>OMX917511:OMX917534</xm:sqref>
        </x14:dataValidation>
        <x14:dataValidation type="list" allowBlank="1" showInputMessage="1" showErrorMessage="1" xr:uid="{84354CAC-8507-4192-BC4C-9DD2DE028085}">
          <x14:formula1>
            <xm:f>項目!A4:$OWK$917506</xm:f>
          </x14:formula1>
          <xm:sqref>OWT917511:OWT917534</xm:sqref>
        </x14:dataValidation>
        <x14:dataValidation type="list" allowBlank="1" showInputMessage="1" showErrorMessage="1" xr:uid="{CF46060C-29F6-4080-9C9B-07F8AE7CC01D}">
          <x14:formula1>
            <xm:f>項目!A4:$PGG$917506</xm:f>
          </x14:formula1>
          <xm:sqref>PGP917511:PGP917534</xm:sqref>
        </x14:dataValidation>
        <x14:dataValidation type="list" allowBlank="1" showInputMessage="1" showErrorMessage="1" xr:uid="{50E529FA-0EFC-41BF-9416-6770CFC2EB1A}">
          <x14:formula1>
            <xm:f>項目!A4:$PQC$917506</xm:f>
          </x14:formula1>
          <xm:sqref>PQL917511:PQL917534</xm:sqref>
        </x14:dataValidation>
        <x14:dataValidation type="list" allowBlank="1" showInputMessage="1" showErrorMessage="1" xr:uid="{AE533115-F04E-4555-98A2-B94E6DBA4AEC}">
          <x14:formula1>
            <xm:f>項目!A4:$PZY$917506</xm:f>
          </x14:formula1>
          <xm:sqref>QAH917511:QAH917534</xm:sqref>
        </x14:dataValidation>
        <x14:dataValidation type="list" allowBlank="1" showInputMessage="1" showErrorMessage="1" xr:uid="{F3D6945D-4C43-4929-BB36-51B1579CA047}">
          <x14:formula1>
            <xm:f>項目!A4:$QJU$917506</xm:f>
          </x14:formula1>
          <xm:sqref>QKD917511:QKD917534</xm:sqref>
        </x14:dataValidation>
        <x14:dataValidation type="list" allowBlank="1" showInputMessage="1" showErrorMessage="1" xr:uid="{EA4E64E4-75CF-4FF3-8FE5-F6BACB93E753}">
          <x14:formula1>
            <xm:f>項目!A4:$QTQ$917506</xm:f>
          </x14:formula1>
          <xm:sqref>QTZ917511:QTZ917534</xm:sqref>
        </x14:dataValidation>
        <x14:dataValidation type="list" allowBlank="1" showInputMessage="1" showErrorMessage="1" xr:uid="{C2CEFF63-9194-4AC8-B89F-30513097EB54}">
          <x14:formula1>
            <xm:f>項目!A4:$RDM$917506</xm:f>
          </x14:formula1>
          <xm:sqref>RDV917511:RDV917534</xm:sqref>
        </x14:dataValidation>
        <x14:dataValidation type="list" allowBlank="1" showInputMessage="1" showErrorMessage="1" xr:uid="{5DB69100-2D3A-4A8E-84C9-FAA9566BF26B}">
          <x14:formula1>
            <xm:f>項目!A4:$RNI$917506</xm:f>
          </x14:formula1>
          <xm:sqref>RNR917511:RNR917534</xm:sqref>
        </x14:dataValidation>
        <x14:dataValidation type="list" allowBlank="1" showInputMessage="1" showErrorMessage="1" xr:uid="{8372FD48-7125-4055-9107-CE306BE750E7}">
          <x14:formula1>
            <xm:f>項目!A4:$RXE$917506</xm:f>
          </x14:formula1>
          <xm:sqref>RXN917511:RXN917534</xm:sqref>
        </x14:dataValidation>
        <x14:dataValidation type="list" allowBlank="1" showInputMessage="1" showErrorMessage="1" xr:uid="{4F796EDF-6920-4CC5-9252-D229C89767D8}">
          <x14:formula1>
            <xm:f>項目!A4:$SHA$917506</xm:f>
          </x14:formula1>
          <xm:sqref>SHJ917511:SHJ917534</xm:sqref>
        </x14:dataValidation>
        <x14:dataValidation type="list" allowBlank="1" showInputMessage="1" showErrorMessage="1" xr:uid="{BB6C00C2-0B07-45EA-9552-8CA4672221B5}">
          <x14:formula1>
            <xm:f>項目!A4:$SQW$917506</xm:f>
          </x14:formula1>
          <xm:sqref>SRF917511:SRF917534</xm:sqref>
        </x14:dataValidation>
        <x14:dataValidation type="list" allowBlank="1" showInputMessage="1" showErrorMessage="1" xr:uid="{9C1873E5-5C51-4AF3-BDEF-A2A2CF1DE40C}">
          <x14:formula1>
            <xm:f>項目!A4:$TAS$917506</xm:f>
          </x14:formula1>
          <xm:sqref>TBB917511:TBB917534</xm:sqref>
        </x14:dataValidation>
        <x14:dataValidation type="list" allowBlank="1" showInputMessage="1" showErrorMessage="1" xr:uid="{657CE1DE-FECF-4B3D-AB5A-72649EFCA92C}">
          <x14:formula1>
            <xm:f>項目!A4:$TKO$917506</xm:f>
          </x14:formula1>
          <xm:sqref>TKX917511:TKX917534</xm:sqref>
        </x14:dataValidation>
        <x14:dataValidation type="list" allowBlank="1" showInputMessage="1" showErrorMessage="1" xr:uid="{9EF9C42D-EECD-46C9-A8E3-5A7CFA62E678}">
          <x14:formula1>
            <xm:f>項目!A4:$TUK$917506</xm:f>
          </x14:formula1>
          <xm:sqref>TUT917511:TUT917534</xm:sqref>
        </x14:dataValidation>
        <x14:dataValidation type="list" allowBlank="1" showInputMessage="1" showErrorMessage="1" xr:uid="{3B2E28E3-ABED-4820-BAC9-EF7FA4085E07}">
          <x14:formula1>
            <xm:f>項目!A4:$UEG$917506</xm:f>
          </x14:formula1>
          <xm:sqref>UEP917511:UEP917534</xm:sqref>
        </x14:dataValidation>
        <x14:dataValidation type="list" allowBlank="1" showInputMessage="1" showErrorMessage="1" xr:uid="{2B369797-CF27-4FE0-A399-813CDA4D813C}">
          <x14:formula1>
            <xm:f>項目!A4:$UOC$917506</xm:f>
          </x14:formula1>
          <xm:sqref>UOL917511:UOL917534</xm:sqref>
        </x14:dataValidation>
        <x14:dataValidation type="list" allowBlank="1" showInputMessage="1" showErrorMessage="1" xr:uid="{DAED6F39-A36D-442F-8F77-FCBCA6CB9511}">
          <x14:formula1>
            <xm:f>項目!A4:$UXY$917506</xm:f>
          </x14:formula1>
          <xm:sqref>UYH917511:UYH917534</xm:sqref>
        </x14:dataValidation>
        <x14:dataValidation type="list" allowBlank="1" showInputMessage="1" showErrorMessage="1" xr:uid="{E97CB685-8F3F-4F93-810E-DBBCFD5EA062}">
          <x14:formula1>
            <xm:f>項目!A4:$VHU$917506</xm:f>
          </x14:formula1>
          <xm:sqref>VID917511:VID917534</xm:sqref>
        </x14:dataValidation>
        <x14:dataValidation type="list" allowBlank="1" showInputMessage="1" showErrorMessage="1" xr:uid="{C0C7824F-C749-488D-A953-502C3A915D59}">
          <x14:formula1>
            <xm:f>項目!A4:$VRQ$917506</xm:f>
          </x14:formula1>
          <xm:sqref>VRZ917511:VRZ917534</xm:sqref>
        </x14:dataValidation>
        <x14:dataValidation type="list" allowBlank="1" showInputMessage="1" showErrorMessage="1" xr:uid="{CC6CC97F-5084-4100-9460-66102BA1647A}">
          <x14:formula1>
            <xm:f>項目!A4:$WBM$917506</xm:f>
          </x14:formula1>
          <xm:sqref>WBV917511:WBV917534</xm:sqref>
        </x14:dataValidation>
        <x14:dataValidation type="list" allowBlank="1" showInputMessage="1" showErrorMessage="1" xr:uid="{4C66D3ED-7890-4400-9665-2210CC2B8CDE}">
          <x14:formula1>
            <xm:f>項目!A4:$WLI$917506</xm:f>
          </x14:formula1>
          <xm:sqref>WLR917511:WLR917534</xm:sqref>
        </x14:dataValidation>
        <x14:dataValidation type="list" allowBlank="1" showInputMessage="1" showErrorMessage="1" xr:uid="{0A46F422-8920-48C6-8E41-C8ACEC65233C}">
          <x14:formula1>
            <xm:f>項目!A4:$WVE$917506</xm:f>
          </x14:formula1>
          <xm:sqref>WVN917511:WVN917534</xm:sqref>
        </x14:dataValidation>
        <x14:dataValidation type="list" allowBlank="1" showInputMessage="1" showErrorMessage="1" xr:uid="{7577161C-403A-4C9C-9A43-0D948AF8EDDA}">
          <x14:formula1>
            <xm:f>項目!A4:$IS$983042</xm:f>
          </x14:formula1>
          <xm:sqref>JB983047:JB983070</xm:sqref>
        </x14:dataValidation>
        <x14:dataValidation type="list" allowBlank="1" showInputMessage="1" showErrorMessage="1" xr:uid="{7D753EFE-EFB6-46FD-AB6C-5B354716E27D}">
          <x14:formula1>
            <xm:f>項目!A4:$SO$983042</xm:f>
          </x14:formula1>
          <xm:sqref>SX983047:SX983070</xm:sqref>
        </x14:dataValidation>
        <x14:dataValidation type="list" allowBlank="1" showInputMessage="1" showErrorMessage="1" xr:uid="{D55A6998-27CB-4916-BDF1-7A5690282C83}">
          <x14:formula1>
            <xm:f>項目!A4:$ACK$983042</xm:f>
          </x14:formula1>
          <xm:sqref>ACT983047:ACT983070</xm:sqref>
        </x14:dataValidation>
        <x14:dataValidation type="list" allowBlank="1" showInputMessage="1" showErrorMessage="1" xr:uid="{F7E7AAB9-A08B-45D1-8E63-2F6C6CC951CE}">
          <x14:formula1>
            <xm:f>項目!A4:$AMG$983042</xm:f>
          </x14:formula1>
          <xm:sqref>AMP983047:AMP983070</xm:sqref>
        </x14:dataValidation>
        <x14:dataValidation type="list" allowBlank="1" showInputMessage="1" showErrorMessage="1" xr:uid="{092830FF-568C-4496-91AE-FD22AED86023}">
          <x14:formula1>
            <xm:f>項目!A4:$AWC$983042</xm:f>
          </x14:formula1>
          <xm:sqref>AWL983047:AWL983070</xm:sqref>
        </x14:dataValidation>
        <x14:dataValidation type="list" allowBlank="1" showInputMessage="1" showErrorMessage="1" xr:uid="{93B0C383-DB97-4849-B381-45C3F21323DA}">
          <x14:formula1>
            <xm:f>項目!A4:$BFY$983042</xm:f>
          </x14:formula1>
          <xm:sqref>BGH983047:BGH983070</xm:sqref>
        </x14:dataValidation>
        <x14:dataValidation type="list" allowBlank="1" showInputMessage="1" showErrorMessage="1" xr:uid="{CD84C959-BEA4-469A-B7BC-7A894E377B12}">
          <x14:formula1>
            <xm:f>項目!A4:$BPU$983042</xm:f>
          </x14:formula1>
          <xm:sqref>BQD983047:BQD983070</xm:sqref>
        </x14:dataValidation>
        <x14:dataValidation type="list" allowBlank="1" showInputMessage="1" showErrorMessage="1" xr:uid="{B81C48CE-66C3-4214-83A7-967C6CAF0FFF}">
          <x14:formula1>
            <xm:f>項目!A4:$BZQ$983042</xm:f>
          </x14:formula1>
          <xm:sqref>BZZ983047:BZZ983070</xm:sqref>
        </x14:dataValidation>
        <x14:dataValidation type="list" allowBlank="1" showInputMessage="1" showErrorMessage="1" xr:uid="{7CCA7D88-8733-4A14-8DCE-363AAFBEB4EE}">
          <x14:formula1>
            <xm:f>項目!A4:$CJM$983042</xm:f>
          </x14:formula1>
          <xm:sqref>CJV983047:CJV983070</xm:sqref>
        </x14:dataValidation>
        <x14:dataValidation type="list" allowBlank="1" showInputMessage="1" showErrorMessage="1" xr:uid="{504093A9-1280-4FF1-87D9-F9607FB2F7A7}">
          <x14:formula1>
            <xm:f>項目!A4:$CTI$983042</xm:f>
          </x14:formula1>
          <xm:sqref>CTR983047:CTR983070</xm:sqref>
        </x14:dataValidation>
        <x14:dataValidation type="list" allowBlank="1" showInputMessage="1" showErrorMessage="1" xr:uid="{71ADDA93-1D12-4377-B549-6213B40891CB}">
          <x14:formula1>
            <xm:f>項目!A4:$DDE$983042</xm:f>
          </x14:formula1>
          <xm:sqref>DDN983047:DDN983070</xm:sqref>
        </x14:dataValidation>
        <x14:dataValidation type="list" allowBlank="1" showInputMessage="1" showErrorMessage="1" xr:uid="{2A3801A4-D63F-4791-860F-E01B143BA1A7}">
          <x14:formula1>
            <xm:f>項目!A4:$DNA$983042</xm:f>
          </x14:formula1>
          <xm:sqref>DNJ983047:DNJ983070</xm:sqref>
        </x14:dataValidation>
        <x14:dataValidation type="list" allowBlank="1" showInputMessage="1" showErrorMessage="1" xr:uid="{5AF383B2-4158-4DF9-B600-9E96A01A6773}">
          <x14:formula1>
            <xm:f>項目!A4:$DWW$983042</xm:f>
          </x14:formula1>
          <xm:sqref>DXF983047:DXF983070</xm:sqref>
        </x14:dataValidation>
        <x14:dataValidation type="list" allowBlank="1" showInputMessage="1" showErrorMessage="1" xr:uid="{986D7F35-6F56-4FF4-9289-C458FBA4CF91}">
          <x14:formula1>
            <xm:f>項目!A4:$EGS$983042</xm:f>
          </x14:formula1>
          <xm:sqref>EHB983047:EHB983070</xm:sqref>
        </x14:dataValidation>
        <x14:dataValidation type="list" allowBlank="1" showInputMessage="1" showErrorMessage="1" xr:uid="{D2A9EA67-2CD4-41E8-85C1-860EBC8CC56F}">
          <x14:formula1>
            <xm:f>項目!A4:$EQO$983042</xm:f>
          </x14:formula1>
          <xm:sqref>EQX983047:EQX983070</xm:sqref>
        </x14:dataValidation>
        <x14:dataValidation type="list" allowBlank="1" showInputMessage="1" showErrorMessage="1" xr:uid="{F3DF7449-867D-46F6-BD21-4B0E383492C7}">
          <x14:formula1>
            <xm:f>項目!A4:$FAK$983042</xm:f>
          </x14:formula1>
          <xm:sqref>FAT983047:FAT983070</xm:sqref>
        </x14:dataValidation>
        <x14:dataValidation type="list" allowBlank="1" showInputMessage="1" showErrorMessage="1" xr:uid="{6392D0FD-47F6-4304-91EC-EB2C4DC83227}">
          <x14:formula1>
            <xm:f>項目!A4:$FKG$983042</xm:f>
          </x14:formula1>
          <xm:sqref>FKP983047:FKP983070</xm:sqref>
        </x14:dataValidation>
        <x14:dataValidation type="list" allowBlank="1" showInputMessage="1" showErrorMessage="1" xr:uid="{E82BFCCE-D7EA-489C-9306-8623CE360C38}">
          <x14:formula1>
            <xm:f>項目!A4:$FUC$983042</xm:f>
          </x14:formula1>
          <xm:sqref>FUL983047:FUL983070</xm:sqref>
        </x14:dataValidation>
        <x14:dataValidation type="list" allowBlank="1" showInputMessage="1" showErrorMessage="1" xr:uid="{1C58E5E4-1975-4449-A9E0-1C3790C87171}">
          <x14:formula1>
            <xm:f>項目!A4:$GDY$983042</xm:f>
          </x14:formula1>
          <xm:sqref>GEH983047:GEH983070</xm:sqref>
        </x14:dataValidation>
        <x14:dataValidation type="list" allowBlank="1" showInputMessage="1" showErrorMessage="1" xr:uid="{3392CDD1-A10E-4E15-A16B-01D68B949B7A}">
          <x14:formula1>
            <xm:f>項目!A4:$GNU$983042</xm:f>
          </x14:formula1>
          <xm:sqref>GOD983047:GOD983070</xm:sqref>
        </x14:dataValidation>
        <x14:dataValidation type="list" allowBlank="1" showInputMessage="1" showErrorMessage="1" xr:uid="{3AB8CC93-D5C7-4CCD-A21A-FFE40D2DC2E1}">
          <x14:formula1>
            <xm:f>項目!A4:$GXQ$983042</xm:f>
          </x14:formula1>
          <xm:sqref>GXZ983047:GXZ983070</xm:sqref>
        </x14:dataValidation>
        <x14:dataValidation type="list" allowBlank="1" showInputMessage="1" showErrorMessage="1" xr:uid="{D321ED2C-B7FD-42A8-99A7-BA264119294D}">
          <x14:formula1>
            <xm:f>項目!A4:$HHM$983042</xm:f>
          </x14:formula1>
          <xm:sqref>HHV983047:HHV983070</xm:sqref>
        </x14:dataValidation>
        <x14:dataValidation type="list" allowBlank="1" showInputMessage="1" showErrorMessage="1" xr:uid="{735EECAC-BB9E-4230-95AD-3CBF61076B90}">
          <x14:formula1>
            <xm:f>項目!A4:$HRI$983042</xm:f>
          </x14:formula1>
          <xm:sqref>HRR983047:HRR983070</xm:sqref>
        </x14:dataValidation>
        <x14:dataValidation type="list" allowBlank="1" showInputMessage="1" showErrorMessage="1" xr:uid="{D79F8E56-AC12-4B69-8B26-B7CF0728F6B2}">
          <x14:formula1>
            <xm:f>項目!A4:$IBE$983042</xm:f>
          </x14:formula1>
          <xm:sqref>IBN983047:IBN983070</xm:sqref>
        </x14:dataValidation>
        <x14:dataValidation type="list" allowBlank="1" showInputMessage="1" showErrorMessage="1" xr:uid="{1C451F5B-F200-4AEE-80F9-51ABE37C5D87}">
          <x14:formula1>
            <xm:f>項目!A4:$ILA$983042</xm:f>
          </x14:formula1>
          <xm:sqref>ILJ983047:ILJ983070</xm:sqref>
        </x14:dataValidation>
        <x14:dataValidation type="list" allowBlank="1" showInputMessage="1" showErrorMessage="1" xr:uid="{45AB66BF-9940-4A0C-8029-1D4E3FAC9CD4}">
          <x14:formula1>
            <xm:f>項目!A4:$IUW$983042</xm:f>
          </x14:formula1>
          <xm:sqref>IVF983047:IVF983070</xm:sqref>
        </x14:dataValidation>
        <x14:dataValidation type="list" allowBlank="1" showInputMessage="1" showErrorMessage="1" xr:uid="{5CF37974-71FE-41E3-8836-35A4ABD09F81}">
          <x14:formula1>
            <xm:f>項目!A4:$JES$983042</xm:f>
          </x14:formula1>
          <xm:sqref>JFB983047:JFB983070</xm:sqref>
        </x14:dataValidation>
        <x14:dataValidation type="list" allowBlank="1" showInputMessage="1" showErrorMessage="1" xr:uid="{664A6526-D37F-4891-A822-AE5C223CDA1D}">
          <x14:formula1>
            <xm:f>項目!A4:$JOO$983042</xm:f>
          </x14:formula1>
          <xm:sqref>JOX983047:JOX983070</xm:sqref>
        </x14:dataValidation>
        <x14:dataValidation type="list" allowBlank="1" showInputMessage="1" showErrorMessage="1" xr:uid="{C33C624B-8419-4744-ACC8-89DEA22F7217}">
          <x14:formula1>
            <xm:f>項目!A4:$JYK$983042</xm:f>
          </x14:formula1>
          <xm:sqref>JYT983047:JYT983070</xm:sqref>
        </x14:dataValidation>
        <x14:dataValidation type="list" allowBlank="1" showInputMessage="1" showErrorMessage="1" xr:uid="{1D179178-2F2C-4787-883F-9AEF792AF10F}">
          <x14:formula1>
            <xm:f>項目!A4:$KIG$983042</xm:f>
          </x14:formula1>
          <xm:sqref>KIP983047:KIP983070</xm:sqref>
        </x14:dataValidation>
        <x14:dataValidation type="list" allowBlank="1" showInputMessage="1" showErrorMessage="1" xr:uid="{5776D23D-22FF-432C-B9AE-0E2735218BED}">
          <x14:formula1>
            <xm:f>項目!A4:$KSC$983042</xm:f>
          </x14:formula1>
          <xm:sqref>KSL983047:KSL983070</xm:sqref>
        </x14:dataValidation>
        <x14:dataValidation type="list" allowBlank="1" showInputMessage="1" showErrorMessage="1" xr:uid="{C373E949-C055-4667-B4F0-6FBB9B334658}">
          <x14:formula1>
            <xm:f>項目!A4:$LBY$983042</xm:f>
          </x14:formula1>
          <xm:sqref>LCH983047:LCH983070</xm:sqref>
        </x14:dataValidation>
        <x14:dataValidation type="list" allowBlank="1" showInputMessage="1" showErrorMessage="1" xr:uid="{681E9892-E851-4AA8-A122-13F4BEFA978E}">
          <x14:formula1>
            <xm:f>項目!A4:$LLU$983042</xm:f>
          </x14:formula1>
          <xm:sqref>LMD983047:LMD983070</xm:sqref>
        </x14:dataValidation>
        <x14:dataValidation type="list" allowBlank="1" showInputMessage="1" showErrorMessage="1" xr:uid="{78748537-96EF-4283-A001-1D7D3FA0C081}">
          <x14:formula1>
            <xm:f>項目!A4:$LVQ$983042</xm:f>
          </x14:formula1>
          <xm:sqref>LVZ983047:LVZ983070</xm:sqref>
        </x14:dataValidation>
        <x14:dataValidation type="list" allowBlank="1" showInputMessage="1" showErrorMessage="1" xr:uid="{80240690-01CC-4E39-BCC4-734D9DB96B7E}">
          <x14:formula1>
            <xm:f>項目!A4:$MFM$983042</xm:f>
          </x14:formula1>
          <xm:sqref>MFV983047:MFV983070</xm:sqref>
        </x14:dataValidation>
        <x14:dataValidation type="list" allowBlank="1" showInputMessage="1" showErrorMessage="1" xr:uid="{FE4842F4-33C2-457A-A316-2A11007F0584}">
          <x14:formula1>
            <xm:f>項目!A4:$MPI$983042</xm:f>
          </x14:formula1>
          <xm:sqref>MPR983047:MPR983070</xm:sqref>
        </x14:dataValidation>
        <x14:dataValidation type="list" allowBlank="1" showInputMessage="1" showErrorMessage="1" xr:uid="{DB7AA80E-AA98-44DC-8C88-7E75373D4F05}">
          <x14:formula1>
            <xm:f>項目!A4:$MZE$983042</xm:f>
          </x14:formula1>
          <xm:sqref>MZN983047:MZN983070</xm:sqref>
        </x14:dataValidation>
        <x14:dataValidation type="list" allowBlank="1" showInputMessage="1" showErrorMessage="1" xr:uid="{DBA05349-49AC-4CDF-AD4B-566A14D3B64C}">
          <x14:formula1>
            <xm:f>項目!A4:$NJA$983042</xm:f>
          </x14:formula1>
          <xm:sqref>NJJ983047:NJJ983070</xm:sqref>
        </x14:dataValidation>
        <x14:dataValidation type="list" allowBlank="1" showInputMessage="1" showErrorMessage="1" xr:uid="{BCCD4F2B-885F-4E26-9CA2-0B09E9A64968}">
          <x14:formula1>
            <xm:f>項目!A4:$NSW$983042</xm:f>
          </x14:formula1>
          <xm:sqref>NTF983047:NTF983070</xm:sqref>
        </x14:dataValidation>
        <x14:dataValidation type="list" allowBlank="1" showInputMessage="1" showErrorMessage="1" xr:uid="{083BA491-E02C-4CEE-8B07-ABEAC73230A6}">
          <x14:formula1>
            <xm:f>項目!A4:$OCS$983042</xm:f>
          </x14:formula1>
          <xm:sqref>ODB983047:ODB983070</xm:sqref>
        </x14:dataValidation>
        <x14:dataValidation type="list" allowBlank="1" showInputMessage="1" showErrorMessage="1" xr:uid="{1C8AB5E1-2534-4B66-8691-C59407B2EDEE}">
          <x14:formula1>
            <xm:f>項目!A4:$OMO$983042</xm:f>
          </x14:formula1>
          <xm:sqref>OMX983047:OMX983070</xm:sqref>
        </x14:dataValidation>
        <x14:dataValidation type="list" allowBlank="1" showInputMessage="1" showErrorMessage="1" xr:uid="{2310D767-CE9F-4CA1-9C62-3CC53AFB7A06}">
          <x14:formula1>
            <xm:f>項目!A4:$OWK$983042</xm:f>
          </x14:formula1>
          <xm:sqref>OWT983047:OWT983070</xm:sqref>
        </x14:dataValidation>
        <x14:dataValidation type="list" allowBlank="1" showInputMessage="1" showErrorMessage="1" xr:uid="{FB065320-771B-4942-BD8B-C5E3DDEAB6D5}">
          <x14:formula1>
            <xm:f>項目!A4:$PGG$983042</xm:f>
          </x14:formula1>
          <xm:sqref>PGP983047:PGP983070</xm:sqref>
        </x14:dataValidation>
        <x14:dataValidation type="list" allowBlank="1" showInputMessage="1" showErrorMessage="1" xr:uid="{0981BD30-EC73-46A6-9931-C7E91CF6055F}">
          <x14:formula1>
            <xm:f>項目!A4:$PQC$983042</xm:f>
          </x14:formula1>
          <xm:sqref>PQL983047:PQL983070</xm:sqref>
        </x14:dataValidation>
        <x14:dataValidation type="list" allowBlank="1" showInputMessage="1" showErrorMessage="1" xr:uid="{697D13F0-817E-49EB-9EB2-B445D2917B95}">
          <x14:formula1>
            <xm:f>項目!A4:$PZY$983042</xm:f>
          </x14:formula1>
          <xm:sqref>QAH983047:QAH983070</xm:sqref>
        </x14:dataValidation>
        <x14:dataValidation type="list" allowBlank="1" showInputMessage="1" showErrorMessage="1" xr:uid="{B2B76824-F363-467C-9552-C6088D5D8855}">
          <x14:formula1>
            <xm:f>項目!A4:$QJU$983042</xm:f>
          </x14:formula1>
          <xm:sqref>QKD983047:QKD983070</xm:sqref>
        </x14:dataValidation>
        <x14:dataValidation type="list" allowBlank="1" showInputMessage="1" showErrorMessage="1" xr:uid="{28F745A1-54AC-4657-A4C9-2C1B1454F916}">
          <x14:formula1>
            <xm:f>項目!A4:$QTQ$983042</xm:f>
          </x14:formula1>
          <xm:sqref>QTZ983047:QTZ983070</xm:sqref>
        </x14:dataValidation>
        <x14:dataValidation type="list" allowBlank="1" showInputMessage="1" showErrorMessage="1" xr:uid="{EEC4A86A-5597-4DE8-8B2C-7567ED140F8E}">
          <x14:formula1>
            <xm:f>項目!A4:$RDM$983042</xm:f>
          </x14:formula1>
          <xm:sqref>RDV983047:RDV983070</xm:sqref>
        </x14:dataValidation>
        <x14:dataValidation type="list" allowBlank="1" showInputMessage="1" showErrorMessage="1" xr:uid="{D594A641-B1AF-478F-BC52-512654FAB72E}">
          <x14:formula1>
            <xm:f>項目!A4:$RNI$983042</xm:f>
          </x14:formula1>
          <xm:sqref>RNR983047:RNR983070</xm:sqref>
        </x14:dataValidation>
        <x14:dataValidation type="list" allowBlank="1" showInputMessage="1" showErrorMessage="1" xr:uid="{EEE3D789-3EA0-466C-8543-17D2720EBB1E}">
          <x14:formula1>
            <xm:f>項目!A4:$RXE$983042</xm:f>
          </x14:formula1>
          <xm:sqref>RXN983047:RXN983070</xm:sqref>
        </x14:dataValidation>
        <x14:dataValidation type="list" allowBlank="1" showInputMessage="1" showErrorMessage="1" xr:uid="{25B14BA8-14AE-4885-B5A2-C6D40833EE3E}">
          <x14:formula1>
            <xm:f>項目!A4:$SHA$983042</xm:f>
          </x14:formula1>
          <xm:sqref>SHJ983047:SHJ983070</xm:sqref>
        </x14:dataValidation>
        <x14:dataValidation type="list" allowBlank="1" showInputMessage="1" showErrorMessage="1" xr:uid="{E45BC5D9-9452-4697-B74C-37203A5178BF}">
          <x14:formula1>
            <xm:f>項目!A4:$SQW$983042</xm:f>
          </x14:formula1>
          <xm:sqref>SRF983047:SRF983070</xm:sqref>
        </x14:dataValidation>
        <x14:dataValidation type="list" allowBlank="1" showInputMessage="1" showErrorMessage="1" xr:uid="{54F9640C-101B-4E00-8A8E-841BAB408561}">
          <x14:formula1>
            <xm:f>項目!A4:$TAS$983042</xm:f>
          </x14:formula1>
          <xm:sqref>TBB983047:TBB983070</xm:sqref>
        </x14:dataValidation>
        <x14:dataValidation type="list" allowBlank="1" showInputMessage="1" showErrorMessage="1" xr:uid="{CD05D317-09E6-4F84-BA8A-7B5A8056B89F}">
          <x14:formula1>
            <xm:f>項目!A4:$TKO$983042</xm:f>
          </x14:formula1>
          <xm:sqref>TKX983047:TKX983070</xm:sqref>
        </x14:dataValidation>
        <x14:dataValidation type="list" allowBlank="1" showInputMessage="1" showErrorMessage="1" xr:uid="{0C11CFFB-143E-41B7-AA1C-9892F441165A}">
          <x14:formula1>
            <xm:f>項目!A4:$TUK$983042</xm:f>
          </x14:formula1>
          <xm:sqref>TUT983047:TUT983070</xm:sqref>
        </x14:dataValidation>
        <x14:dataValidation type="list" allowBlank="1" showInputMessage="1" showErrorMessage="1" xr:uid="{DAC09DAA-ED0D-40A2-9138-74F99D558FB6}">
          <x14:formula1>
            <xm:f>項目!A4:$UEG$983042</xm:f>
          </x14:formula1>
          <xm:sqref>UEP983047:UEP983070</xm:sqref>
        </x14:dataValidation>
        <x14:dataValidation type="list" allowBlank="1" showInputMessage="1" showErrorMessage="1" xr:uid="{6A50A544-A121-45E7-9CDB-F4AD0F799893}">
          <x14:formula1>
            <xm:f>項目!A4:$UOC$983042</xm:f>
          </x14:formula1>
          <xm:sqref>UOL983047:UOL983070</xm:sqref>
        </x14:dataValidation>
        <x14:dataValidation type="list" allowBlank="1" showInputMessage="1" showErrorMessage="1" xr:uid="{811094EC-E74A-415C-8BC3-77C3B28526C4}">
          <x14:formula1>
            <xm:f>項目!A4:$UXY$983042</xm:f>
          </x14:formula1>
          <xm:sqref>UYH983047:UYH983070</xm:sqref>
        </x14:dataValidation>
        <x14:dataValidation type="list" allowBlank="1" showInputMessage="1" showErrorMessage="1" xr:uid="{C3B68BC5-EB68-4C82-BB0B-7B721C4A7A58}">
          <x14:formula1>
            <xm:f>項目!A4:$VHU$983042</xm:f>
          </x14:formula1>
          <xm:sqref>VID983047:VID983070</xm:sqref>
        </x14:dataValidation>
        <x14:dataValidation type="list" allowBlank="1" showInputMessage="1" showErrorMessage="1" xr:uid="{F06C5FB4-0529-4E1B-89B9-3A3C4D175447}">
          <x14:formula1>
            <xm:f>項目!A4:$VRQ$983042</xm:f>
          </x14:formula1>
          <xm:sqref>VRZ983047:VRZ983070</xm:sqref>
        </x14:dataValidation>
        <x14:dataValidation type="list" allowBlank="1" showInputMessage="1" showErrorMessage="1" xr:uid="{A028E3BB-25CE-4191-A499-1C30FC72EA04}">
          <x14:formula1>
            <xm:f>項目!A4:$WBM$983042</xm:f>
          </x14:formula1>
          <xm:sqref>WBV983047:WBV983070</xm:sqref>
        </x14:dataValidation>
        <x14:dataValidation type="list" allowBlank="1" showInputMessage="1" showErrorMessage="1" xr:uid="{357C1BE5-E23C-4E97-9952-917B6DEC60F2}">
          <x14:formula1>
            <xm:f>項目!A4:$WLI$983042</xm:f>
          </x14:formula1>
          <xm:sqref>WLR983047:WLR983070</xm:sqref>
        </x14:dataValidation>
        <x14:dataValidation type="list" allowBlank="1" showInputMessage="1" showErrorMessage="1" xr:uid="{5DCCABF8-ADE2-4F5E-8DBD-9A3EC2E1F830}">
          <x14:formula1>
            <xm:f>項目!A4:$WVE$983042</xm:f>
          </x14:formula1>
          <xm:sqref>WVN983047:WVN983070</xm:sqref>
        </x14:dataValidation>
        <x14:dataValidation type="list" allowBlank="1" showInputMessage="1" showErrorMessage="1" xr:uid="{967A38A7-FD9A-4012-A248-B0914BBD3710}">
          <x14:formula1>
            <xm:f>項目!A4:$IW$65538</xm:f>
          </x14:formula1>
          <xm:sqref>JF65543:JF65566</xm:sqref>
        </x14:dataValidation>
        <x14:dataValidation type="list" allowBlank="1" showInputMessage="1" showErrorMessage="1" xr:uid="{A76A23CF-4C10-452F-9907-15465F485399}">
          <x14:formula1>
            <xm:f>項目!A4:$SS$65538</xm:f>
          </x14:formula1>
          <xm:sqref>TB65543:TB65566</xm:sqref>
        </x14:dataValidation>
        <x14:dataValidation type="list" allowBlank="1" showInputMessage="1" showErrorMessage="1" xr:uid="{D5AAD159-DA16-46AF-99B5-F0E13D047EAE}">
          <x14:formula1>
            <xm:f>項目!A4:$ACO$65538</xm:f>
          </x14:formula1>
          <xm:sqref>ACX65543:ACX65566</xm:sqref>
        </x14:dataValidation>
        <x14:dataValidation type="list" allowBlank="1" showInputMessage="1" showErrorMessage="1" xr:uid="{3B08956A-010D-404E-9C5F-8DC2590FA4ED}">
          <x14:formula1>
            <xm:f>項目!A4:$AMK$65538</xm:f>
          </x14:formula1>
          <xm:sqref>AMT65543:AMT65566</xm:sqref>
        </x14:dataValidation>
        <x14:dataValidation type="list" allowBlank="1" showInputMessage="1" showErrorMessage="1" xr:uid="{FE4B8E45-041D-41E1-822D-C91FB845FA6E}">
          <x14:formula1>
            <xm:f>項目!A4:$AWG$65538</xm:f>
          </x14:formula1>
          <xm:sqref>AWP65543:AWP65566</xm:sqref>
        </x14:dataValidation>
        <x14:dataValidation type="list" allowBlank="1" showInputMessage="1" showErrorMessage="1" xr:uid="{4D4B5454-E56C-48D6-80E6-58F98128C55B}">
          <x14:formula1>
            <xm:f>項目!A4:$BGC$65538</xm:f>
          </x14:formula1>
          <xm:sqref>BGL65543:BGL65566</xm:sqref>
        </x14:dataValidation>
        <x14:dataValidation type="list" allowBlank="1" showInputMessage="1" showErrorMessage="1" xr:uid="{D0E9B56A-1DCA-4590-8DE3-77D09B80B06A}">
          <x14:formula1>
            <xm:f>項目!A4:$BPY$65538</xm:f>
          </x14:formula1>
          <xm:sqref>BQH65543:BQH65566</xm:sqref>
        </x14:dataValidation>
        <x14:dataValidation type="list" allowBlank="1" showInputMessage="1" showErrorMessage="1" xr:uid="{6B5BA994-AD24-4E55-B3A4-CF61084E8E52}">
          <x14:formula1>
            <xm:f>項目!A4:$BZU$65538</xm:f>
          </x14:formula1>
          <xm:sqref>CAD65543:CAD65566</xm:sqref>
        </x14:dataValidation>
        <x14:dataValidation type="list" allowBlank="1" showInputMessage="1" showErrorMessage="1" xr:uid="{32C6636F-B323-40ED-9492-75C435C5D88A}">
          <x14:formula1>
            <xm:f>項目!A4:$CJQ$65538</xm:f>
          </x14:formula1>
          <xm:sqref>CJZ65543:CJZ65566</xm:sqref>
        </x14:dataValidation>
        <x14:dataValidation type="list" allowBlank="1" showInputMessage="1" showErrorMessage="1" xr:uid="{22930806-92BA-4EC6-891C-53EAF5CC84D7}">
          <x14:formula1>
            <xm:f>項目!A4:$CTM$65538</xm:f>
          </x14:formula1>
          <xm:sqref>CTV65543:CTV65566</xm:sqref>
        </x14:dataValidation>
        <x14:dataValidation type="list" allowBlank="1" showInputMessage="1" showErrorMessage="1" xr:uid="{4A891BD2-2DAF-422F-9C99-419DB4CA39AF}">
          <x14:formula1>
            <xm:f>項目!A4:$DDI$65538</xm:f>
          </x14:formula1>
          <xm:sqref>DDR65543:DDR65566</xm:sqref>
        </x14:dataValidation>
        <x14:dataValidation type="list" allowBlank="1" showInputMessage="1" showErrorMessage="1" xr:uid="{995CCAEC-BDD5-4890-9AD7-9A07DFA3CF2D}">
          <x14:formula1>
            <xm:f>項目!A4:$DNE$65538</xm:f>
          </x14:formula1>
          <xm:sqref>DNN65543:DNN65566</xm:sqref>
        </x14:dataValidation>
        <x14:dataValidation type="list" allowBlank="1" showInputMessage="1" showErrorMessage="1" xr:uid="{2314E2F4-E4E7-4451-BC8B-9400046FFE8C}">
          <x14:formula1>
            <xm:f>項目!A4:$DXA$65538</xm:f>
          </x14:formula1>
          <xm:sqref>DXJ65543:DXJ65566</xm:sqref>
        </x14:dataValidation>
        <x14:dataValidation type="list" allowBlank="1" showInputMessage="1" showErrorMessage="1" xr:uid="{ED16605A-04C8-4183-A242-1672F3EB09CC}">
          <x14:formula1>
            <xm:f>項目!A4:$EGW$65538</xm:f>
          </x14:formula1>
          <xm:sqref>EHF65543:EHF65566</xm:sqref>
        </x14:dataValidation>
        <x14:dataValidation type="list" allowBlank="1" showInputMessage="1" showErrorMessage="1" xr:uid="{A18F89D7-EE9D-4883-BDDE-00A407805E80}">
          <x14:formula1>
            <xm:f>項目!A4:$EQS$65538</xm:f>
          </x14:formula1>
          <xm:sqref>ERB65543:ERB65566</xm:sqref>
        </x14:dataValidation>
        <x14:dataValidation type="list" allowBlank="1" showInputMessage="1" showErrorMessage="1" xr:uid="{226F788D-BDE1-4C60-8C5A-2354DD29ECE9}">
          <x14:formula1>
            <xm:f>項目!A4:$FAO$65538</xm:f>
          </x14:formula1>
          <xm:sqref>FAX65543:FAX65566</xm:sqref>
        </x14:dataValidation>
        <x14:dataValidation type="list" allowBlank="1" showInputMessage="1" showErrorMessage="1" xr:uid="{D4683E76-C6DF-406B-98F4-6BDA0CEBFB26}">
          <x14:formula1>
            <xm:f>項目!A4:$FKK$65538</xm:f>
          </x14:formula1>
          <xm:sqref>FKT65543:FKT65566</xm:sqref>
        </x14:dataValidation>
        <x14:dataValidation type="list" allowBlank="1" showInputMessage="1" showErrorMessage="1" xr:uid="{787035EC-A16A-4F4C-9D93-5356821BDC94}">
          <x14:formula1>
            <xm:f>項目!A4:$FUG$65538</xm:f>
          </x14:formula1>
          <xm:sqref>FUP65543:FUP65566</xm:sqref>
        </x14:dataValidation>
        <x14:dataValidation type="list" allowBlank="1" showInputMessage="1" showErrorMessage="1" xr:uid="{6BF7F83D-4BBF-4F68-A719-7C74C04C87EF}">
          <x14:formula1>
            <xm:f>項目!A4:$GEC$65538</xm:f>
          </x14:formula1>
          <xm:sqref>GEL65543:GEL65566</xm:sqref>
        </x14:dataValidation>
        <x14:dataValidation type="list" allowBlank="1" showInputMessage="1" showErrorMessage="1" xr:uid="{769B0932-E514-4EA7-83E6-3681736B5FCE}">
          <x14:formula1>
            <xm:f>項目!A4:$GNY$65538</xm:f>
          </x14:formula1>
          <xm:sqref>GOH65543:GOH65566</xm:sqref>
        </x14:dataValidation>
        <x14:dataValidation type="list" allowBlank="1" showInputMessage="1" showErrorMessage="1" xr:uid="{1735EA68-9F7E-4592-8609-FAA1E40338F9}">
          <x14:formula1>
            <xm:f>項目!A4:$GXU$65538</xm:f>
          </x14:formula1>
          <xm:sqref>GYD65543:GYD65566</xm:sqref>
        </x14:dataValidation>
        <x14:dataValidation type="list" allowBlank="1" showInputMessage="1" showErrorMessage="1" xr:uid="{81B60334-5B9E-4788-9BEF-5DBA1F34C751}">
          <x14:formula1>
            <xm:f>項目!A4:$HHQ$65538</xm:f>
          </x14:formula1>
          <xm:sqref>HHZ65543:HHZ65566</xm:sqref>
        </x14:dataValidation>
        <x14:dataValidation type="list" allowBlank="1" showInputMessage="1" showErrorMessage="1" xr:uid="{F9E60EC8-3C35-4813-A7ED-9C68A11AE5B8}">
          <x14:formula1>
            <xm:f>項目!A4:$HRM$65538</xm:f>
          </x14:formula1>
          <xm:sqref>HRV65543:HRV65566</xm:sqref>
        </x14:dataValidation>
        <x14:dataValidation type="list" allowBlank="1" showInputMessage="1" showErrorMessage="1" xr:uid="{1872F9C0-46F1-451B-BB45-63BC48983A40}">
          <x14:formula1>
            <xm:f>項目!A4:$IBI$65538</xm:f>
          </x14:formula1>
          <xm:sqref>IBR65543:IBR65566</xm:sqref>
        </x14:dataValidation>
        <x14:dataValidation type="list" allowBlank="1" showInputMessage="1" showErrorMessage="1" xr:uid="{DAD7F39B-E1F5-4F68-A383-57E5925613CA}">
          <x14:formula1>
            <xm:f>項目!A4:$ILE$65538</xm:f>
          </x14:formula1>
          <xm:sqref>ILN65543:ILN65566</xm:sqref>
        </x14:dataValidation>
        <x14:dataValidation type="list" allowBlank="1" showInputMessage="1" showErrorMessage="1" xr:uid="{F268AFA6-55E3-49EC-9527-4C120D6BC172}">
          <x14:formula1>
            <xm:f>項目!A4:$IVA$65538</xm:f>
          </x14:formula1>
          <xm:sqref>IVJ65543:IVJ65566</xm:sqref>
        </x14:dataValidation>
        <x14:dataValidation type="list" allowBlank="1" showInputMessage="1" showErrorMessage="1" xr:uid="{8855163C-F3A5-49F9-9A57-6C03E06C8E7C}">
          <x14:formula1>
            <xm:f>項目!A4:$JEW$65538</xm:f>
          </x14:formula1>
          <xm:sqref>JFF65543:JFF65566</xm:sqref>
        </x14:dataValidation>
        <x14:dataValidation type="list" allowBlank="1" showInputMessage="1" showErrorMessage="1" xr:uid="{3BB7814A-70FE-49DD-912A-72C57DF4A009}">
          <x14:formula1>
            <xm:f>項目!A4:$JOS$65538</xm:f>
          </x14:formula1>
          <xm:sqref>JPB65543:JPB65566</xm:sqref>
        </x14:dataValidation>
        <x14:dataValidation type="list" allowBlank="1" showInputMessage="1" showErrorMessage="1" xr:uid="{1DB50DD8-01F0-4540-AC05-3F22A134288C}">
          <x14:formula1>
            <xm:f>項目!A4:$JYO$65538</xm:f>
          </x14:formula1>
          <xm:sqref>JYX65543:JYX65566</xm:sqref>
        </x14:dataValidation>
        <x14:dataValidation type="list" allowBlank="1" showInputMessage="1" showErrorMessage="1" xr:uid="{CEE22D09-53CF-4047-9931-A4E0464130C1}">
          <x14:formula1>
            <xm:f>項目!A4:$KIK$65538</xm:f>
          </x14:formula1>
          <xm:sqref>KIT65543:KIT65566</xm:sqref>
        </x14:dataValidation>
        <x14:dataValidation type="list" allowBlank="1" showInputMessage="1" showErrorMessage="1" xr:uid="{B7F468BC-BCD3-4C0A-902B-258F33DCB11E}">
          <x14:formula1>
            <xm:f>項目!A4:$KSG$65538</xm:f>
          </x14:formula1>
          <xm:sqref>KSP65543:KSP65566</xm:sqref>
        </x14:dataValidation>
        <x14:dataValidation type="list" allowBlank="1" showInputMessage="1" showErrorMessage="1" xr:uid="{00DE5B56-7291-4F3A-B639-E97C24C0E4FD}">
          <x14:formula1>
            <xm:f>項目!A4:$LCC$65538</xm:f>
          </x14:formula1>
          <xm:sqref>LCL65543:LCL65566</xm:sqref>
        </x14:dataValidation>
        <x14:dataValidation type="list" allowBlank="1" showInputMessage="1" showErrorMessage="1" xr:uid="{D35CE8C5-9315-49B8-AE9B-2AAAD2186F16}">
          <x14:formula1>
            <xm:f>項目!A4:$LLY$65538</xm:f>
          </x14:formula1>
          <xm:sqref>LMH65543:LMH65566</xm:sqref>
        </x14:dataValidation>
        <x14:dataValidation type="list" allowBlank="1" showInputMessage="1" showErrorMessage="1" xr:uid="{4F15E665-D91B-4F9E-A7C0-07B4AE208EE1}">
          <x14:formula1>
            <xm:f>項目!A4:$LVU$65538</xm:f>
          </x14:formula1>
          <xm:sqref>LWD65543:LWD65566</xm:sqref>
        </x14:dataValidation>
        <x14:dataValidation type="list" allowBlank="1" showInputMessage="1" showErrorMessage="1" xr:uid="{CF86A9B4-8201-4341-96DA-F549290BCF87}">
          <x14:formula1>
            <xm:f>項目!A4:$MFQ$65538</xm:f>
          </x14:formula1>
          <xm:sqref>MFZ65543:MFZ65566</xm:sqref>
        </x14:dataValidation>
        <x14:dataValidation type="list" allowBlank="1" showInputMessage="1" showErrorMessage="1" xr:uid="{4630789E-6B00-4918-9FC5-DCDA51BD8F7D}">
          <x14:formula1>
            <xm:f>項目!A4:$MPM$65538</xm:f>
          </x14:formula1>
          <xm:sqref>MPV65543:MPV65566</xm:sqref>
        </x14:dataValidation>
        <x14:dataValidation type="list" allowBlank="1" showInputMessage="1" showErrorMessage="1" xr:uid="{0F2DB80B-639E-4575-93DA-F5D5AD7469F7}">
          <x14:formula1>
            <xm:f>項目!A4:$MZI$65538</xm:f>
          </x14:formula1>
          <xm:sqref>MZR65543:MZR65566</xm:sqref>
        </x14:dataValidation>
        <x14:dataValidation type="list" allowBlank="1" showInputMessage="1" showErrorMessage="1" xr:uid="{41045155-C9B1-4DC9-BD71-E40C33B53583}">
          <x14:formula1>
            <xm:f>項目!A4:$NJE$65538</xm:f>
          </x14:formula1>
          <xm:sqref>NJN65543:NJN65566</xm:sqref>
        </x14:dataValidation>
        <x14:dataValidation type="list" allowBlank="1" showInputMessage="1" showErrorMessage="1" xr:uid="{8943600F-5709-43D8-9554-5A1CDA93CF4B}">
          <x14:formula1>
            <xm:f>項目!A4:$NTA$65538</xm:f>
          </x14:formula1>
          <xm:sqref>NTJ65543:NTJ65566</xm:sqref>
        </x14:dataValidation>
        <x14:dataValidation type="list" allowBlank="1" showInputMessage="1" showErrorMessage="1" xr:uid="{9C46635C-A2D1-4068-8451-B9E4DB6D7BA5}">
          <x14:formula1>
            <xm:f>項目!A4:$OCW$65538</xm:f>
          </x14:formula1>
          <xm:sqref>ODF65543:ODF65566</xm:sqref>
        </x14:dataValidation>
        <x14:dataValidation type="list" allowBlank="1" showInputMessage="1" showErrorMessage="1" xr:uid="{1B189687-4B84-4383-8E18-B8C43720C14A}">
          <x14:formula1>
            <xm:f>項目!A4:$OMS$65538</xm:f>
          </x14:formula1>
          <xm:sqref>ONB65543:ONB65566</xm:sqref>
        </x14:dataValidation>
        <x14:dataValidation type="list" allowBlank="1" showInputMessage="1" showErrorMessage="1" xr:uid="{40082A54-68A5-4B4E-92CB-D8FD914B4A78}">
          <x14:formula1>
            <xm:f>項目!A4:$OWO$65538</xm:f>
          </x14:formula1>
          <xm:sqref>OWX65543:OWX65566</xm:sqref>
        </x14:dataValidation>
        <x14:dataValidation type="list" allowBlank="1" showInputMessage="1" showErrorMessage="1" xr:uid="{D2090EE8-77D4-4AD0-BCAC-065E285AD887}">
          <x14:formula1>
            <xm:f>項目!A4:$PGK$65538</xm:f>
          </x14:formula1>
          <xm:sqref>PGT65543:PGT65566</xm:sqref>
        </x14:dataValidation>
        <x14:dataValidation type="list" allowBlank="1" showInputMessage="1" showErrorMessage="1" xr:uid="{9219B8DA-6F39-4713-8EAE-7B82EB191795}">
          <x14:formula1>
            <xm:f>項目!A4:$PQG$65538</xm:f>
          </x14:formula1>
          <xm:sqref>PQP65543:PQP65566</xm:sqref>
        </x14:dataValidation>
        <x14:dataValidation type="list" allowBlank="1" showInputMessage="1" showErrorMessage="1" xr:uid="{5502F0ED-3A34-444E-A8BE-33193D9D7211}">
          <x14:formula1>
            <xm:f>項目!A4:$QAC$65538</xm:f>
          </x14:formula1>
          <xm:sqref>QAL65543:QAL65566</xm:sqref>
        </x14:dataValidation>
        <x14:dataValidation type="list" allowBlank="1" showInputMessage="1" showErrorMessage="1" xr:uid="{FF846B94-D61E-4D5D-8371-F649B7C8DFAA}">
          <x14:formula1>
            <xm:f>項目!A4:$QJY$65538</xm:f>
          </x14:formula1>
          <xm:sqref>QKH65543:QKH65566</xm:sqref>
        </x14:dataValidation>
        <x14:dataValidation type="list" allowBlank="1" showInputMessage="1" showErrorMessage="1" xr:uid="{C3456DD4-EEF1-4BD6-9358-167CD1720AD0}">
          <x14:formula1>
            <xm:f>項目!A4:$QTU$65538</xm:f>
          </x14:formula1>
          <xm:sqref>QUD65543:QUD65566</xm:sqref>
        </x14:dataValidation>
        <x14:dataValidation type="list" allowBlank="1" showInputMessage="1" showErrorMessage="1" xr:uid="{AE02164E-40D4-46BB-A8A1-90F0EAA39BC9}">
          <x14:formula1>
            <xm:f>項目!A4:$RDQ$65538</xm:f>
          </x14:formula1>
          <xm:sqref>RDZ65543:RDZ65566</xm:sqref>
        </x14:dataValidation>
        <x14:dataValidation type="list" allowBlank="1" showInputMessage="1" showErrorMessage="1" xr:uid="{1061772B-8465-4B79-B4D4-32C3B288000D}">
          <x14:formula1>
            <xm:f>項目!A4:$RNM$65538</xm:f>
          </x14:formula1>
          <xm:sqref>RNV65543:RNV65566</xm:sqref>
        </x14:dataValidation>
        <x14:dataValidation type="list" allowBlank="1" showInputMessage="1" showErrorMessage="1" xr:uid="{F85BF6FA-A63C-4889-9E6F-B9500C0757F3}">
          <x14:formula1>
            <xm:f>項目!A4:$RXI$65538</xm:f>
          </x14:formula1>
          <xm:sqref>RXR65543:RXR65566</xm:sqref>
        </x14:dataValidation>
        <x14:dataValidation type="list" allowBlank="1" showInputMessage="1" showErrorMessage="1" xr:uid="{2815255E-ACA3-473D-B71E-D4428ED99A1F}">
          <x14:formula1>
            <xm:f>項目!A4:$SHE$65538</xm:f>
          </x14:formula1>
          <xm:sqref>SHN65543:SHN65566</xm:sqref>
        </x14:dataValidation>
        <x14:dataValidation type="list" allowBlank="1" showInputMessage="1" showErrorMessage="1" xr:uid="{5B76F43A-8B93-4090-B3D2-C692AA82C45C}">
          <x14:formula1>
            <xm:f>項目!A4:$SRA$65538</xm:f>
          </x14:formula1>
          <xm:sqref>SRJ65543:SRJ65566</xm:sqref>
        </x14:dataValidation>
        <x14:dataValidation type="list" allowBlank="1" showInputMessage="1" showErrorMessage="1" xr:uid="{9CB451E0-7E46-44C1-9B4D-9074F0F3330D}">
          <x14:formula1>
            <xm:f>項目!A4:$TAW$65538</xm:f>
          </x14:formula1>
          <xm:sqref>TBF65543:TBF65566</xm:sqref>
        </x14:dataValidation>
        <x14:dataValidation type="list" allowBlank="1" showInputMessage="1" showErrorMessage="1" xr:uid="{8D40351E-01B0-4544-BA4B-B01C27439ADB}">
          <x14:formula1>
            <xm:f>項目!A4:$TKS$65538</xm:f>
          </x14:formula1>
          <xm:sqref>TLB65543:TLB65566</xm:sqref>
        </x14:dataValidation>
        <x14:dataValidation type="list" allowBlank="1" showInputMessage="1" showErrorMessage="1" xr:uid="{6671A083-7A8A-4C98-89F3-7D0CD5C5BBFB}">
          <x14:formula1>
            <xm:f>項目!A4:$TUO$65538</xm:f>
          </x14:formula1>
          <xm:sqref>TUX65543:TUX65566</xm:sqref>
        </x14:dataValidation>
        <x14:dataValidation type="list" allowBlank="1" showInputMessage="1" showErrorMessage="1" xr:uid="{D3C26B45-5A15-4630-9F8A-0FE323157F28}">
          <x14:formula1>
            <xm:f>項目!A4:$UEK$65538</xm:f>
          </x14:formula1>
          <xm:sqref>UET65543:UET65566</xm:sqref>
        </x14:dataValidation>
        <x14:dataValidation type="list" allowBlank="1" showInputMessage="1" showErrorMessage="1" xr:uid="{DE8DD9B4-22E6-4E2D-955E-CE920934A121}">
          <x14:formula1>
            <xm:f>項目!A4:$UOG$65538</xm:f>
          </x14:formula1>
          <xm:sqref>UOP65543:UOP65566</xm:sqref>
        </x14:dataValidation>
        <x14:dataValidation type="list" allowBlank="1" showInputMessage="1" showErrorMessage="1" xr:uid="{B6B11089-9643-4478-9743-1E20E22A8276}">
          <x14:formula1>
            <xm:f>項目!A4:$UYC$65538</xm:f>
          </x14:formula1>
          <xm:sqref>UYL65543:UYL65566</xm:sqref>
        </x14:dataValidation>
        <x14:dataValidation type="list" allowBlank="1" showInputMessage="1" showErrorMessage="1" xr:uid="{BB4A090D-B219-40FC-8707-638E544C4E41}">
          <x14:formula1>
            <xm:f>項目!A4:$VHY$65538</xm:f>
          </x14:formula1>
          <xm:sqref>VIH65543:VIH65566</xm:sqref>
        </x14:dataValidation>
        <x14:dataValidation type="list" allowBlank="1" showInputMessage="1" showErrorMessage="1" xr:uid="{35918E6D-F479-4C6A-AEE3-0B2F62B6CF13}">
          <x14:formula1>
            <xm:f>項目!A4:$VRU$65538</xm:f>
          </x14:formula1>
          <xm:sqref>VSD65543:VSD65566</xm:sqref>
        </x14:dataValidation>
        <x14:dataValidation type="list" allowBlank="1" showInputMessage="1" showErrorMessage="1" xr:uid="{2A758832-6A4C-4CE4-AC38-D75D1097457E}">
          <x14:formula1>
            <xm:f>項目!A4:$WBQ$65538</xm:f>
          </x14:formula1>
          <xm:sqref>WBZ65543:WBZ65566</xm:sqref>
        </x14:dataValidation>
        <x14:dataValidation type="list" allowBlank="1" showInputMessage="1" showErrorMessage="1" xr:uid="{AFA2604C-346F-4855-9A57-D8E9727DC5B8}">
          <x14:formula1>
            <xm:f>項目!A4:$WLM$65538</xm:f>
          </x14:formula1>
          <xm:sqref>WLV65543:WLV65566</xm:sqref>
        </x14:dataValidation>
        <x14:dataValidation type="list" allowBlank="1" showInputMessage="1" showErrorMessage="1" xr:uid="{AB463C18-C55B-4ECC-99EA-752AB41EEBE6}">
          <x14:formula1>
            <xm:f>項目!A4:$WVI$65538</xm:f>
          </x14:formula1>
          <xm:sqref>WVR65543:WVR65566</xm:sqref>
        </x14:dataValidation>
        <x14:dataValidation type="list" allowBlank="1" showInputMessage="1" showErrorMessage="1" xr:uid="{BD33F8FA-9087-4EA6-937D-405AA1516A41}">
          <x14:formula1>
            <xm:f>項目!A4:$IW$131074</xm:f>
          </x14:formula1>
          <xm:sqref>JF131079:JF131102</xm:sqref>
        </x14:dataValidation>
        <x14:dataValidation type="list" allowBlank="1" showInputMessage="1" showErrorMessage="1" xr:uid="{B562C93B-BF1E-4E7C-8F09-236FE5AF6F08}">
          <x14:formula1>
            <xm:f>項目!A4:$SS$131074</xm:f>
          </x14:formula1>
          <xm:sqref>TB131079:TB131102</xm:sqref>
        </x14:dataValidation>
        <x14:dataValidation type="list" allowBlank="1" showInputMessage="1" showErrorMessage="1" xr:uid="{2620351B-00CC-4F59-9D0E-0C59EC1DAB0B}">
          <x14:formula1>
            <xm:f>項目!A4:$ACO$131074</xm:f>
          </x14:formula1>
          <xm:sqref>ACX131079:ACX131102</xm:sqref>
        </x14:dataValidation>
        <x14:dataValidation type="list" allowBlank="1" showInputMessage="1" showErrorMessage="1" xr:uid="{4DA0F699-846C-4D0C-AB3A-E786A38BCD22}">
          <x14:formula1>
            <xm:f>項目!A4:$AMK$131074</xm:f>
          </x14:formula1>
          <xm:sqref>AMT131079:AMT131102</xm:sqref>
        </x14:dataValidation>
        <x14:dataValidation type="list" allowBlank="1" showInputMessage="1" showErrorMessage="1" xr:uid="{F5640851-0921-44B8-A0FA-0E7043236111}">
          <x14:formula1>
            <xm:f>項目!A4:$AWG$131074</xm:f>
          </x14:formula1>
          <xm:sqref>AWP131079:AWP131102</xm:sqref>
        </x14:dataValidation>
        <x14:dataValidation type="list" allowBlank="1" showInputMessage="1" showErrorMessage="1" xr:uid="{F3F663A8-D433-4EEE-BC8B-2E91F588375E}">
          <x14:formula1>
            <xm:f>項目!A4:$BGC$131074</xm:f>
          </x14:formula1>
          <xm:sqref>BGL131079:BGL131102</xm:sqref>
        </x14:dataValidation>
        <x14:dataValidation type="list" allowBlank="1" showInputMessage="1" showErrorMessage="1" xr:uid="{E85D5A26-16AF-4BD2-A538-274E89467B7B}">
          <x14:formula1>
            <xm:f>項目!A4:$BPY$131074</xm:f>
          </x14:formula1>
          <xm:sqref>BQH131079:BQH131102</xm:sqref>
        </x14:dataValidation>
        <x14:dataValidation type="list" allowBlank="1" showInputMessage="1" showErrorMessage="1" xr:uid="{04EF2F6F-9875-40D5-BFEC-EF2FF6E9B634}">
          <x14:formula1>
            <xm:f>項目!A4:$BZU$131074</xm:f>
          </x14:formula1>
          <xm:sqref>CAD131079:CAD131102</xm:sqref>
        </x14:dataValidation>
        <x14:dataValidation type="list" allowBlank="1" showInputMessage="1" showErrorMessage="1" xr:uid="{3D907932-4F1E-4555-8046-1508118959FF}">
          <x14:formula1>
            <xm:f>項目!A4:$CJQ$131074</xm:f>
          </x14:formula1>
          <xm:sqref>CJZ131079:CJZ131102</xm:sqref>
        </x14:dataValidation>
        <x14:dataValidation type="list" allowBlank="1" showInputMessage="1" showErrorMessage="1" xr:uid="{9E6D1FCC-BE48-419C-8B92-ED8EBEB79ECA}">
          <x14:formula1>
            <xm:f>項目!A4:$CTM$131074</xm:f>
          </x14:formula1>
          <xm:sqref>CTV131079:CTV131102</xm:sqref>
        </x14:dataValidation>
        <x14:dataValidation type="list" allowBlank="1" showInputMessage="1" showErrorMessage="1" xr:uid="{45431587-B518-4575-8006-624278142D9C}">
          <x14:formula1>
            <xm:f>項目!A4:$DDI$131074</xm:f>
          </x14:formula1>
          <xm:sqref>DDR131079:DDR131102</xm:sqref>
        </x14:dataValidation>
        <x14:dataValidation type="list" allowBlank="1" showInputMessage="1" showErrorMessage="1" xr:uid="{2CF28B23-D93D-41BD-A503-514D1DC2EE48}">
          <x14:formula1>
            <xm:f>項目!A4:$DNE$131074</xm:f>
          </x14:formula1>
          <xm:sqref>DNN131079:DNN131102</xm:sqref>
        </x14:dataValidation>
        <x14:dataValidation type="list" allowBlank="1" showInputMessage="1" showErrorMessage="1" xr:uid="{9AFCE170-4EAC-4B0F-BC22-474D5BB61F2F}">
          <x14:formula1>
            <xm:f>項目!A4:$DXA$131074</xm:f>
          </x14:formula1>
          <xm:sqref>DXJ131079:DXJ131102</xm:sqref>
        </x14:dataValidation>
        <x14:dataValidation type="list" allowBlank="1" showInputMessage="1" showErrorMessage="1" xr:uid="{86766C07-DEC3-4698-9495-4354B63F31BC}">
          <x14:formula1>
            <xm:f>項目!A4:$EGW$131074</xm:f>
          </x14:formula1>
          <xm:sqref>EHF131079:EHF131102</xm:sqref>
        </x14:dataValidation>
        <x14:dataValidation type="list" allowBlank="1" showInputMessage="1" showErrorMessage="1" xr:uid="{74BF6A62-E84B-402D-8660-1EE004F0BF8E}">
          <x14:formula1>
            <xm:f>項目!A4:$EQS$131074</xm:f>
          </x14:formula1>
          <xm:sqref>ERB131079:ERB131102</xm:sqref>
        </x14:dataValidation>
        <x14:dataValidation type="list" allowBlank="1" showInputMessage="1" showErrorMessage="1" xr:uid="{1B2C6868-2305-488E-B5DB-0F13CCE74A02}">
          <x14:formula1>
            <xm:f>項目!A4:$FAO$131074</xm:f>
          </x14:formula1>
          <xm:sqref>FAX131079:FAX131102</xm:sqref>
        </x14:dataValidation>
        <x14:dataValidation type="list" allowBlank="1" showInputMessage="1" showErrorMessage="1" xr:uid="{38084322-9152-4286-8409-1CBDA01788C1}">
          <x14:formula1>
            <xm:f>項目!A4:$FKK$131074</xm:f>
          </x14:formula1>
          <xm:sqref>FKT131079:FKT131102</xm:sqref>
        </x14:dataValidation>
        <x14:dataValidation type="list" allowBlank="1" showInputMessage="1" showErrorMessage="1" xr:uid="{5084FF8C-2E91-4D77-8CB8-32EB49479808}">
          <x14:formula1>
            <xm:f>項目!A4:$FUG$131074</xm:f>
          </x14:formula1>
          <xm:sqref>FUP131079:FUP131102</xm:sqref>
        </x14:dataValidation>
        <x14:dataValidation type="list" allowBlank="1" showInputMessage="1" showErrorMessage="1" xr:uid="{E4731EB9-B61A-438C-8EBF-E22D55AF9F71}">
          <x14:formula1>
            <xm:f>項目!A4:$GEC$131074</xm:f>
          </x14:formula1>
          <xm:sqref>GEL131079:GEL131102</xm:sqref>
        </x14:dataValidation>
        <x14:dataValidation type="list" allowBlank="1" showInputMessage="1" showErrorMessage="1" xr:uid="{BD4FB10C-BC56-474E-B2B8-A80F3E9462A1}">
          <x14:formula1>
            <xm:f>項目!A4:$GNY$131074</xm:f>
          </x14:formula1>
          <xm:sqref>GOH131079:GOH131102</xm:sqref>
        </x14:dataValidation>
        <x14:dataValidation type="list" allowBlank="1" showInputMessage="1" showErrorMessage="1" xr:uid="{F02644B0-A723-4697-9F6A-82785475CBEC}">
          <x14:formula1>
            <xm:f>項目!A4:$GXU$131074</xm:f>
          </x14:formula1>
          <xm:sqref>GYD131079:GYD131102</xm:sqref>
        </x14:dataValidation>
        <x14:dataValidation type="list" allowBlank="1" showInputMessage="1" showErrorMessage="1" xr:uid="{426E9224-D6E4-4B76-BB7A-A5F51D8B4E50}">
          <x14:formula1>
            <xm:f>項目!A4:$HHQ$131074</xm:f>
          </x14:formula1>
          <xm:sqref>HHZ131079:HHZ131102</xm:sqref>
        </x14:dataValidation>
        <x14:dataValidation type="list" allowBlank="1" showInputMessage="1" showErrorMessage="1" xr:uid="{299C949D-39EE-406F-BE52-DAC78D6BAD3C}">
          <x14:formula1>
            <xm:f>項目!A4:$HRM$131074</xm:f>
          </x14:formula1>
          <xm:sqref>HRV131079:HRV131102</xm:sqref>
        </x14:dataValidation>
        <x14:dataValidation type="list" allowBlank="1" showInputMessage="1" showErrorMessage="1" xr:uid="{5962F70E-74EB-411D-AFFF-1FD42825D184}">
          <x14:formula1>
            <xm:f>項目!A4:$IBI$131074</xm:f>
          </x14:formula1>
          <xm:sqref>IBR131079:IBR131102</xm:sqref>
        </x14:dataValidation>
        <x14:dataValidation type="list" allowBlank="1" showInputMessage="1" showErrorMessage="1" xr:uid="{B80203DE-255E-4B6C-A271-72B06867291C}">
          <x14:formula1>
            <xm:f>項目!A4:$ILE$131074</xm:f>
          </x14:formula1>
          <xm:sqref>ILN131079:ILN131102</xm:sqref>
        </x14:dataValidation>
        <x14:dataValidation type="list" allowBlank="1" showInputMessage="1" showErrorMessage="1" xr:uid="{231B317D-D605-418A-AE8A-B43081863834}">
          <x14:formula1>
            <xm:f>項目!A4:$IVA$131074</xm:f>
          </x14:formula1>
          <xm:sqref>IVJ131079:IVJ131102</xm:sqref>
        </x14:dataValidation>
        <x14:dataValidation type="list" allowBlank="1" showInputMessage="1" showErrorMessage="1" xr:uid="{E8FAA0F2-8507-42B5-8216-321D4016662A}">
          <x14:formula1>
            <xm:f>項目!A4:$JEW$131074</xm:f>
          </x14:formula1>
          <xm:sqref>JFF131079:JFF131102</xm:sqref>
        </x14:dataValidation>
        <x14:dataValidation type="list" allowBlank="1" showInputMessage="1" showErrorMessage="1" xr:uid="{3F521AAA-EF4D-419D-89BD-6E6A5EE2EE6D}">
          <x14:formula1>
            <xm:f>項目!A4:$JOS$131074</xm:f>
          </x14:formula1>
          <xm:sqref>JPB131079:JPB131102</xm:sqref>
        </x14:dataValidation>
        <x14:dataValidation type="list" allowBlank="1" showInputMessage="1" showErrorMessage="1" xr:uid="{20ABA68D-9D44-4784-9037-53015B8C995E}">
          <x14:formula1>
            <xm:f>項目!A4:$JYO$131074</xm:f>
          </x14:formula1>
          <xm:sqref>JYX131079:JYX131102</xm:sqref>
        </x14:dataValidation>
        <x14:dataValidation type="list" allowBlank="1" showInputMessage="1" showErrorMessage="1" xr:uid="{8BD3329C-CBD4-4B8B-A372-E9D44F8D051D}">
          <x14:formula1>
            <xm:f>項目!A4:$KIK$131074</xm:f>
          </x14:formula1>
          <xm:sqref>KIT131079:KIT131102</xm:sqref>
        </x14:dataValidation>
        <x14:dataValidation type="list" allowBlank="1" showInputMessage="1" showErrorMessage="1" xr:uid="{57EF4787-4D9B-494C-9EBC-94EE2DF609CF}">
          <x14:formula1>
            <xm:f>項目!A4:$KSG$131074</xm:f>
          </x14:formula1>
          <xm:sqref>KSP131079:KSP131102</xm:sqref>
        </x14:dataValidation>
        <x14:dataValidation type="list" allowBlank="1" showInputMessage="1" showErrorMessage="1" xr:uid="{4850983F-F4DD-4E66-8718-20345ED1835D}">
          <x14:formula1>
            <xm:f>項目!A4:$LCC$131074</xm:f>
          </x14:formula1>
          <xm:sqref>LCL131079:LCL131102</xm:sqref>
        </x14:dataValidation>
        <x14:dataValidation type="list" allowBlank="1" showInputMessage="1" showErrorMessage="1" xr:uid="{77A19B3C-F9E2-4758-92F3-844EE42602F0}">
          <x14:formula1>
            <xm:f>項目!A4:$LLY$131074</xm:f>
          </x14:formula1>
          <xm:sqref>LMH131079:LMH131102</xm:sqref>
        </x14:dataValidation>
        <x14:dataValidation type="list" allowBlank="1" showInputMessage="1" showErrorMessage="1" xr:uid="{0E9C55B7-45EC-4B91-BEB0-C3104A0BF7DD}">
          <x14:formula1>
            <xm:f>項目!A4:$LVU$131074</xm:f>
          </x14:formula1>
          <xm:sqref>LWD131079:LWD131102</xm:sqref>
        </x14:dataValidation>
        <x14:dataValidation type="list" allowBlank="1" showInputMessage="1" showErrorMessage="1" xr:uid="{1053DBDF-0705-49A8-9AD0-EF43C2E8E7CB}">
          <x14:formula1>
            <xm:f>項目!A4:$MFQ$131074</xm:f>
          </x14:formula1>
          <xm:sqref>MFZ131079:MFZ131102</xm:sqref>
        </x14:dataValidation>
        <x14:dataValidation type="list" allowBlank="1" showInputMessage="1" showErrorMessage="1" xr:uid="{76945D56-AFB6-4E65-BA79-081A55DD2D8B}">
          <x14:formula1>
            <xm:f>項目!A4:$MPM$131074</xm:f>
          </x14:formula1>
          <xm:sqref>MPV131079:MPV131102</xm:sqref>
        </x14:dataValidation>
        <x14:dataValidation type="list" allowBlank="1" showInputMessage="1" showErrorMessage="1" xr:uid="{A24ECC32-D782-4A77-8BEF-A8E58336CBBB}">
          <x14:formula1>
            <xm:f>項目!A4:$MZI$131074</xm:f>
          </x14:formula1>
          <xm:sqref>MZR131079:MZR131102</xm:sqref>
        </x14:dataValidation>
        <x14:dataValidation type="list" allowBlank="1" showInputMessage="1" showErrorMessage="1" xr:uid="{44D48B46-32C8-4E0A-B288-DAA066C08701}">
          <x14:formula1>
            <xm:f>項目!A4:$NJE$131074</xm:f>
          </x14:formula1>
          <xm:sqref>NJN131079:NJN131102</xm:sqref>
        </x14:dataValidation>
        <x14:dataValidation type="list" allowBlank="1" showInputMessage="1" showErrorMessage="1" xr:uid="{DB52182E-A2A2-45FE-851A-B3506A5892F9}">
          <x14:formula1>
            <xm:f>項目!A4:$NTA$131074</xm:f>
          </x14:formula1>
          <xm:sqref>NTJ131079:NTJ131102</xm:sqref>
        </x14:dataValidation>
        <x14:dataValidation type="list" allowBlank="1" showInputMessage="1" showErrorMessage="1" xr:uid="{B93FD319-E0E3-4C09-A182-2233F70BCDA7}">
          <x14:formula1>
            <xm:f>項目!A4:$OCW$131074</xm:f>
          </x14:formula1>
          <xm:sqref>ODF131079:ODF131102</xm:sqref>
        </x14:dataValidation>
        <x14:dataValidation type="list" allowBlank="1" showInputMessage="1" showErrorMessage="1" xr:uid="{451A0829-D656-4478-8B3A-A8ECF7A62286}">
          <x14:formula1>
            <xm:f>項目!A4:$OMS$131074</xm:f>
          </x14:formula1>
          <xm:sqref>ONB131079:ONB131102</xm:sqref>
        </x14:dataValidation>
        <x14:dataValidation type="list" allowBlank="1" showInputMessage="1" showErrorMessage="1" xr:uid="{E7CFA96E-A284-49C1-8355-2D47EE143FC6}">
          <x14:formula1>
            <xm:f>項目!A4:$OWO$131074</xm:f>
          </x14:formula1>
          <xm:sqref>OWX131079:OWX131102</xm:sqref>
        </x14:dataValidation>
        <x14:dataValidation type="list" allowBlank="1" showInputMessage="1" showErrorMessage="1" xr:uid="{7AF9C4FE-F73B-4726-8EE5-590722B85A25}">
          <x14:formula1>
            <xm:f>項目!A4:$PGK$131074</xm:f>
          </x14:formula1>
          <xm:sqref>PGT131079:PGT131102</xm:sqref>
        </x14:dataValidation>
        <x14:dataValidation type="list" allowBlank="1" showInputMessage="1" showErrorMessage="1" xr:uid="{77F538C3-CEED-42CF-A56D-E7A11B7C3378}">
          <x14:formula1>
            <xm:f>項目!A4:$PQG$131074</xm:f>
          </x14:formula1>
          <xm:sqref>PQP131079:PQP131102</xm:sqref>
        </x14:dataValidation>
        <x14:dataValidation type="list" allowBlank="1" showInputMessage="1" showErrorMessage="1" xr:uid="{5EAF6812-5E5B-44F8-95AE-D9551BD60D98}">
          <x14:formula1>
            <xm:f>項目!A4:$QAC$131074</xm:f>
          </x14:formula1>
          <xm:sqref>QAL131079:QAL131102</xm:sqref>
        </x14:dataValidation>
        <x14:dataValidation type="list" allowBlank="1" showInputMessage="1" showErrorMessage="1" xr:uid="{97B04A5E-8668-4CC2-AD57-B6A6B803B480}">
          <x14:formula1>
            <xm:f>項目!A4:$QJY$131074</xm:f>
          </x14:formula1>
          <xm:sqref>QKH131079:QKH131102</xm:sqref>
        </x14:dataValidation>
        <x14:dataValidation type="list" allowBlank="1" showInputMessage="1" showErrorMessage="1" xr:uid="{3762B3A2-8478-4AF3-9734-41DB128600CC}">
          <x14:formula1>
            <xm:f>項目!A4:$QTU$131074</xm:f>
          </x14:formula1>
          <xm:sqref>QUD131079:QUD131102</xm:sqref>
        </x14:dataValidation>
        <x14:dataValidation type="list" allowBlank="1" showInputMessage="1" showErrorMessage="1" xr:uid="{7D0F39CF-71F1-4BA5-B115-F3502272D574}">
          <x14:formula1>
            <xm:f>項目!A4:$RDQ$131074</xm:f>
          </x14:formula1>
          <xm:sqref>RDZ131079:RDZ131102</xm:sqref>
        </x14:dataValidation>
        <x14:dataValidation type="list" allowBlank="1" showInputMessage="1" showErrorMessage="1" xr:uid="{F8382BA4-832F-4BA9-942D-9BD097B66234}">
          <x14:formula1>
            <xm:f>項目!A4:$RNM$131074</xm:f>
          </x14:formula1>
          <xm:sqref>RNV131079:RNV131102</xm:sqref>
        </x14:dataValidation>
        <x14:dataValidation type="list" allowBlank="1" showInputMessage="1" showErrorMessage="1" xr:uid="{AFF8DD7C-1CEB-4839-A712-663028B42F8D}">
          <x14:formula1>
            <xm:f>項目!A4:$RXI$131074</xm:f>
          </x14:formula1>
          <xm:sqref>RXR131079:RXR131102</xm:sqref>
        </x14:dataValidation>
        <x14:dataValidation type="list" allowBlank="1" showInputMessage="1" showErrorMessage="1" xr:uid="{97E4E5E4-0A0D-4C29-9DE4-F939333B39A7}">
          <x14:formula1>
            <xm:f>項目!A4:$SHE$131074</xm:f>
          </x14:formula1>
          <xm:sqref>SHN131079:SHN131102</xm:sqref>
        </x14:dataValidation>
        <x14:dataValidation type="list" allowBlank="1" showInputMessage="1" showErrorMessage="1" xr:uid="{D3768F0A-C226-4E3D-B1CB-30DFC72A447E}">
          <x14:formula1>
            <xm:f>項目!A4:$SRA$131074</xm:f>
          </x14:formula1>
          <xm:sqref>SRJ131079:SRJ131102</xm:sqref>
        </x14:dataValidation>
        <x14:dataValidation type="list" allowBlank="1" showInputMessage="1" showErrorMessage="1" xr:uid="{CCE5B245-69E0-43E0-8FA0-C5557855A840}">
          <x14:formula1>
            <xm:f>項目!A4:$TAW$131074</xm:f>
          </x14:formula1>
          <xm:sqref>TBF131079:TBF131102</xm:sqref>
        </x14:dataValidation>
        <x14:dataValidation type="list" allowBlank="1" showInputMessage="1" showErrorMessage="1" xr:uid="{3A8BE9A0-26C2-48FC-8705-4323A4FFFD94}">
          <x14:formula1>
            <xm:f>項目!A4:$TKS$131074</xm:f>
          </x14:formula1>
          <xm:sqref>TLB131079:TLB131102</xm:sqref>
        </x14:dataValidation>
        <x14:dataValidation type="list" allowBlank="1" showInputMessage="1" showErrorMessage="1" xr:uid="{A284DFA0-0D9F-4795-9729-AEEBA54C33A5}">
          <x14:formula1>
            <xm:f>項目!A4:$TUO$131074</xm:f>
          </x14:formula1>
          <xm:sqref>TUX131079:TUX131102</xm:sqref>
        </x14:dataValidation>
        <x14:dataValidation type="list" allowBlank="1" showInputMessage="1" showErrorMessage="1" xr:uid="{58A728D5-3AF3-49D2-BE38-F61BE9C7683B}">
          <x14:formula1>
            <xm:f>項目!A4:$UEK$131074</xm:f>
          </x14:formula1>
          <xm:sqref>UET131079:UET131102</xm:sqref>
        </x14:dataValidation>
        <x14:dataValidation type="list" allowBlank="1" showInputMessage="1" showErrorMessage="1" xr:uid="{F59BE7D0-1DF1-4C0B-A7C3-12882DF8B4E7}">
          <x14:formula1>
            <xm:f>項目!A4:$UOG$131074</xm:f>
          </x14:formula1>
          <xm:sqref>UOP131079:UOP131102</xm:sqref>
        </x14:dataValidation>
        <x14:dataValidation type="list" allowBlank="1" showInputMessage="1" showErrorMessage="1" xr:uid="{4CC7DBA0-A2D9-4F2B-B423-41E1DB6D64C1}">
          <x14:formula1>
            <xm:f>項目!A4:$UYC$131074</xm:f>
          </x14:formula1>
          <xm:sqref>UYL131079:UYL131102</xm:sqref>
        </x14:dataValidation>
        <x14:dataValidation type="list" allowBlank="1" showInputMessage="1" showErrorMessage="1" xr:uid="{6FFDCCC0-025F-4C09-8389-17DA025AEA39}">
          <x14:formula1>
            <xm:f>項目!A4:$VHY$131074</xm:f>
          </x14:formula1>
          <xm:sqref>VIH131079:VIH131102</xm:sqref>
        </x14:dataValidation>
        <x14:dataValidation type="list" allowBlank="1" showInputMessage="1" showErrorMessage="1" xr:uid="{B7E03D2C-1228-424A-876B-0A5E77205529}">
          <x14:formula1>
            <xm:f>項目!A4:$VRU$131074</xm:f>
          </x14:formula1>
          <xm:sqref>VSD131079:VSD131102</xm:sqref>
        </x14:dataValidation>
        <x14:dataValidation type="list" allowBlank="1" showInputMessage="1" showErrorMessage="1" xr:uid="{BD0D417E-0351-498A-BFD3-97085067DCBB}">
          <x14:formula1>
            <xm:f>項目!A4:$WBQ$131074</xm:f>
          </x14:formula1>
          <xm:sqref>WBZ131079:WBZ131102</xm:sqref>
        </x14:dataValidation>
        <x14:dataValidation type="list" allowBlank="1" showInputMessage="1" showErrorMessage="1" xr:uid="{EF739B50-85DC-431F-85DD-47ABB02EF6D3}">
          <x14:formula1>
            <xm:f>項目!A4:$WLM$131074</xm:f>
          </x14:formula1>
          <xm:sqref>WLV131079:WLV131102</xm:sqref>
        </x14:dataValidation>
        <x14:dataValidation type="list" allowBlank="1" showInputMessage="1" showErrorMessage="1" xr:uid="{1165035C-E603-47EB-AFCA-B66828BEA739}">
          <x14:formula1>
            <xm:f>項目!A4:$WVI$131074</xm:f>
          </x14:formula1>
          <xm:sqref>WVR131079:WVR131102</xm:sqref>
        </x14:dataValidation>
        <x14:dataValidation type="list" allowBlank="1" showInputMessage="1" showErrorMessage="1" xr:uid="{8D730AEC-57BF-4305-BBD2-1F15212ED8A6}">
          <x14:formula1>
            <xm:f>項目!A4:$IW$196610</xm:f>
          </x14:formula1>
          <xm:sqref>JF196615:JF196638</xm:sqref>
        </x14:dataValidation>
        <x14:dataValidation type="list" allowBlank="1" showInputMessage="1" showErrorMessage="1" xr:uid="{9E34BCD7-3B20-45D4-8D9A-3E168E434C68}">
          <x14:formula1>
            <xm:f>項目!A4:$SS$196610</xm:f>
          </x14:formula1>
          <xm:sqref>TB196615:TB196638</xm:sqref>
        </x14:dataValidation>
        <x14:dataValidation type="list" allowBlank="1" showInputMessage="1" showErrorMessage="1" xr:uid="{FCD86566-8AD5-4F99-8E33-1A74FB7137C6}">
          <x14:formula1>
            <xm:f>項目!A4:$ACO$196610</xm:f>
          </x14:formula1>
          <xm:sqref>ACX196615:ACX196638</xm:sqref>
        </x14:dataValidation>
        <x14:dataValidation type="list" allowBlank="1" showInputMessage="1" showErrorMessage="1" xr:uid="{E92274EA-F093-4403-9FED-EFF234DC81A7}">
          <x14:formula1>
            <xm:f>項目!A4:$AMK$196610</xm:f>
          </x14:formula1>
          <xm:sqref>AMT196615:AMT196638</xm:sqref>
        </x14:dataValidation>
        <x14:dataValidation type="list" allowBlank="1" showInputMessage="1" showErrorMessage="1" xr:uid="{B74C3A27-C06D-4390-9890-6192A43E56BC}">
          <x14:formula1>
            <xm:f>項目!A4:$AWG$196610</xm:f>
          </x14:formula1>
          <xm:sqref>AWP196615:AWP196638</xm:sqref>
        </x14:dataValidation>
        <x14:dataValidation type="list" allowBlank="1" showInputMessage="1" showErrorMessage="1" xr:uid="{F740A269-1186-453D-81C7-1071EF76CF90}">
          <x14:formula1>
            <xm:f>項目!A4:$BGC$196610</xm:f>
          </x14:formula1>
          <xm:sqref>BGL196615:BGL196638</xm:sqref>
        </x14:dataValidation>
        <x14:dataValidation type="list" allowBlank="1" showInputMessage="1" showErrorMessage="1" xr:uid="{207E32AD-D73B-40D8-951B-1E1388807DA5}">
          <x14:formula1>
            <xm:f>項目!A4:$BPY$196610</xm:f>
          </x14:formula1>
          <xm:sqref>BQH196615:BQH196638</xm:sqref>
        </x14:dataValidation>
        <x14:dataValidation type="list" allowBlank="1" showInputMessage="1" showErrorMessage="1" xr:uid="{7753C75C-6A0A-4B66-9051-771E6EAC4AF0}">
          <x14:formula1>
            <xm:f>項目!A4:$BZU$196610</xm:f>
          </x14:formula1>
          <xm:sqref>CAD196615:CAD196638</xm:sqref>
        </x14:dataValidation>
        <x14:dataValidation type="list" allowBlank="1" showInputMessage="1" showErrorMessage="1" xr:uid="{372613E8-1337-4435-8E43-8B40D8A62081}">
          <x14:formula1>
            <xm:f>項目!A4:$CJQ$196610</xm:f>
          </x14:formula1>
          <xm:sqref>CJZ196615:CJZ196638</xm:sqref>
        </x14:dataValidation>
        <x14:dataValidation type="list" allowBlank="1" showInputMessage="1" showErrorMessage="1" xr:uid="{E68C3799-AAA7-4BD3-9AC3-6695130410CD}">
          <x14:formula1>
            <xm:f>項目!A4:$CTM$196610</xm:f>
          </x14:formula1>
          <xm:sqref>CTV196615:CTV196638</xm:sqref>
        </x14:dataValidation>
        <x14:dataValidation type="list" allowBlank="1" showInputMessage="1" showErrorMessage="1" xr:uid="{C8CD5ED9-52B3-494A-BDD0-0BF15795DFE2}">
          <x14:formula1>
            <xm:f>項目!A4:$DDI$196610</xm:f>
          </x14:formula1>
          <xm:sqref>DDR196615:DDR196638</xm:sqref>
        </x14:dataValidation>
        <x14:dataValidation type="list" allowBlank="1" showInputMessage="1" showErrorMessage="1" xr:uid="{CEABC0B5-7434-4810-B294-20C984BC48BD}">
          <x14:formula1>
            <xm:f>項目!A4:$DNE$196610</xm:f>
          </x14:formula1>
          <xm:sqref>DNN196615:DNN196638</xm:sqref>
        </x14:dataValidation>
        <x14:dataValidation type="list" allowBlank="1" showInputMessage="1" showErrorMessage="1" xr:uid="{8AE4A4BF-B8E6-4173-91D1-00E659991144}">
          <x14:formula1>
            <xm:f>項目!A4:$DXA$196610</xm:f>
          </x14:formula1>
          <xm:sqref>DXJ196615:DXJ196638</xm:sqref>
        </x14:dataValidation>
        <x14:dataValidation type="list" allowBlank="1" showInputMessage="1" showErrorMessage="1" xr:uid="{C6F2025F-FB85-489C-8DFF-AE93FD42CDE4}">
          <x14:formula1>
            <xm:f>項目!A4:$EGW$196610</xm:f>
          </x14:formula1>
          <xm:sqref>EHF196615:EHF196638</xm:sqref>
        </x14:dataValidation>
        <x14:dataValidation type="list" allowBlank="1" showInputMessage="1" showErrorMessage="1" xr:uid="{E0DA4485-6D3D-4DC3-816C-0F4CF12EF66A}">
          <x14:formula1>
            <xm:f>項目!A4:$EQS$196610</xm:f>
          </x14:formula1>
          <xm:sqref>ERB196615:ERB196638</xm:sqref>
        </x14:dataValidation>
        <x14:dataValidation type="list" allowBlank="1" showInputMessage="1" showErrorMessage="1" xr:uid="{A4840CEF-9B39-49A2-974A-04C69A7F7534}">
          <x14:formula1>
            <xm:f>項目!A4:$FAO$196610</xm:f>
          </x14:formula1>
          <xm:sqref>FAX196615:FAX196638</xm:sqref>
        </x14:dataValidation>
        <x14:dataValidation type="list" allowBlank="1" showInputMessage="1" showErrorMessage="1" xr:uid="{E4DC7A0A-BC83-46FB-91EB-4BC36CCDEFDF}">
          <x14:formula1>
            <xm:f>項目!A4:$FKK$196610</xm:f>
          </x14:formula1>
          <xm:sqref>FKT196615:FKT196638</xm:sqref>
        </x14:dataValidation>
        <x14:dataValidation type="list" allowBlank="1" showInputMessage="1" showErrorMessage="1" xr:uid="{6CF4BFA8-CC14-4268-9907-DB98BB66D222}">
          <x14:formula1>
            <xm:f>項目!A4:$FUG$196610</xm:f>
          </x14:formula1>
          <xm:sqref>FUP196615:FUP196638</xm:sqref>
        </x14:dataValidation>
        <x14:dataValidation type="list" allowBlank="1" showInputMessage="1" showErrorMessage="1" xr:uid="{2E19AE38-0B16-42CE-A529-75AD05EDBC3B}">
          <x14:formula1>
            <xm:f>項目!A4:$GEC$196610</xm:f>
          </x14:formula1>
          <xm:sqref>GEL196615:GEL196638</xm:sqref>
        </x14:dataValidation>
        <x14:dataValidation type="list" allowBlank="1" showInputMessage="1" showErrorMessage="1" xr:uid="{41EA3EC9-694C-4FA3-8716-1C8DDEA34BDE}">
          <x14:formula1>
            <xm:f>項目!A4:$GNY$196610</xm:f>
          </x14:formula1>
          <xm:sqref>GOH196615:GOH196638</xm:sqref>
        </x14:dataValidation>
        <x14:dataValidation type="list" allowBlank="1" showInputMessage="1" showErrorMessage="1" xr:uid="{01A0BA5B-60FC-431D-B5C7-AD1E866785C6}">
          <x14:formula1>
            <xm:f>項目!A4:$GXU$196610</xm:f>
          </x14:formula1>
          <xm:sqref>GYD196615:GYD196638</xm:sqref>
        </x14:dataValidation>
        <x14:dataValidation type="list" allowBlank="1" showInputMessage="1" showErrorMessage="1" xr:uid="{CBBA8AD6-16C5-461D-BD81-FC0AF55B5C3F}">
          <x14:formula1>
            <xm:f>項目!A4:$HHQ$196610</xm:f>
          </x14:formula1>
          <xm:sqref>HHZ196615:HHZ196638</xm:sqref>
        </x14:dataValidation>
        <x14:dataValidation type="list" allowBlank="1" showInputMessage="1" showErrorMessage="1" xr:uid="{2CB0CFB2-7C57-438B-99FD-2DDC5648F82B}">
          <x14:formula1>
            <xm:f>項目!A4:$HRM$196610</xm:f>
          </x14:formula1>
          <xm:sqref>HRV196615:HRV196638</xm:sqref>
        </x14:dataValidation>
        <x14:dataValidation type="list" allowBlank="1" showInputMessage="1" showErrorMessage="1" xr:uid="{7608B31D-769D-442A-9BE5-0B6296E66FD3}">
          <x14:formula1>
            <xm:f>項目!A4:$IBI$196610</xm:f>
          </x14:formula1>
          <xm:sqref>IBR196615:IBR196638</xm:sqref>
        </x14:dataValidation>
        <x14:dataValidation type="list" allowBlank="1" showInputMessage="1" showErrorMessage="1" xr:uid="{F9CE49FD-260B-41EC-BDE7-1725B1DF40D3}">
          <x14:formula1>
            <xm:f>項目!A4:$ILE$196610</xm:f>
          </x14:formula1>
          <xm:sqref>ILN196615:ILN196638</xm:sqref>
        </x14:dataValidation>
        <x14:dataValidation type="list" allowBlank="1" showInputMessage="1" showErrorMessage="1" xr:uid="{B6DBBBF4-6AC1-43F4-B972-C10E92660B44}">
          <x14:formula1>
            <xm:f>項目!A4:$IVA$196610</xm:f>
          </x14:formula1>
          <xm:sqref>IVJ196615:IVJ196638</xm:sqref>
        </x14:dataValidation>
        <x14:dataValidation type="list" allowBlank="1" showInputMessage="1" showErrorMessage="1" xr:uid="{BF9C2A86-5CD6-4545-99D1-5EA2E493EDCD}">
          <x14:formula1>
            <xm:f>項目!A4:$JEW$196610</xm:f>
          </x14:formula1>
          <xm:sqref>JFF196615:JFF196638</xm:sqref>
        </x14:dataValidation>
        <x14:dataValidation type="list" allowBlank="1" showInputMessage="1" showErrorMessage="1" xr:uid="{6DC2C650-67B4-4610-8417-EFCB78CEA35A}">
          <x14:formula1>
            <xm:f>項目!A4:$JOS$196610</xm:f>
          </x14:formula1>
          <xm:sqref>JPB196615:JPB196638</xm:sqref>
        </x14:dataValidation>
        <x14:dataValidation type="list" allowBlank="1" showInputMessage="1" showErrorMessage="1" xr:uid="{189B3BD0-40DB-4633-8851-DA2E770FC89D}">
          <x14:formula1>
            <xm:f>項目!A4:$JYO$196610</xm:f>
          </x14:formula1>
          <xm:sqref>JYX196615:JYX196638</xm:sqref>
        </x14:dataValidation>
        <x14:dataValidation type="list" allowBlank="1" showInputMessage="1" showErrorMessage="1" xr:uid="{A3657230-A2E8-482C-B0DA-8C52F3BDFB9E}">
          <x14:formula1>
            <xm:f>項目!A4:$KIK$196610</xm:f>
          </x14:formula1>
          <xm:sqref>KIT196615:KIT196638</xm:sqref>
        </x14:dataValidation>
        <x14:dataValidation type="list" allowBlank="1" showInputMessage="1" showErrorMessage="1" xr:uid="{25B374EC-6888-413F-970D-456E86F97A28}">
          <x14:formula1>
            <xm:f>項目!A4:$KSG$196610</xm:f>
          </x14:formula1>
          <xm:sqref>KSP196615:KSP196638</xm:sqref>
        </x14:dataValidation>
        <x14:dataValidation type="list" allowBlank="1" showInputMessage="1" showErrorMessage="1" xr:uid="{77E29821-C1B4-4428-91C0-6C87A7E954DD}">
          <x14:formula1>
            <xm:f>項目!A4:$LCC$196610</xm:f>
          </x14:formula1>
          <xm:sqref>LCL196615:LCL196638</xm:sqref>
        </x14:dataValidation>
        <x14:dataValidation type="list" allowBlank="1" showInputMessage="1" showErrorMessage="1" xr:uid="{1D65C885-D8D1-401E-BF6A-C5D20AAB8C23}">
          <x14:formula1>
            <xm:f>項目!A4:$LLY$196610</xm:f>
          </x14:formula1>
          <xm:sqref>LMH196615:LMH196638</xm:sqref>
        </x14:dataValidation>
        <x14:dataValidation type="list" allowBlank="1" showInputMessage="1" showErrorMessage="1" xr:uid="{67C87AFF-D8E0-46CA-A6A7-55BCEB2B30A5}">
          <x14:formula1>
            <xm:f>項目!A4:$LVU$196610</xm:f>
          </x14:formula1>
          <xm:sqref>LWD196615:LWD196638</xm:sqref>
        </x14:dataValidation>
        <x14:dataValidation type="list" allowBlank="1" showInputMessage="1" showErrorMessage="1" xr:uid="{33451152-615B-4B61-B72D-6352908FABAC}">
          <x14:formula1>
            <xm:f>項目!A4:$MFQ$196610</xm:f>
          </x14:formula1>
          <xm:sqref>MFZ196615:MFZ196638</xm:sqref>
        </x14:dataValidation>
        <x14:dataValidation type="list" allowBlank="1" showInputMessage="1" showErrorMessage="1" xr:uid="{FF9D4DE5-F04E-4321-AD1F-3FBE65E5D343}">
          <x14:formula1>
            <xm:f>項目!A4:$MPM$196610</xm:f>
          </x14:formula1>
          <xm:sqref>MPV196615:MPV196638</xm:sqref>
        </x14:dataValidation>
        <x14:dataValidation type="list" allowBlank="1" showInputMessage="1" showErrorMessage="1" xr:uid="{6B55BA7D-798D-4803-B5D7-8E2500F9D179}">
          <x14:formula1>
            <xm:f>項目!A4:$MZI$196610</xm:f>
          </x14:formula1>
          <xm:sqref>MZR196615:MZR196638</xm:sqref>
        </x14:dataValidation>
        <x14:dataValidation type="list" allowBlank="1" showInputMessage="1" showErrorMessage="1" xr:uid="{D6B3FC86-EF66-4E66-BD95-5585F60EB2CB}">
          <x14:formula1>
            <xm:f>項目!A4:$NJE$196610</xm:f>
          </x14:formula1>
          <xm:sqref>NJN196615:NJN196638</xm:sqref>
        </x14:dataValidation>
        <x14:dataValidation type="list" allowBlank="1" showInputMessage="1" showErrorMessage="1" xr:uid="{DB497853-710A-4780-9814-2E5D4838EB97}">
          <x14:formula1>
            <xm:f>項目!A4:$NTA$196610</xm:f>
          </x14:formula1>
          <xm:sqref>NTJ196615:NTJ196638</xm:sqref>
        </x14:dataValidation>
        <x14:dataValidation type="list" allowBlank="1" showInputMessage="1" showErrorMessage="1" xr:uid="{17895A31-C15A-4996-B130-674C5CEB1632}">
          <x14:formula1>
            <xm:f>項目!A4:$OCW$196610</xm:f>
          </x14:formula1>
          <xm:sqref>ODF196615:ODF196638</xm:sqref>
        </x14:dataValidation>
        <x14:dataValidation type="list" allowBlank="1" showInputMessage="1" showErrorMessage="1" xr:uid="{F00556FF-AD2C-4623-8E8F-52802438FB93}">
          <x14:formula1>
            <xm:f>項目!A4:$OMS$196610</xm:f>
          </x14:formula1>
          <xm:sqref>ONB196615:ONB196638</xm:sqref>
        </x14:dataValidation>
        <x14:dataValidation type="list" allowBlank="1" showInputMessage="1" showErrorMessage="1" xr:uid="{94D40D53-4A55-4EB9-A9CE-727DF3CF0A08}">
          <x14:formula1>
            <xm:f>項目!A4:$OWO$196610</xm:f>
          </x14:formula1>
          <xm:sqref>OWX196615:OWX196638</xm:sqref>
        </x14:dataValidation>
        <x14:dataValidation type="list" allowBlank="1" showInputMessage="1" showErrorMessage="1" xr:uid="{2FCC5A91-86D4-4B9E-BD20-EEE88E895AF7}">
          <x14:formula1>
            <xm:f>項目!A4:$PGK$196610</xm:f>
          </x14:formula1>
          <xm:sqref>PGT196615:PGT196638</xm:sqref>
        </x14:dataValidation>
        <x14:dataValidation type="list" allowBlank="1" showInputMessage="1" showErrorMessage="1" xr:uid="{D1A9487F-7975-4CC6-B856-561013EB53E6}">
          <x14:formula1>
            <xm:f>項目!A4:$PQG$196610</xm:f>
          </x14:formula1>
          <xm:sqref>PQP196615:PQP196638</xm:sqref>
        </x14:dataValidation>
        <x14:dataValidation type="list" allowBlank="1" showInputMessage="1" showErrorMessage="1" xr:uid="{2CA9CE9A-90E1-4074-BD09-5CF52BA92AE5}">
          <x14:formula1>
            <xm:f>項目!A4:$QAC$196610</xm:f>
          </x14:formula1>
          <xm:sqref>QAL196615:QAL196638</xm:sqref>
        </x14:dataValidation>
        <x14:dataValidation type="list" allowBlank="1" showInputMessage="1" showErrorMessage="1" xr:uid="{68B73A3B-6971-41C4-BBA8-446B810FA956}">
          <x14:formula1>
            <xm:f>項目!A4:$QJY$196610</xm:f>
          </x14:formula1>
          <xm:sqref>QKH196615:QKH196638</xm:sqref>
        </x14:dataValidation>
        <x14:dataValidation type="list" allowBlank="1" showInputMessage="1" showErrorMessage="1" xr:uid="{184D1225-BA8D-46EC-8BF0-A7DC36B5B6AF}">
          <x14:formula1>
            <xm:f>項目!A4:$QTU$196610</xm:f>
          </x14:formula1>
          <xm:sqref>QUD196615:QUD196638</xm:sqref>
        </x14:dataValidation>
        <x14:dataValidation type="list" allowBlank="1" showInputMessage="1" showErrorMessage="1" xr:uid="{BC9EAE5B-B426-4664-8A5A-8B4F19208B7E}">
          <x14:formula1>
            <xm:f>項目!A4:$RDQ$196610</xm:f>
          </x14:formula1>
          <xm:sqref>RDZ196615:RDZ196638</xm:sqref>
        </x14:dataValidation>
        <x14:dataValidation type="list" allowBlank="1" showInputMessage="1" showErrorMessage="1" xr:uid="{8B0B0B8B-6B02-4476-B16C-0EB1D19532DF}">
          <x14:formula1>
            <xm:f>項目!A4:$RNM$196610</xm:f>
          </x14:formula1>
          <xm:sqref>RNV196615:RNV196638</xm:sqref>
        </x14:dataValidation>
        <x14:dataValidation type="list" allowBlank="1" showInputMessage="1" showErrorMessage="1" xr:uid="{43565387-E663-4DB5-A482-90127B2E8408}">
          <x14:formula1>
            <xm:f>項目!A4:$RXI$196610</xm:f>
          </x14:formula1>
          <xm:sqref>RXR196615:RXR196638</xm:sqref>
        </x14:dataValidation>
        <x14:dataValidation type="list" allowBlank="1" showInputMessage="1" showErrorMessage="1" xr:uid="{8D64CB02-39A4-4CEA-B698-051FFC9CB5DE}">
          <x14:formula1>
            <xm:f>項目!A4:$SHE$196610</xm:f>
          </x14:formula1>
          <xm:sqref>SHN196615:SHN196638</xm:sqref>
        </x14:dataValidation>
        <x14:dataValidation type="list" allowBlank="1" showInputMessage="1" showErrorMessage="1" xr:uid="{E74E9ECC-EEC9-42CD-8063-78B9CF334DF7}">
          <x14:formula1>
            <xm:f>項目!A4:$SRA$196610</xm:f>
          </x14:formula1>
          <xm:sqref>SRJ196615:SRJ196638</xm:sqref>
        </x14:dataValidation>
        <x14:dataValidation type="list" allowBlank="1" showInputMessage="1" showErrorMessage="1" xr:uid="{75942C96-AA70-43F3-A5E8-599085662A52}">
          <x14:formula1>
            <xm:f>項目!A4:$TAW$196610</xm:f>
          </x14:formula1>
          <xm:sqref>TBF196615:TBF196638</xm:sqref>
        </x14:dataValidation>
        <x14:dataValidation type="list" allowBlank="1" showInputMessage="1" showErrorMessage="1" xr:uid="{1D3B7134-5356-4693-A897-0F40798C8A10}">
          <x14:formula1>
            <xm:f>項目!A4:$TKS$196610</xm:f>
          </x14:formula1>
          <xm:sqref>TLB196615:TLB196638</xm:sqref>
        </x14:dataValidation>
        <x14:dataValidation type="list" allowBlank="1" showInputMessage="1" showErrorMessage="1" xr:uid="{5A4DD907-C9CB-43FE-B453-270113C5402C}">
          <x14:formula1>
            <xm:f>項目!A4:$TUO$196610</xm:f>
          </x14:formula1>
          <xm:sqref>TUX196615:TUX196638</xm:sqref>
        </x14:dataValidation>
        <x14:dataValidation type="list" allowBlank="1" showInputMessage="1" showErrorMessage="1" xr:uid="{C2A84F63-B51E-48F9-897D-832C23C72452}">
          <x14:formula1>
            <xm:f>項目!A4:$UEK$196610</xm:f>
          </x14:formula1>
          <xm:sqref>UET196615:UET196638</xm:sqref>
        </x14:dataValidation>
        <x14:dataValidation type="list" allowBlank="1" showInputMessage="1" showErrorMessage="1" xr:uid="{B1AAB6C0-D4B6-4C59-9AE0-C7B95C17320C}">
          <x14:formula1>
            <xm:f>項目!A4:$UOG$196610</xm:f>
          </x14:formula1>
          <xm:sqref>UOP196615:UOP196638</xm:sqref>
        </x14:dataValidation>
        <x14:dataValidation type="list" allowBlank="1" showInputMessage="1" showErrorMessage="1" xr:uid="{5B6C8616-B2DD-4D0A-90D6-D67E23EF1F02}">
          <x14:formula1>
            <xm:f>項目!A4:$UYC$196610</xm:f>
          </x14:formula1>
          <xm:sqref>UYL196615:UYL196638</xm:sqref>
        </x14:dataValidation>
        <x14:dataValidation type="list" allowBlank="1" showInputMessage="1" showErrorMessage="1" xr:uid="{D1A211F0-187A-467A-B56F-55BEBEC98263}">
          <x14:formula1>
            <xm:f>項目!A4:$VHY$196610</xm:f>
          </x14:formula1>
          <xm:sqref>VIH196615:VIH196638</xm:sqref>
        </x14:dataValidation>
        <x14:dataValidation type="list" allowBlank="1" showInputMessage="1" showErrorMessage="1" xr:uid="{50543193-F21E-4DB9-8F42-5655B39BB524}">
          <x14:formula1>
            <xm:f>項目!A4:$VRU$196610</xm:f>
          </x14:formula1>
          <xm:sqref>VSD196615:VSD196638</xm:sqref>
        </x14:dataValidation>
        <x14:dataValidation type="list" allowBlank="1" showInputMessage="1" showErrorMessage="1" xr:uid="{E41E538F-5FD0-417D-80FB-620AFC6934AC}">
          <x14:formula1>
            <xm:f>項目!A4:$WBQ$196610</xm:f>
          </x14:formula1>
          <xm:sqref>WBZ196615:WBZ196638</xm:sqref>
        </x14:dataValidation>
        <x14:dataValidation type="list" allowBlank="1" showInputMessage="1" showErrorMessage="1" xr:uid="{2405C0C0-63D6-4067-B17E-C9E6C57FB18B}">
          <x14:formula1>
            <xm:f>項目!A4:$WLM$196610</xm:f>
          </x14:formula1>
          <xm:sqref>WLV196615:WLV196638</xm:sqref>
        </x14:dataValidation>
        <x14:dataValidation type="list" allowBlank="1" showInputMessage="1" showErrorMessage="1" xr:uid="{9BF62041-87F9-42D7-A2A8-229DD750C9BA}">
          <x14:formula1>
            <xm:f>項目!A4:$WVI$196610</xm:f>
          </x14:formula1>
          <xm:sqref>WVR196615:WVR196638</xm:sqref>
        </x14:dataValidation>
        <x14:dataValidation type="list" allowBlank="1" showInputMessage="1" showErrorMessage="1" xr:uid="{3B36E02E-0794-4FB5-A16B-9AB116B4991B}">
          <x14:formula1>
            <xm:f>項目!A4:$IW$262146</xm:f>
          </x14:formula1>
          <xm:sqref>JF262151:JF262174</xm:sqref>
        </x14:dataValidation>
        <x14:dataValidation type="list" allowBlank="1" showInputMessage="1" showErrorMessage="1" xr:uid="{20A43E07-E19F-4A6B-9A6D-367F3BF4B779}">
          <x14:formula1>
            <xm:f>項目!A4:$SS$262146</xm:f>
          </x14:formula1>
          <xm:sqref>TB262151:TB262174</xm:sqref>
        </x14:dataValidation>
        <x14:dataValidation type="list" allowBlank="1" showInputMessage="1" showErrorMessage="1" xr:uid="{6C14FEB4-F868-4A3E-A75B-3762E0554CCD}">
          <x14:formula1>
            <xm:f>項目!A4:$ACO$262146</xm:f>
          </x14:formula1>
          <xm:sqref>ACX262151:ACX262174</xm:sqref>
        </x14:dataValidation>
        <x14:dataValidation type="list" allowBlank="1" showInputMessage="1" showErrorMessage="1" xr:uid="{8F6D61A0-ECB6-43FD-8B20-BD3818D9BC94}">
          <x14:formula1>
            <xm:f>項目!A4:$AMK$262146</xm:f>
          </x14:formula1>
          <xm:sqref>AMT262151:AMT262174</xm:sqref>
        </x14:dataValidation>
        <x14:dataValidation type="list" allowBlank="1" showInputMessage="1" showErrorMessage="1" xr:uid="{672E8164-CC02-410D-BD0C-1BA91104702B}">
          <x14:formula1>
            <xm:f>項目!A4:$AWG$262146</xm:f>
          </x14:formula1>
          <xm:sqref>AWP262151:AWP262174</xm:sqref>
        </x14:dataValidation>
        <x14:dataValidation type="list" allowBlank="1" showInputMessage="1" showErrorMessage="1" xr:uid="{3EC321A6-0EC3-43A5-8B3D-55E4ED5C28EE}">
          <x14:formula1>
            <xm:f>項目!A4:$BGC$262146</xm:f>
          </x14:formula1>
          <xm:sqref>BGL262151:BGL262174</xm:sqref>
        </x14:dataValidation>
        <x14:dataValidation type="list" allowBlank="1" showInputMessage="1" showErrorMessage="1" xr:uid="{46675792-E133-47C6-854B-87702A098393}">
          <x14:formula1>
            <xm:f>項目!A4:$BPY$262146</xm:f>
          </x14:formula1>
          <xm:sqref>BQH262151:BQH262174</xm:sqref>
        </x14:dataValidation>
        <x14:dataValidation type="list" allowBlank="1" showInputMessage="1" showErrorMessage="1" xr:uid="{50C7D730-DBF0-4948-B90E-9EEED64D6BCC}">
          <x14:formula1>
            <xm:f>項目!A4:$BZU$262146</xm:f>
          </x14:formula1>
          <xm:sqref>CAD262151:CAD262174</xm:sqref>
        </x14:dataValidation>
        <x14:dataValidation type="list" allowBlank="1" showInputMessage="1" showErrorMessage="1" xr:uid="{D55A5607-A025-4F37-9E7C-1CA588A74733}">
          <x14:formula1>
            <xm:f>項目!A4:$CJQ$262146</xm:f>
          </x14:formula1>
          <xm:sqref>CJZ262151:CJZ262174</xm:sqref>
        </x14:dataValidation>
        <x14:dataValidation type="list" allowBlank="1" showInputMessage="1" showErrorMessage="1" xr:uid="{29F54888-6B6C-43C8-BA23-3B9418E67305}">
          <x14:formula1>
            <xm:f>項目!A4:$CTM$262146</xm:f>
          </x14:formula1>
          <xm:sqref>CTV262151:CTV262174</xm:sqref>
        </x14:dataValidation>
        <x14:dataValidation type="list" allowBlank="1" showInputMessage="1" showErrorMessage="1" xr:uid="{3490D1B5-BCB4-4815-B5DB-2DAD9A345815}">
          <x14:formula1>
            <xm:f>項目!A4:$DDI$262146</xm:f>
          </x14:formula1>
          <xm:sqref>DDR262151:DDR262174</xm:sqref>
        </x14:dataValidation>
        <x14:dataValidation type="list" allowBlank="1" showInputMessage="1" showErrorMessage="1" xr:uid="{E25793E2-5FC3-48C2-9E27-E2A66150B8CD}">
          <x14:formula1>
            <xm:f>項目!A4:$DNE$262146</xm:f>
          </x14:formula1>
          <xm:sqref>DNN262151:DNN262174</xm:sqref>
        </x14:dataValidation>
        <x14:dataValidation type="list" allowBlank="1" showInputMessage="1" showErrorMessage="1" xr:uid="{1CC153EA-3799-4200-9BD7-8A0BAC7BCCD7}">
          <x14:formula1>
            <xm:f>項目!A4:$DXA$262146</xm:f>
          </x14:formula1>
          <xm:sqref>DXJ262151:DXJ262174</xm:sqref>
        </x14:dataValidation>
        <x14:dataValidation type="list" allowBlank="1" showInputMessage="1" showErrorMessage="1" xr:uid="{2D34DCD7-7D74-4231-A5C2-CC848EF2067C}">
          <x14:formula1>
            <xm:f>項目!A4:$EGW$262146</xm:f>
          </x14:formula1>
          <xm:sqref>EHF262151:EHF262174</xm:sqref>
        </x14:dataValidation>
        <x14:dataValidation type="list" allowBlank="1" showInputMessage="1" showErrorMessage="1" xr:uid="{F44B895E-411C-4D72-8CBE-9988B621B5FC}">
          <x14:formula1>
            <xm:f>項目!A4:$EQS$262146</xm:f>
          </x14:formula1>
          <xm:sqref>ERB262151:ERB262174</xm:sqref>
        </x14:dataValidation>
        <x14:dataValidation type="list" allowBlank="1" showInputMessage="1" showErrorMessage="1" xr:uid="{6DC2DA0F-804A-4160-B643-611C3AA27585}">
          <x14:formula1>
            <xm:f>項目!A4:$FAO$262146</xm:f>
          </x14:formula1>
          <xm:sqref>FAX262151:FAX262174</xm:sqref>
        </x14:dataValidation>
        <x14:dataValidation type="list" allowBlank="1" showInputMessage="1" showErrorMessage="1" xr:uid="{B48F4165-FA54-4B05-860B-66C156218EE6}">
          <x14:formula1>
            <xm:f>項目!A4:$FKK$262146</xm:f>
          </x14:formula1>
          <xm:sqref>FKT262151:FKT262174</xm:sqref>
        </x14:dataValidation>
        <x14:dataValidation type="list" allowBlank="1" showInputMessage="1" showErrorMessage="1" xr:uid="{90E75417-DAB1-4A78-A0C0-AE08E06AA963}">
          <x14:formula1>
            <xm:f>項目!A4:$FUG$262146</xm:f>
          </x14:formula1>
          <xm:sqref>FUP262151:FUP262174</xm:sqref>
        </x14:dataValidation>
        <x14:dataValidation type="list" allowBlank="1" showInputMessage="1" showErrorMessage="1" xr:uid="{1EB729F5-4D80-4784-8793-ED069BEFDB76}">
          <x14:formula1>
            <xm:f>項目!A4:$GEC$262146</xm:f>
          </x14:formula1>
          <xm:sqref>GEL262151:GEL262174</xm:sqref>
        </x14:dataValidation>
        <x14:dataValidation type="list" allowBlank="1" showInputMessage="1" showErrorMessage="1" xr:uid="{AFE89B13-7A24-4B21-BE83-127708A255CC}">
          <x14:formula1>
            <xm:f>項目!A4:$GNY$262146</xm:f>
          </x14:formula1>
          <xm:sqref>GOH262151:GOH262174</xm:sqref>
        </x14:dataValidation>
        <x14:dataValidation type="list" allowBlank="1" showInputMessage="1" showErrorMessage="1" xr:uid="{29B604F7-338A-43AD-945D-C6F99DF17179}">
          <x14:formula1>
            <xm:f>項目!A4:$GXU$262146</xm:f>
          </x14:formula1>
          <xm:sqref>GYD262151:GYD262174</xm:sqref>
        </x14:dataValidation>
        <x14:dataValidation type="list" allowBlank="1" showInputMessage="1" showErrorMessage="1" xr:uid="{AA1FF208-4D12-410D-86D5-EA49E844A1E3}">
          <x14:formula1>
            <xm:f>項目!A4:$HHQ$262146</xm:f>
          </x14:formula1>
          <xm:sqref>HHZ262151:HHZ262174</xm:sqref>
        </x14:dataValidation>
        <x14:dataValidation type="list" allowBlank="1" showInputMessage="1" showErrorMessage="1" xr:uid="{DBE3720E-36FF-4EEC-99D5-07723B6F9FE8}">
          <x14:formula1>
            <xm:f>項目!A4:$HRM$262146</xm:f>
          </x14:formula1>
          <xm:sqref>HRV262151:HRV262174</xm:sqref>
        </x14:dataValidation>
        <x14:dataValidation type="list" allowBlank="1" showInputMessage="1" showErrorMessage="1" xr:uid="{80A9B523-2C93-4A13-9853-AE0367CDEFBE}">
          <x14:formula1>
            <xm:f>項目!A4:$IBI$262146</xm:f>
          </x14:formula1>
          <xm:sqref>IBR262151:IBR262174</xm:sqref>
        </x14:dataValidation>
        <x14:dataValidation type="list" allowBlank="1" showInputMessage="1" showErrorMessage="1" xr:uid="{52FD80E1-8B58-4B79-8218-1E07A0028B57}">
          <x14:formula1>
            <xm:f>項目!A4:$ILE$262146</xm:f>
          </x14:formula1>
          <xm:sqref>ILN262151:ILN262174</xm:sqref>
        </x14:dataValidation>
        <x14:dataValidation type="list" allowBlank="1" showInputMessage="1" showErrorMessage="1" xr:uid="{51C007B1-7BE1-4B8F-8D16-E062C4256F8D}">
          <x14:formula1>
            <xm:f>項目!A4:$IVA$262146</xm:f>
          </x14:formula1>
          <xm:sqref>IVJ262151:IVJ262174</xm:sqref>
        </x14:dataValidation>
        <x14:dataValidation type="list" allowBlank="1" showInputMessage="1" showErrorMessage="1" xr:uid="{2FF92CDD-736A-4864-8574-D68D074F1B53}">
          <x14:formula1>
            <xm:f>項目!A4:$JEW$262146</xm:f>
          </x14:formula1>
          <xm:sqref>JFF262151:JFF262174</xm:sqref>
        </x14:dataValidation>
        <x14:dataValidation type="list" allowBlank="1" showInputMessage="1" showErrorMessage="1" xr:uid="{EB5E4112-1139-42DD-9F6A-6C4F4F56B828}">
          <x14:formula1>
            <xm:f>項目!A4:$JOS$262146</xm:f>
          </x14:formula1>
          <xm:sqref>JPB262151:JPB262174</xm:sqref>
        </x14:dataValidation>
        <x14:dataValidation type="list" allowBlank="1" showInputMessage="1" showErrorMessage="1" xr:uid="{786C9824-E5D1-4CCE-BCB5-AD8E657D4B68}">
          <x14:formula1>
            <xm:f>項目!A4:$JYO$262146</xm:f>
          </x14:formula1>
          <xm:sqref>JYX262151:JYX262174</xm:sqref>
        </x14:dataValidation>
        <x14:dataValidation type="list" allowBlank="1" showInputMessage="1" showErrorMessage="1" xr:uid="{DAD3FF05-CEBE-4D46-A208-6D57E0F49453}">
          <x14:formula1>
            <xm:f>項目!A4:$KIK$262146</xm:f>
          </x14:formula1>
          <xm:sqref>KIT262151:KIT262174</xm:sqref>
        </x14:dataValidation>
        <x14:dataValidation type="list" allowBlank="1" showInputMessage="1" showErrorMessage="1" xr:uid="{754D2103-F400-42D1-BBCE-3995C4837808}">
          <x14:formula1>
            <xm:f>項目!A4:$KSG$262146</xm:f>
          </x14:formula1>
          <xm:sqref>KSP262151:KSP262174</xm:sqref>
        </x14:dataValidation>
        <x14:dataValidation type="list" allowBlank="1" showInputMessage="1" showErrorMessage="1" xr:uid="{27BA99D2-91E5-477B-B789-9E30A818855D}">
          <x14:formula1>
            <xm:f>項目!A4:$LCC$262146</xm:f>
          </x14:formula1>
          <xm:sqref>LCL262151:LCL262174</xm:sqref>
        </x14:dataValidation>
        <x14:dataValidation type="list" allowBlank="1" showInputMessage="1" showErrorMessage="1" xr:uid="{898C4034-BDAF-4F9C-A921-2BC542D4C20A}">
          <x14:formula1>
            <xm:f>項目!A4:$LLY$262146</xm:f>
          </x14:formula1>
          <xm:sqref>LMH262151:LMH262174</xm:sqref>
        </x14:dataValidation>
        <x14:dataValidation type="list" allowBlank="1" showInputMessage="1" showErrorMessage="1" xr:uid="{5C1F4796-3F1A-42B8-BB87-FD6C5574B521}">
          <x14:formula1>
            <xm:f>項目!A4:$LVU$262146</xm:f>
          </x14:formula1>
          <xm:sqref>LWD262151:LWD262174</xm:sqref>
        </x14:dataValidation>
        <x14:dataValidation type="list" allowBlank="1" showInputMessage="1" showErrorMessage="1" xr:uid="{E664C9FA-7203-4896-B236-26729785CFF7}">
          <x14:formula1>
            <xm:f>項目!A4:$MFQ$262146</xm:f>
          </x14:formula1>
          <xm:sqref>MFZ262151:MFZ262174</xm:sqref>
        </x14:dataValidation>
        <x14:dataValidation type="list" allowBlank="1" showInputMessage="1" showErrorMessage="1" xr:uid="{B17A10FC-6B0B-469A-ABA7-5980CEC10F4C}">
          <x14:formula1>
            <xm:f>項目!A4:$MPM$262146</xm:f>
          </x14:formula1>
          <xm:sqref>MPV262151:MPV262174</xm:sqref>
        </x14:dataValidation>
        <x14:dataValidation type="list" allowBlank="1" showInputMessage="1" showErrorMessage="1" xr:uid="{EA13752C-8760-4936-935A-3682E7878B37}">
          <x14:formula1>
            <xm:f>項目!A4:$MZI$262146</xm:f>
          </x14:formula1>
          <xm:sqref>MZR262151:MZR262174</xm:sqref>
        </x14:dataValidation>
        <x14:dataValidation type="list" allowBlank="1" showInputMessage="1" showErrorMessage="1" xr:uid="{8CB79F26-4BA1-4300-899A-F20550C32393}">
          <x14:formula1>
            <xm:f>項目!A4:$NJE$262146</xm:f>
          </x14:formula1>
          <xm:sqref>NJN262151:NJN262174</xm:sqref>
        </x14:dataValidation>
        <x14:dataValidation type="list" allowBlank="1" showInputMessage="1" showErrorMessage="1" xr:uid="{7133B6AA-9A8D-4F00-8AF6-EBC764659B2F}">
          <x14:formula1>
            <xm:f>項目!A4:$NTA$262146</xm:f>
          </x14:formula1>
          <xm:sqref>NTJ262151:NTJ262174</xm:sqref>
        </x14:dataValidation>
        <x14:dataValidation type="list" allowBlank="1" showInputMessage="1" showErrorMessage="1" xr:uid="{FADF5A19-7482-471B-8BD2-C413B0313216}">
          <x14:formula1>
            <xm:f>項目!A4:$OCW$262146</xm:f>
          </x14:formula1>
          <xm:sqref>ODF262151:ODF262174</xm:sqref>
        </x14:dataValidation>
        <x14:dataValidation type="list" allowBlank="1" showInputMessage="1" showErrorMessage="1" xr:uid="{BD433D1D-3B45-46F6-B8DD-F55BEEA857BA}">
          <x14:formula1>
            <xm:f>項目!A4:$OMS$262146</xm:f>
          </x14:formula1>
          <xm:sqref>ONB262151:ONB262174</xm:sqref>
        </x14:dataValidation>
        <x14:dataValidation type="list" allowBlank="1" showInputMessage="1" showErrorMessage="1" xr:uid="{FDAB1B9E-1DBB-4DED-AE27-ACBAFF798FC3}">
          <x14:formula1>
            <xm:f>項目!A4:$OWO$262146</xm:f>
          </x14:formula1>
          <xm:sqref>OWX262151:OWX262174</xm:sqref>
        </x14:dataValidation>
        <x14:dataValidation type="list" allowBlank="1" showInputMessage="1" showErrorMessage="1" xr:uid="{8EA726EC-CEF2-4781-95EC-F130AA37E7D6}">
          <x14:formula1>
            <xm:f>項目!A4:$PGK$262146</xm:f>
          </x14:formula1>
          <xm:sqref>PGT262151:PGT262174</xm:sqref>
        </x14:dataValidation>
        <x14:dataValidation type="list" allowBlank="1" showInputMessage="1" showErrorMessage="1" xr:uid="{723884C0-DBC0-4099-B191-A463AD4C973F}">
          <x14:formula1>
            <xm:f>項目!A4:$PQG$262146</xm:f>
          </x14:formula1>
          <xm:sqref>PQP262151:PQP262174</xm:sqref>
        </x14:dataValidation>
        <x14:dataValidation type="list" allowBlank="1" showInputMessage="1" showErrorMessage="1" xr:uid="{0C2AC8A7-9885-4CB4-A7EE-BBF48466B9B6}">
          <x14:formula1>
            <xm:f>項目!A4:$QAC$262146</xm:f>
          </x14:formula1>
          <xm:sqref>QAL262151:QAL262174</xm:sqref>
        </x14:dataValidation>
        <x14:dataValidation type="list" allowBlank="1" showInputMessage="1" showErrorMessage="1" xr:uid="{906084C6-2535-4012-BD27-7CE043F03507}">
          <x14:formula1>
            <xm:f>項目!A4:$QJY$262146</xm:f>
          </x14:formula1>
          <xm:sqref>QKH262151:QKH262174</xm:sqref>
        </x14:dataValidation>
        <x14:dataValidation type="list" allowBlank="1" showInputMessage="1" showErrorMessage="1" xr:uid="{4F5D60F8-7A45-440E-AE47-4C56BE88CF7A}">
          <x14:formula1>
            <xm:f>項目!A4:$QTU$262146</xm:f>
          </x14:formula1>
          <xm:sqref>QUD262151:QUD262174</xm:sqref>
        </x14:dataValidation>
        <x14:dataValidation type="list" allowBlank="1" showInputMessage="1" showErrorMessage="1" xr:uid="{13771103-411E-4D95-B292-B989BD949064}">
          <x14:formula1>
            <xm:f>項目!A4:$RDQ$262146</xm:f>
          </x14:formula1>
          <xm:sqref>RDZ262151:RDZ262174</xm:sqref>
        </x14:dataValidation>
        <x14:dataValidation type="list" allowBlank="1" showInputMessage="1" showErrorMessage="1" xr:uid="{FB611AF3-3301-4E33-B1DB-756616103918}">
          <x14:formula1>
            <xm:f>項目!A4:$RNM$262146</xm:f>
          </x14:formula1>
          <xm:sqref>RNV262151:RNV262174</xm:sqref>
        </x14:dataValidation>
        <x14:dataValidation type="list" allowBlank="1" showInputMessage="1" showErrorMessage="1" xr:uid="{672187F8-3CF1-4AAC-9198-732A24E71000}">
          <x14:formula1>
            <xm:f>項目!A4:$RXI$262146</xm:f>
          </x14:formula1>
          <xm:sqref>RXR262151:RXR262174</xm:sqref>
        </x14:dataValidation>
        <x14:dataValidation type="list" allowBlank="1" showInputMessage="1" showErrorMessage="1" xr:uid="{667EDEAB-9A8B-4B3C-AE2F-A3A9116F92C4}">
          <x14:formula1>
            <xm:f>項目!A4:$SHE$262146</xm:f>
          </x14:formula1>
          <xm:sqref>SHN262151:SHN262174</xm:sqref>
        </x14:dataValidation>
        <x14:dataValidation type="list" allowBlank="1" showInputMessage="1" showErrorMessage="1" xr:uid="{E9DD5C5D-6D31-492B-BF67-20B6201727C4}">
          <x14:formula1>
            <xm:f>項目!A4:$SRA$262146</xm:f>
          </x14:formula1>
          <xm:sqref>SRJ262151:SRJ262174</xm:sqref>
        </x14:dataValidation>
        <x14:dataValidation type="list" allowBlank="1" showInputMessage="1" showErrorMessage="1" xr:uid="{8B3E26B4-6D0D-4400-B054-6C0AB269B21D}">
          <x14:formula1>
            <xm:f>項目!A4:$TAW$262146</xm:f>
          </x14:formula1>
          <xm:sqref>TBF262151:TBF262174</xm:sqref>
        </x14:dataValidation>
        <x14:dataValidation type="list" allowBlank="1" showInputMessage="1" showErrorMessage="1" xr:uid="{7373CE7A-D964-4E99-B9D2-585E08878081}">
          <x14:formula1>
            <xm:f>項目!A4:$TKS$262146</xm:f>
          </x14:formula1>
          <xm:sqref>TLB262151:TLB262174</xm:sqref>
        </x14:dataValidation>
        <x14:dataValidation type="list" allowBlank="1" showInputMessage="1" showErrorMessage="1" xr:uid="{3E6AC0B7-6C0C-4527-B157-BCF77775EB0B}">
          <x14:formula1>
            <xm:f>項目!A4:$TUO$262146</xm:f>
          </x14:formula1>
          <xm:sqref>TUX262151:TUX262174</xm:sqref>
        </x14:dataValidation>
        <x14:dataValidation type="list" allowBlank="1" showInputMessage="1" showErrorMessage="1" xr:uid="{DAB73474-5655-4068-AD8A-9305CADB65F2}">
          <x14:formula1>
            <xm:f>項目!A4:$UEK$262146</xm:f>
          </x14:formula1>
          <xm:sqref>UET262151:UET262174</xm:sqref>
        </x14:dataValidation>
        <x14:dataValidation type="list" allowBlank="1" showInputMessage="1" showErrorMessage="1" xr:uid="{99672002-036D-4334-A094-2D9592999EE4}">
          <x14:formula1>
            <xm:f>項目!A4:$UOG$262146</xm:f>
          </x14:formula1>
          <xm:sqref>UOP262151:UOP262174</xm:sqref>
        </x14:dataValidation>
        <x14:dataValidation type="list" allowBlank="1" showInputMessage="1" showErrorMessage="1" xr:uid="{05B466EB-83EB-457C-93A7-54833EDD7C18}">
          <x14:formula1>
            <xm:f>項目!A4:$UYC$262146</xm:f>
          </x14:formula1>
          <xm:sqref>UYL262151:UYL262174</xm:sqref>
        </x14:dataValidation>
        <x14:dataValidation type="list" allowBlank="1" showInputMessage="1" showErrorMessage="1" xr:uid="{10520947-9C4B-454E-B481-1C85C0D30766}">
          <x14:formula1>
            <xm:f>項目!A4:$VHY$262146</xm:f>
          </x14:formula1>
          <xm:sqref>VIH262151:VIH262174</xm:sqref>
        </x14:dataValidation>
        <x14:dataValidation type="list" allowBlank="1" showInputMessage="1" showErrorMessage="1" xr:uid="{7C170614-5D3E-42DF-80AF-80F0EAF5584A}">
          <x14:formula1>
            <xm:f>項目!A4:$VRU$262146</xm:f>
          </x14:formula1>
          <xm:sqref>VSD262151:VSD262174</xm:sqref>
        </x14:dataValidation>
        <x14:dataValidation type="list" allowBlank="1" showInputMessage="1" showErrorMessage="1" xr:uid="{862B418D-C45B-42AC-B7C4-921D79DE2F77}">
          <x14:formula1>
            <xm:f>項目!A4:$WBQ$262146</xm:f>
          </x14:formula1>
          <xm:sqref>WBZ262151:WBZ262174</xm:sqref>
        </x14:dataValidation>
        <x14:dataValidation type="list" allowBlank="1" showInputMessage="1" showErrorMessage="1" xr:uid="{E44B29B5-DFFD-4344-A05D-E15BDC2CE0E2}">
          <x14:formula1>
            <xm:f>項目!A4:$WLM$262146</xm:f>
          </x14:formula1>
          <xm:sqref>WLV262151:WLV262174</xm:sqref>
        </x14:dataValidation>
        <x14:dataValidation type="list" allowBlank="1" showInputMessage="1" showErrorMessage="1" xr:uid="{671EFE39-38D3-40DE-8EF5-6D9800F70943}">
          <x14:formula1>
            <xm:f>項目!A4:$WVI$262146</xm:f>
          </x14:formula1>
          <xm:sqref>WVR262151:WVR262174</xm:sqref>
        </x14:dataValidation>
        <x14:dataValidation type="list" allowBlank="1" showInputMessage="1" showErrorMessage="1" xr:uid="{80FF139E-F6E8-4F10-BF5A-121261379452}">
          <x14:formula1>
            <xm:f>項目!A4:$IW$327682</xm:f>
          </x14:formula1>
          <xm:sqref>JF327687:JF327710</xm:sqref>
        </x14:dataValidation>
        <x14:dataValidation type="list" allowBlank="1" showInputMessage="1" showErrorMessage="1" xr:uid="{4899B7C0-47EC-402D-B7C7-4DA244AB9297}">
          <x14:formula1>
            <xm:f>項目!A4:$SS$327682</xm:f>
          </x14:formula1>
          <xm:sqref>TB327687:TB327710</xm:sqref>
        </x14:dataValidation>
        <x14:dataValidation type="list" allowBlank="1" showInputMessage="1" showErrorMessage="1" xr:uid="{28DBCEE7-5217-43FF-B034-205345784926}">
          <x14:formula1>
            <xm:f>項目!A4:$ACO$327682</xm:f>
          </x14:formula1>
          <xm:sqref>ACX327687:ACX327710</xm:sqref>
        </x14:dataValidation>
        <x14:dataValidation type="list" allowBlank="1" showInputMessage="1" showErrorMessage="1" xr:uid="{CBEACA97-D0DC-42FC-B6BE-D9758BA07FC4}">
          <x14:formula1>
            <xm:f>項目!A4:$AMK$327682</xm:f>
          </x14:formula1>
          <xm:sqref>AMT327687:AMT327710</xm:sqref>
        </x14:dataValidation>
        <x14:dataValidation type="list" allowBlank="1" showInputMessage="1" showErrorMessage="1" xr:uid="{EC81662C-8391-4798-B915-7112CAF62EFA}">
          <x14:formula1>
            <xm:f>項目!A4:$AWG$327682</xm:f>
          </x14:formula1>
          <xm:sqref>AWP327687:AWP327710</xm:sqref>
        </x14:dataValidation>
        <x14:dataValidation type="list" allowBlank="1" showInputMessage="1" showErrorMessage="1" xr:uid="{2B65D8A0-0575-4DED-B156-8712A3B91DA6}">
          <x14:formula1>
            <xm:f>項目!A4:$BGC$327682</xm:f>
          </x14:formula1>
          <xm:sqref>BGL327687:BGL327710</xm:sqref>
        </x14:dataValidation>
        <x14:dataValidation type="list" allowBlank="1" showInputMessage="1" showErrorMessage="1" xr:uid="{446C017B-606F-4F84-A8DB-FFA6D3FF1618}">
          <x14:formula1>
            <xm:f>項目!A4:$BPY$327682</xm:f>
          </x14:formula1>
          <xm:sqref>BQH327687:BQH327710</xm:sqref>
        </x14:dataValidation>
        <x14:dataValidation type="list" allowBlank="1" showInputMessage="1" showErrorMessage="1" xr:uid="{D776BEAF-4902-4B00-A179-51327EECE80E}">
          <x14:formula1>
            <xm:f>項目!A4:$BZU$327682</xm:f>
          </x14:formula1>
          <xm:sqref>CAD327687:CAD327710</xm:sqref>
        </x14:dataValidation>
        <x14:dataValidation type="list" allowBlank="1" showInputMessage="1" showErrorMessage="1" xr:uid="{3D24C5E6-6D94-4EFA-A140-98475E3C7BD1}">
          <x14:formula1>
            <xm:f>項目!A4:$CJQ$327682</xm:f>
          </x14:formula1>
          <xm:sqref>CJZ327687:CJZ327710</xm:sqref>
        </x14:dataValidation>
        <x14:dataValidation type="list" allowBlank="1" showInputMessage="1" showErrorMessage="1" xr:uid="{BC2798C4-477F-4322-A617-16C83B5AD35F}">
          <x14:formula1>
            <xm:f>項目!A4:$CTM$327682</xm:f>
          </x14:formula1>
          <xm:sqref>CTV327687:CTV327710</xm:sqref>
        </x14:dataValidation>
        <x14:dataValidation type="list" allowBlank="1" showInputMessage="1" showErrorMessage="1" xr:uid="{55BBD3BC-C0CF-472F-97B5-AA442E223E45}">
          <x14:formula1>
            <xm:f>項目!A4:$DDI$327682</xm:f>
          </x14:formula1>
          <xm:sqref>DDR327687:DDR327710</xm:sqref>
        </x14:dataValidation>
        <x14:dataValidation type="list" allowBlank="1" showInputMessage="1" showErrorMessage="1" xr:uid="{FDCC7019-D988-4D96-9F06-B7F7731CE7C6}">
          <x14:formula1>
            <xm:f>項目!A4:$DNE$327682</xm:f>
          </x14:formula1>
          <xm:sqref>DNN327687:DNN327710</xm:sqref>
        </x14:dataValidation>
        <x14:dataValidation type="list" allowBlank="1" showInputMessage="1" showErrorMessage="1" xr:uid="{79AB4705-FA75-4605-85C3-DB980EF7DA58}">
          <x14:formula1>
            <xm:f>項目!A4:$DXA$327682</xm:f>
          </x14:formula1>
          <xm:sqref>DXJ327687:DXJ327710</xm:sqref>
        </x14:dataValidation>
        <x14:dataValidation type="list" allowBlank="1" showInputMessage="1" showErrorMessage="1" xr:uid="{47CC5D41-6A1C-44E1-86F3-3AF170AED1B0}">
          <x14:formula1>
            <xm:f>項目!A4:$EGW$327682</xm:f>
          </x14:formula1>
          <xm:sqref>EHF327687:EHF327710</xm:sqref>
        </x14:dataValidation>
        <x14:dataValidation type="list" allowBlank="1" showInputMessage="1" showErrorMessage="1" xr:uid="{D2BF71E5-BAE9-4DDF-A840-A67D6B1235C0}">
          <x14:formula1>
            <xm:f>項目!A4:$EQS$327682</xm:f>
          </x14:formula1>
          <xm:sqref>ERB327687:ERB327710</xm:sqref>
        </x14:dataValidation>
        <x14:dataValidation type="list" allowBlank="1" showInputMessage="1" showErrorMessage="1" xr:uid="{D8646D27-47B9-49A4-859B-02791F9AED89}">
          <x14:formula1>
            <xm:f>項目!A4:$FAO$327682</xm:f>
          </x14:formula1>
          <xm:sqref>FAX327687:FAX327710</xm:sqref>
        </x14:dataValidation>
        <x14:dataValidation type="list" allowBlank="1" showInputMessage="1" showErrorMessage="1" xr:uid="{7B2858B0-5B57-4E36-AE5A-C60BA7434131}">
          <x14:formula1>
            <xm:f>項目!A4:$FKK$327682</xm:f>
          </x14:formula1>
          <xm:sqref>FKT327687:FKT327710</xm:sqref>
        </x14:dataValidation>
        <x14:dataValidation type="list" allowBlank="1" showInputMessage="1" showErrorMessage="1" xr:uid="{3F91071D-0F27-40D2-A0B3-6B402590982E}">
          <x14:formula1>
            <xm:f>項目!A4:$FUG$327682</xm:f>
          </x14:formula1>
          <xm:sqref>FUP327687:FUP327710</xm:sqref>
        </x14:dataValidation>
        <x14:dataValidation type="list" allowBlank="1" showInputMessage="1" showErrorMessage="1" xr:uid="{F1A83814-A8A8-4A37-A413-91F8E404F608}">
          <x14:formula1>
            <xm:f>項目!A4:$GEC$327682</xm:f>
          </x14:formula1>
          <xm:sqref>GEL327687:GEL327710</xm:sqref>
        </x14:dataValidation>
        <x14:dataValidation type="list" allowBlank="1" showInputMessage="1" showErrorMessage="1" xr:uid="{C2A1F545-5B6A-48EF-92C1-437179010C16}">
          <x14:formula1>
            <xm:f>項目!A4:$GNY$327682</xm:f>
          </x14:formula1>
          <xm:sqref>GOH327687:GOH327710</xm:sqref>
        </x14:dataValidation>
        <x14:dataValidation type="list" allowBlank="1" showInputMessage="1" showErrorMessage="1" xr:uid="{E476B7FF-F424-4B0D-99B6-CBB66FE0FD5A}">
          <x14:formula1>
            <xm:f>項目!A4:$GXU$327682</xm:f>
          </x14:formula1>
          <xm:sqref>GYD327687:GYD327710</xm:sqref>
        </x14:dataValidation>
        <x14:dataValidation type="list" allowBlank="1" showInputMessage="1" showErrorMessage="1" xr:uid="{01C2DB49-CE48-4340-B886-87D46AA8B051}">
          <x14:formula1>
            <xm:f>項目!A4:$HHQ$327682</xm:f>
          </x14:formula1>
          <xm:sqref>HHZ327687:HHZ327710</xm:sqref>
        </x14:dataValidation>
        <x14:dataValidation type="list" allowBlank="1" showInputMessage="1" showErrorMessage="1" xr:uid="{1E44023C-DDB7-4B75-8A45-B4903562E4CB}">
          <x14:formula1>
            <xm:f>項目!A4:$HRM$327682</xm:f>
          </x14:formula1>
          <xm:sqref>HRV327687:HRV327710</xm:sqref>
        </x14:dataValidation>
        <x14:dataValidation type="list" allowBlank="1" showInputMessage="1" showErrorMessage="1" xr:uid="{F06DDC0A-ADFF-4B92-8543-68A46D391773}">
          <x14:formula1>
            <xm:f>項目!A4:$IBI$327682</xm:f>
          </x14:formula1>
          <xm:sqref>IBR327687:IBR327710</xm:sqref>
        </x14:dataValidation>
        <x14:dataValidation type="list" allowBlank="1" showInputMessage="1" showErrorMessage="1" xr:uid="{C34212CB-F1CC-4777-99D9-C683D09924C3}">
          <x14:formula1>
            <xm:f>項目!A4:$ILE$327682</xm:f>
          </x14:formula1>
          <xm:sqref>ILN327687:ILN327710</xm:sqref>
        </x14:dataValidation>
        <x14:dataValidation type="list" allowBlank="1" showInputMessage="1" showErrorMessage="1" xr:uid="{A80186E6-7CF6-44F0-B281-DFB3685131DD}">
          <x14:formula1>
            <xm:f>項目!A4:$IVA$327682</xm:f>
          </x14:formula1>
          <xm:sqref>IVJ327687:IVJ327710</xm:sqref>
        </x14:dataValidation>
        <x14:dataValidation type="list" allowBlank="1" showInputMessage="1" showErrorMessage="1" xr:uid="{DC32E321-195E-4216-A83D-8E1094B98367}">
          <x14:formula1>
            <xm:f>項目!A4:$JEW$327682</xm:f>
          </x14:formula1>
          <xm:sqref>JFF327687:JFF327710</xm:sqref>
        </x14:dataValidation>
        <x14:dataValidation type="list" allowBlank="1" showInputMessage="1" showErrorMessage="1" xr:uid="{EED7B82C-5197-4548-86BD-3784C0A96AD5}">
          <x14:formula1>
            <xm:f>項目!A4:$JOS$327682</xm:f>
          </x14:formula1>
          <xm:sqref>JPB327687:JPB327710</xm:sqref>
        </x14:dataValidation>
        <x14:dataValidation type="list" allowBlank="1" showInputMessage="1" showErrorMessage="1" xr:uid="{82650934-CDC7-4C5E-A8B6-5EA562569601}">
          <x14:formula1>
            <xm:f>項目!A4:$JYO$327682</xm:f>
          </x14:formula1>
          <xm:sqref>JYX327687:JYX327710</xm:sqref>
        </x14:dataValidation>
        <x14:dataValidation type="list" allowBlank="1" showInputMessage="1" showErrorMessage="1" xr:uid="{A2101D12-CC1E-480D-88DD-751C1C774D14}">
          <x14:formula1>
            <xm:f>項目!A4:$KIK$327682</xm:f>
          </x14:formula1>
          <xm:sqref>KIT327687:KIT327710</xm:sqref>
        </x14:dataValidation>
        <x14:dataValidation type="list" allowBlank="1" showInputMessage="1" showErrorMessage="1" xr:uid="{AB3DD1CF-E771-4838-BCCE-F0DAB6AD8391}">
          <x14:formula1>
            <xm:f>項目!A4:$KSG$327682</xm:f>
          </x14:formula1>
          <xm:sqref>KSP327687:KSP327710</xm:sqref>
        </x14:dataValidation>
        <x14:dataValidation type="list" allowBlank="1" showInputMessage="1" showErrorMessage="1" xr:uid="{543AD498-445A-47DE-A930-4B6151037F4D}">
          <x14:formula1>
            <xm:f>項目!A4:$LCC$327682</xm:f>
          </x14:formula1>
          <xm:sqref>LCL327687:LCL327710</xm:sqref>
        </x14:dataValidation>
        <x14:dataValidation type="list" allowBlank="1" showInputMessage="1" showErrorMessage="1" xr:uid="{AC8F851F-DDA2-4FDB-A256-8B183F6396D2}">
          <x14:formula1>
            <xm:f>項目!A4:$LLY$327682</xm:f>
          </x14:formula1>
          <xm:sqref>LMH327687:LMH327710</xm:sqref>
        </x14:dataValidation>
        <x14:dataValidation type="list" allowBlank="1" showInputMessage="1" showErrorMessage="1" xr:uid="{AA18458A-0DC5-4706-B3C8-159F012CDC19}">
          <x14:formula1>
            <xm:f>項目!A4:$LVU$327682</xm:f>
          </x14:formula1>
          <xm:sqref>LWD327687:LWD327710</xm:sqref>
        </x14:dataValidation>
        <x14:dataValidation type="list" allowBlank="1" showInputMessage="1" showErrorMessage="1" xr:uid="{28129DE2-FB21-495D-BD94-4026843DE5A2}">
          <x14:formula1>
            <xm:f>項目!A4:$MFQ$327682</xm:f>
          </x14:formula1>
          <xm:sqref>MFZ327687:MFZ327710</xm:sqref>
        </x14:dataValidation>
        <x14:dataValidation type="list" allowBlank="1" showInputMessage="1" showErrorMessage="1" xr:uid="{AD5D0B05-C48F-420D-8B09-E92F3CFAAC72}">
          <x14:formula1>
            <xm:f>項目!A4:$MPM$327682</xm:f>
          </x14:formula1>
          <xm:sqref>MPV327687:MPV327710</xm:sqref>
        </x14:dataValidation>
        <x14:dataValidation type="list" allowBlank="1" showInputMessage="1" showErrorMessage="1" xr:uid="{93CCC186-2CDD-4983-8BBA-B0A4DDD0BBE9}">
          <x14:formula1>
            <xm:f>項目!A4:$MZI$327682</xm:f>
          </x14:formula1>
          <xm:sqref>MZR327687:MZR327710</xm:sqref>
        </x14:dataValidation>
        <x14:dataValidation type="list" allowBlank="1" showInputMessage="1" showErrorMessage="1" xr:uid="{0D2BF5CA-C2A5-49D2-9A3C-1AC8A7F741A6}">
          <x14:formula1>
            <xm:f>項目!A4:$NJE$327682</xm:f>
          </x14:formula1>
          <xm:sqref>NJN327687:NJN327710</xm:sqref>
        </x14:dataValidation>
        <x14:dataValidation type="list" allowBlank="1" showInputMessage="1" showErrorMessage="1" xr:uid="{3082BED5-4414-4288-8E20-49F7F21B8483}">
          <x14:formula1>
            <xm:f>項目!A4:$NTA$327682</xm:f>
          </x14:formula1>
          <xm:sqref>NTJ327687:NTJ327710</xm:sqref>
        </x14:dataValidation>
        <x14:dataValidation type="list" allowBlank="1" showInputMessage="1" showErrorMessage="1" xr:uid="{17AE92F3-CEA8-4CA5-9295-AB7F1D7B9F23}">
          <x14:formula1>
            <xm:f>項目!A4:$OCW$327682</xm:f>
          </x14:formula1>
          <xm:sqref>ODF327687:ODF327710</xm:sqref>
        </x14:dataValidation>
        <x14:dataValidation type="list" allowBlank="1" showInputMessage="1" showErrorMessage="1" xr:uid="{CFD9A0C1-A755-40D6-BE0A-D9FE2BC82FAF}">
          <x14:formula1>
            <xm:f>項目!A4:$OMS$327682</xm:f>
          </x14:formula1>
          <xm:sqref>ONB327687:ONB327710</xm:sqref>
        </x14:dataValidation>
        <x14:dataValidation type="list" allowBlank="1" showInputMessage="1" showErrorMessage="1" xr:uid="{D4647EF8-C7E8-4EF0-AFD6-73361784BE39}">
          <x14:formula1>
            <xm:f>項目!A4:$OWO$327682</xm:f>
          </x14:formula1>
          <xm:sqref>OWX327687:OWX327710</xm:sqref>
        </x14:dataValidation>
        <x14:dataValidation type="list" allowBlank="1" showInputMessage="1" showErrorMessage="1" xr:uid="{897DD9C5-AFA1-48A8-A6CF-AEEBC05335B6}">
          <x14:formula1>
            <xm:f>項目!A4:$PGK$327682</xm:f>
          </x14:formula1>
          <xm:sqref>PGT327687:PGT327710</xm:sqref>
        </x14:dataValidation>
        <x14:dataValidation type="list" allowBlank="1" showInputMessage="1" showErrorMessage="1" xr:uid="{95B7CCAF-0BAA-40FD-98B5-D50E7102B60E}">
          <x14:formula1>
            <xm:f>項目!A4:$PQG$327682</xm:f>
          </x14:formula1>
          <xm:sqref>PQP327687:PQP327710</xm:sqref>
        </x14:dataValidation>
        <x14:dataValidation type="list" allowBlank="1" showInputMessage="1" showErrorMessage="1" xr:uid="{3A685C99-C634-4DEB-ACB3-0BE934DD4CB4}">
          <x14:formula1>
            <xm:f>項目!A4:$QAC$327682</xm:f>
          </x14:formula1>
          <xm:sqref>QAL327687:QAL327710</xm:sqref>
        </x14:dataValidation>
        <x14:dataValidation type="list" allowBlank="1" showInputMessage="1" showErrorMessage="1" xr:uid="{34A75A0E-D42E-4B46-8670-24CA5462D475}">
          <x14:formula1>
            <xm:f>項目!A4:$QJY$327682</xm:f>
          </x14:formula1>
          <xm:sqref>QKH327687:QKH327710</xm:sqref>
        </x14:dataValidation>
        <x14:dataValidation type="list" allowBlank="1" showInputMessage="1" showErrorMessage="1" xr:uid="{A55B375E-DD5F-4699-A0DE-ED66FA1094D7}">
          <x14:formula1>
            <xm:f>項目!A4:$QTU$327682</xm:f>
          </x14:formula1>
          <xm:sqref>QUD327687:QUD327710</xm:sqref>
        </x14:dataValidation>
        <x14:dataValidation type="list" allowBlank="1" showInputMessage="1" showErrorMessage="1" xr:uid="{DCA3CFB2-37CF-4454-89B7-E78D4F47261C}">
          <x14:formula1>
            <xm:f>項目!A4:$RDQ$327682</xm:f>
          </x14:formula1>
          <xm:sqref>RDZ327687:RDZ327710</xm:sqref>
        </x14:dataValidation>
        <x14:dataValidation type="list" allowBlank="1" showInputMessage="1" showErrorMessage="1" xr:uid="{EB5F9911-7CD9-4DB0-85F5-1B5ACC92B6B7}">
          <x14:formula1>
            <xm:f>項目!A4:$RNM$327682</xm:f>
          </x14:formula1>
          <xm:sqref>RNV327687:RNV327710</xm:sqref>
        </x14:dataValidation>
        <x14:dataValidation type="list" allowBlank="1" showInputMessage="1" showErrorMessage="1" xr:uid="{EE897C42-D74A-4C41-B2A8-89D1C98B92D3}">
          <x14:formula1>
            <xm:f>項目!A4:$RXI$327682</xm:f>
          </x14:formula1>
          <xm:sqref>RXR327687:RXR327710</xm:sqref>
        </x14:dataValidation>
        <x14:dataValidation type="list" allowBlank="1" showInputMessage="1" showErrorMessage="1" xr:uid="{BB83CF5B-94B9-44CE-9E5F-95F6D91500B6}">
          <x14:formula1>
            <xm:f>項目!A4:$SHE$327682</xm:f>
          </x14:formula1>
          <xm:sqref>SHN327687:SHN327710</xm:sqref>
        </x14:dataValidation>
        <x14:dataValidation type="list" allowBlank="1" showInputMessage="1" showErrorMessage="1" xr:uid="{A9C631F0-45A4-419E-B925-ACCA9CD6D68A}">
          <x14:formula1>
            <xm:f>項目!A4:$SRA$327682</xm:f>
          </x14:formula1>
          <xm:sqref>SRJ327687:SRJ327710</xm:sqref>
        </x14:dataValidation>
        <x14:dataValidation type="list" allowBlank="1" showInputMessage="1" showErrorMessage="1" xr:uid="{B6B796E6-B8AB-4680-AD9E-C02411326959}">
          <x14:formula1>
            <xm:f>項目!A4:$TAW$327682</xm:f>
          </x14:formula1>
          <xm:sqref>TBF327687:TBF327710</xm:sqref>
        </x14:dataValidation>
        <x14:dataValidation type="list" allowBlank="1" showInputMessage="1" showErrorMessage="1" xr:uid="{48DE04A7-6CDE-42EA-8F28-A0703445541B}">
          <x14:formula1>
            <xm:f>項目!A4:$TKS$327682</xm:f>
          </x14:formula1>
          <xm:sqref>TLB327687:TLB327710</xm:sqref>
        </x14:dataValidation>
        <x14:dataValidation type="list" allowBlank="1" showInputMessage="1" showErrorMessage="1" xr:uid="{C9B92362-57DA-49A7-8EF7-53FD4E8349D0}">
          <x14:formula1>
            <xm:f>項目!A4:$TUO$327682</xm:f>
          </x14:formula1>
          <xm:sqref>TUX327687:TUX327710</xm:sqref>
        </x14:dataValidation>
        <x14:dataValidation type="list" allowBlank="1" showInputMessage="1" showErrorMessage="1" xr:uid="{6CE07DEE-5AEB-4CBD-860A-DF008729F8BF}">
          <x14:formula1>
            <xm:f>項目!A4:$UEK$327682</xm:f>
          </x14:formula1>
          <xm:sqref>UET327687:UET327710</xm:sqref>
        </x14:dataValidation>
        <x14:dataValidation type="list" allowBlank="1" showInputMessage="1" showErrorMessage="1" xr:uid="{2E5E6F64-AF2E-4B1B-8613-056C0C73C87A}">
          <x14:formula1>
            <xm:f>項目!A4:$UOG$327682</xm:f>
          </x14:formula1>
          <xm:sqref>UOP327687:UOP327710</xm:sqref>
        </x14:dataValidation>
        <x14:dataValidation type="list" allowBlank="1" showInputMessage="1" showErrorMessage="1" xr:uid="{D6AA5D76-E129-4656-9F0B-96D37501C21A}">
          <x14:formula1>
            <xm:f>項目!A4:$UYC$327682</xm:f>
          </x14:formula1>
          <xm:sqref>UYL327687:UYL327710</xm:sqref>
        </x14:dataValidation>
        <x14:dataValidation type="list" allowBlank="1" showInputMessage="1" showErrorMessage="1" xr:uid="{9A78CA38-5BF9-4C69-92F5-77BC05A5911C}">
          <x14:formula1>
            <xm:f>項目!A4:$VHY$327682</xm:f>
          </x14:formula1>
          <xm:sqref>VIH327687:VIH327710</xm:sqref>
        </x14:dataValidation>
        <x14:dataValidation type="list" allowBlank="1" showInputMessage="1" showErrorMessage="1" xr:uid="{D82D2917-1450-4068-B000-B0A4885F2DAD}">
          <x14:formula1>
            <xm:f>項目!A4:$VRU$327682</xm:f>
          </x14:formula1>
          <xm:sqref>VSD327687:VSD327710</xm:sqref>
        </x14:dataValidation>
        <x14:dataValidation type="list" allowBlank="1" showInputMessage="1" showErrorMessage="1" xr:uid="{86D29065-653A-4FD6-B56C-58C757859339}">
          <x14:formula1>
            <xm:f>項目!A4:$WBQ$327682</xm:f>
          </x14:formula1>
          <xm:sqref>WBZ327687:WBZ327710</xm:sqref>
        </x14:dataValidation>
        <x14:dataValidation type="list" allowBlank="1" showInputMessage="1" showErrorMessage="1" xr:uid="{ECF9D2E4-60E6-417B-932F-3BEA5BC71C90}">
          <x14:formula1>
            <xm:f>項目!A4:$WLM$327682</xm:f>
          </x14:formula1>
          <xm:sqref>WLV327687:WLV327710</xm:sqref>
        </x14:dataValidation>
        <x14:dataValidation type="list" allowBlank="1" showInputMessage="1" showErrorMessage="1" xr:uid="{2A6551E3-8E8D-41D8-87C9-542C69F63F3D}">
          <x14:formula1>
            <xm:f>項目!A4:$WVI$327682</xm:f>
          </x14:formula1>
          <xm:sqref>WVR327687:WVR327710</xm:sqref>
        </x14:dataValidation>
        <x14:dataValidation type="list" allowBlank="1" showInputMessage="1" showErrorMessage="1" xr:uid="{027E27DC-791B-4054-8049-119738F1C00C}">
          <x14:formula1>
            <xm:f>項目!A4:$IW$393218</xm:f>
          </x14:formula1>
          <xm:sqref>JF393223:JF393246</xm:sqref>
        </x14:dataValidation>
        <x14:dataValidation type="list" allowBlank="1" showInputMessage="1" showErrorMessage="1" xr:uid="{AB034377-E7EA-4232-A02D-28A955EBBB30}">
          <x14:formula1>
            <xm:f>項目!A4:$SS$393218</xm:f>
          </x14:formula1>
          <xm:sqref>TB393223:TB393246</xm:sqref>
        </x14:dataValidation>
        <x14:dataValidation type="list" allowBlank="1" showInputMessage="1" showErrorMessage="1" xr:uid="{DB231DEA-D811-4300-BD76-49F04E04313C}">
          <x14:formula1>
            <xm:f>項目!A4:$ACO$393218</xm:f>
          </x14:formula1>
          <xm:sqref>ACX393223:ACX393246</xm:sqref>
        </x14:dataValidation>
        <x14:dataValidation type="list" allowBlank="1" showInputMessage="1" showErrorMessage="1" xr:uid="{DE285C75-BBAD-4821-A24A-80C5448EC604}">
          <x14:formula1>
            <xm:f>項目!A4:$AMK$393218</xm:f>
          </x14:formula1>
          <xm:sqref>AMT393223:AMT393246</xm:sqref>
        </x14:dataValidation>
        <x14:dataValidation type="list" allowBlank="1" showInputMessage="1" showErrorMessage="1" xr:uid="{CA645779-D064-4B1A-8045-CBE0220DDDFA}">
          <x14:formula1>
            <xm:f>項目!A4:$AWG$393218</xm:f>
          </x14:formula1>
          <xm:sqref>AWP393223:AWP393246</xm:sqref>
        </x14:dataValidation>
        <x14:dataValidation type="list" allowBlank="1" showInputMessage="1" showErrorMessage="1" xr:uid="{52B0AA39-934D-4796-89C8-DF55B1D15697}">
          <x14:formula1>
            <xm:f>項目!A4:$BGC$393218</xm:f>
          </x14:formula1>
          <xm:sqref>BGL393223:BGL393246</xm:sqref>
        </x14:dataValidation>
        <x14:dataValidation type="list" allowBlank="1" showInputMessage="1" showErrorMessage="1" xr:uid="{890014EE-BD84-4545-BE52-FE9083F94C51}">
          <x14:formula1>
            <xm:f>項目!A4:$BPY$393218</xm:f>
          </x14:formula1>
          <xm:sqref>BQH393223:BQH393246</xm:sqref>
        </x14:dataValidation>
        <x14:dataValidation type="list" allowBlank="1" showInputMessage="1" showErrorMessage="1" xr:uid="{F6B398E3-6192-4177-A577-92394D955789}">
          <x14:formula1>
            <xm:f>項目!A4:$BZU$393218</xm:f>
          </x14:formula1>
          <xm:sqref>CAD393223:CAD393246</xm:sqref>
        </x14:dataValidation>
        <x14:dataValidation type="list" allowBlank="1" showInputMessage="1" showErrorMessage="1" xr:uid="{424EF241-E172-40B3-A0AA-81DBCEF1CFB7}">
          <x14:formula1>
            <xm:f>項目!A4:$CJQ$393218</xm:f>
          </x14:formula1>
          <xm:sqref>CJZ393223:CJZ393246</xm:sqref>
        </x14:dataValidation>
        <x14:dataValidation type="list" allowBlank="1" showInputMessage="1" showErrorMessage="1" xr:uid="{A54AFB82-2403-4801-9EE9-206519B2C083}">
          <x14:formula1>
            <xm:f>項目!A4:$CTM$393218</xm:f>
          </x14:formula1>
          <xm:sqref>CTV393223:CTV393246</xm:sqref>
        </x14:dataValidation>
        <x14:dataValidation type="list" allowBlank="1" showInputMessage="1" showErrorMessage="1" xr:uid="{2BDE0F52-3F7F-4EF5-BAA3-8A9A40F05EA9}">
          <x14:formula1>
            <xm:f>項目!A4:$DDI$393218</xm:f>
          </x14:formula1>
          <xm:sqref>DDR393223:DDR393246</xm:sqref>
        </x14:dataValidation>
        <x14:dataValidation type="list" allowBlank="1" showInputMessage="1" showErrorMessage="1" xr:uid="{8E6E4A93-05BB-4098-9D52-E23ECA23CF58}">
          <x14:formula1>
            <xm:f>項目!A4:$DNE$393218</xm:f>
          </x14:formula1>
          <xm:sqref>DNN393223:DNN393246</xm:sqref>
        </x14:dataValidation>
        <x14:dataValidation type="list" allowBlank="1" showInputMessage="1" showErrorMessage="1" xr:uid="{2F7B9429-C7DC-4987-A92E-C956674CFAA7}">
          <x14:formula1>
            <xm:f>項目!A4:$DXA$393218</xm:f>
          </x14:formula1>
          <xm:sqref>DXJ393223:DXJ393246</xm:sqref>
        </x14:dataValidation>
        <x14:dataValidation type="list" allowBlank="1" showInputMessage="1" showErrorMessage="1" xr:uid="{774345F7-BCB7-4229-A0C8-E1B8771D25BB}">
          <x14:formula1>
            <xm:f>項目!A4:$EGW$393218</xm:f>
          </x14:formula1>
          <xm:sqref>EHF393223:EHF393246</xm:sqref>
        </x14:dataValidation>
        <x14:dataValidation type="list" allowBlank="1" showInputMessage="1" showErrorMessage="1" xr:uid="{3B7B483A-A9F3-4BE6-89D1-4285A50221DB}">
          <x14:formula1>
            <xm:f>項目!A4:$EQS$393218</xm:f>
          </x14:formula1>
          <xm:sqref>ERB393223:ERB393246</xm:sqref>
        </x14:dataValidation>
        <x14:dataValidation type="list" allowBlank="1" showInputMessage="1" showErrorMessage="1" xr:uid="{929D387D-4AD8-42E6-8D01-D67E690E9CFF}">
          <x14:formula1>
            <xm:f>項目!A4:$FAO$393218</xm:f>
          </x14:formula1>
          <xm:sqref>FAX393223:FAX393246</xm:sqref>
        </x14:dataValidation>
        <x14:dataValidation type="list" allowBlank="1" showInputMessage="1" showErrorMessage="1" xr:uid="{AA363E40-A16D-40DA-AC70-756A62D651CF}">
          <x14:formula1>
            <xm:f>項目!A4:$FKK$393218</xm:f>
          </x14:formula1>
          <xm:sqref>FKT393223:FKT393246</xm:sqref>
        </x14:dataValidation>
        <x14:dataValidation type="list" allowBlank="1" showInputMessage="1" showErrorMessage="1" xr:uid="{636A2450-6F83-41BE-8610-F876BE5923FA}">
          <x14:formula1>
            <xm:f>項目!A4:$FUG$393218</xm:f>
          </x14:formula1>
          <xm:sqref>FUP393223:FUP393246</xm:sqref>
        </x14:dataValidation>
        <x14:dataValidation type="list" allowBlank="1" showInputMessage="1" showErrorMessage="1" xr:uid="{F69B77AB-E9ED-4DD8-BC32-890C3E1A66EA}">
          <x14:formula1>
            <xm:f>項目!A4:$GEC$393218</xm:f>
          </x14:formula1>
          <xm:sqref>GEL393223:GEL393246</xm:sqref>
        </x14:dataValidation>
        <x14:dataValidation type="list" allowBlank="1" showInputMessage="1" showErrorMessage="1" xr:uid="{7F2C82DF-C3ED-4CB8-9DB0-32C5900A3810}">
          <x14:formula1>
            <xm:f>項目!A4:$GNY$393218</xm:f>
          </x14:formula1>
          <xm:sqref>GOH393223:GOH393246</xm:sqref>
        </x14:dataValidation>
        <x14:dataValidation type="list" allowBlank="1" showInputMessage="1" showErrorMessage="1" xr:uid="{081B3901-FC88-4BD1-81DD-F5D8E8BD8AAA}">
          <x14:formula1>
            <xm:f>項目!A4:$GXU$393218</xm:f>
          </x14:formula1>
          <xm:sqref>GYD393223:GYD393246</xm:sqref>
        </x14:dataValidation>
        <x14:dataValidation type="list" allowBlank="1" showInputMessage="1" showErrorMessage="1" xr:uid="{6FCD1847-D34D-4BEE-B7DD-B5B0886E233C}">
          <x14:formula1>
            <xm:f>項目!A4:$HHQ$393218</xm:f>
          </x14:formula1>
          <xm:sqref>HHZ393223:HHZ393246</xm:sqref>
        </x14:dataValidation>
        <x14:dataValidation type="list" allowBlank="1" showInputMessage="1" showErrorMessage="1" xr:uid="{90C2CB32-26AE-415B-93B3-90549D460DB9}">
          <x14:formula1>
            <xm:f>項目!A4:$HRM$393218</xm:f>
          </x14:formula1>
          <xm:sqref>HRV393223:HRV393246</xm:sqref>
        </x14:dataValidation>
        <x14:dataValidation type="list" allowBlank="1" showInputMessage="1" showErrorMessage="1" xr:uid="{F0B43637-26BA-4A30-9D76-DCE538EDC326}">
          <x14:formula1>
            <xm:f>項目!A4:$IBI$393218</xm:f>
          </x14:formula1>
          <xm:sqref>IBR393223:IBR393246</xm:sqref>
        </x14:dataValidation>
        <x14:dataValidation type="list" allowBlank="1" showInputMessage="1" showErrorMessage="1" xr:uid="{2CAC5428-8AFB-4151-8B62-3ED91F2844EA}">
          <x14:formula1>
            <xm:f>項目!A4:$ILE$393218</xm:f>
          </x14:formula1>
          <xm:sqref>ILN393223:ILN393246</xm:sqref>
        </x14:dataValidation>
        <x14:dataValidation type="list" allowBlank="1" showInputMessage="1" showErrorMessage="1" xr:uid="{8BC5CB99-C24E-40CD-8212-1D81A2C48DCD}">
          <x14:formula1>
            <xm:f>項目!A4:$IVA$393218</xm:f>
          </x14:formula1>
          <xm:sqref>IVJ393223:IVJ393246</xm:sqref>
        </x14:dataValidation>
        <x14:dataValidation type="list" allowBlank="1" showInputMessage="1" showErrorMessage="1" xr:uid="{86E7FD63-534D-4115-A94C-F38A0F371D83}">
          <x14:formula1>
            <xm:f>項目!A4:$JEW$393218</xm:f>
          </x14:formula1>
          <xm:sqref>JFF393223:JFF393246</xm:sqref>
        </x14:dataValidation>
        <x14:dataValidation type="list" allowBlank="1" showInputMessage="1" showErrorMessage="1" xr:uid="{2A111371-6E9F-4DA0-A0DA-12E8DC9099E6}">
          <x14:formula1>
            <xm:f>項目!A4:$JOS$393218</xm:f>
          </x14:formula1>
          <xm:sqref>JPB393223:JPB393246</xm:sqref>
        </x14:dataValidation>
        <x14:dataValidation type="list" allowBlank="1" showInputMessage="1" showErrorMessage="1" xr:uid="{F9CC4D77-3687-4B4E-8383-00117D97086B}">
          <x14:formula1>
            <xm:f>項目!A4:$JYO$393218</xm:f>
          </x14:formula1>
          <xm:sqref>JYX393223:JYX393246</xm:sqref>
        </x14:dataValidation>
        <x14:dataValidation type="list" allowBlank="1" showInputMessage="1" showErrorMessage="1" xr:uid="{21A7BE51-C862-4B5B-904D-7B7354C8FD94}">
          <x14:formula1>
            <xm:f>項目!A4:$KIK$393218</xm:f>
          </x14:formula1>
          <xm:sqref>KIT393223:KIT393246</xm:sqref>
        </x14:dataValidation>
        <x14:dataValidation type="list" allowBlank="1" showInputMessage="1" showErrorMessage="1" xr:uid="{E8044AB9-0DB7-4BF7-A0FB-E669A80CF9E9}">
          <x14:formula1>
            <xm:f>項目!A4:$KSG$393218</xm:f>
          </x14:formula1>
          <xm:sqref>KSP393223:KSP393246</xm:sqref>
        </x14:dataValidation>
        <x14:dataValidation type="list" allowBlank="1" showInputMessage="1" showErrorMessage="1" xr:uid="{3CBE7D6B-0592-4278-B45B-18DB1BEA464B}">
          <x14:formula1>
            <xm:f>項目!A4:$LCC$393218</xm:f>
          </x14:formula1>
          <xm:sqref>LCL393223:LCL393246</xm:sqref>
        </x14:dataValidation>
        <x14:dataValidation type="list" allowBlank="1" showInputMessage="1" showErrorMessage="1" xr:uid="{B172AB69-2FBD-4F8F-8EEF-731F077D8617}">
          <x14:formula1>
            <xm:f>項目!A4:$LLY$393218</xm:f>
          </x14:formula1>
          <xm:sqref>LMH393223:LMH393246</xm:sqref>
        </x14:dataValidation>
        <x14:dataValidation type="list" allowBlank="1" showInputMessage="1" showErrorMessage="1" xr:uid="{EA70E04D-7E08-4461-BAAD-B32ACB344CAE}">
          <x14:formula1>
            <xm:f>項目!A4:$LVU$393218</xm:f>
          </x14:formula1>
          <xm:sqref>LWD393223:LWD393246</xm:sqref>
        </x14:dataValidation>
        <x14:dataValidation type="list" allowBlank="1" showInputMessage="1" showErrorMessage="1" xr:uid="{941E4536-7BBE-41A7-9469-2ADD915F0AB8}">
          <x14:formula1>
            <xm:f>項目!A4:$MFQ$393218</xm:f>
          </x14:formula1>
          <xm:sqref>MFZ393223:MFZ393246</xm:sqref>
        </x14:dataValidation>
        <x14:dataValidation type="list" allowBlank="1" showInputMessage="1" showErrorMessage="1" xr:uid="{1152C496-DFF7-4165-A606-054C785FB638}">
          <x14:formula1>
            <xm:f>項目!A4:$MPM$393218</xm:f>
          </x14:formula1>
          <xm:sqref>MPV393223:MPV393246</xm:sqref>
        </x14:dataValidation>
        <x14:dataValidation type="list" allowBlank="1" showInputMessage="1" showErrorMessage="1" xr:uid="{063B71EF-BB2E-4C3B-ABCB-0599BDF997C0}">
          <x14:formula1>
            <xm:f>項目!A4:$MZI$393218</xm:f>
          </x14:formula1>
          <xm:sqref>MZR393223:MZR393246</xm:sqref>
        </x14:dataValidation>
        <x14:dataValidation type="list" allowBlank="1" showInputMessage="1" showErrorMessage="1" xr:uid="{402161FB-38F9-4AFC-9162-6EF79DEE34F7}">
          <x14:formula1>
            <xm:f>項目!A4:$NJE$393218</xm:f>
          </x14:formula1>
          <xm:sqref>NJN393223:NJN393246</xm:sqref>
        </x14:dataValidation>
        <x14:dataValidation type="list" allowBlank="1" showInputMessage="1" showErrorMessage="1" xr:uid="{D0AA5B21-8C5D-4A0B-9437-7E17042FFE65}">
          <x14:formula1>
            <xm:f>項目!A4:$NTA$393218</xm:f>
          </x14:formula1>
          <xm:sqref>NTJ393223:NTJ393246</xm:sqref>
        </x14:dataValidation>
        <x14:dataValidation type="list" allowBlank="1" showInputMessage="1" showErrorMessage="1" xr:uid="{76702F35-ECCA-4E0F-B30D-04CF14A023A4}">
          <x14:formula1>
            <xm:f>項目!A4:$OCW$393218</xm:f>
          </x14:formula1>
          <xm:sqref>ODF393223:ODF393246</xm:sqref>
        </x14:dataValidation>
        <x14:dataValidation type="list" allowBlank="1" showInputMessage="1" showErrorMessage="1" xr:uid="{117B7513-6DF4-469D-A947-C4C976833174}">
          <x14:formula1>
            <xm:f>項目!A4:$OMS$393218</xm:f>
          </x14:formula1>
          <xm:sqref>ONB393223:ONB393246</xm:sqref>
        </x14:dataValidation>
        <x14:dataValidation type="list" allowBlank="1" showInputMessage="1" showErrorMessage="1" xr:uid="{8FDAF1C7-6396-4618-B216-D90901308758}">
          <x14:formula1>
            <xm:f>項目!A4:$OWO$393218</xm:f>
          </x14:formula1>
          <xm:sqref>OWX393223:OWX393246</xm:sqref>
        </x14:dataValidation>
        <x14:dataValidation type="list" allowBlank="1" showInputMessage="1" showErrorMessage="1" xr:uid="{2766CE7D-76E2-40A8-AB19-44B4D2DF76E8}">
          <x14:formula1>
            <xm:f>項目!A4:$PGK$393218</xm:f>
          </x14:formula1>
          <xm:sqref>PGT393223:PGT393246</xm:sqref>
        </x14:dataValidation>
        <x14:dataValidation type="list" allowBlank="1" showInputMessage="1" showErrorMessage="1" xr:uid="{14C24A1D-22E3-4408-BC2B-501DBF023224}">
          <x14:formula1>
            <xm:f>項目!A4:$PQG$393218</xm:f>
          </x14:formula1>
          <xm:sqref>PQP393223:PQP393246</xm:sqref>
        </x14:dataValidation>
        <x14:dataValidation type="list" allowBlank="1" showInputMessage="1" showErrorMessage="1" xr:uid="{5964C4F2-CBEA-45FB-A5E5-5772BDB312AF}">
          <x14:formula1>
            <xm:f>項目!A4:$QAC$393218</xm:f>
          </x14:formula1>
          <xm:sqref>QAL393223:QAL393246</xm:sqref>
        </x14:dataValidation>
        <x14:dataValidation type="list" allowBlank="1" showInputMessage="1" showErrorMessage="1" xr:uid="{8701F90F-7165-40FA-8C62-E6F7B1C6A557}">
          <x14:formula1>
            <xm:f>項目!A4:$QJY$393218</xm:f>
          </x14:formula1>
          <xm:sqref>QKH393223:QKH393246</xm:sqref>
        </x14:dataValidation>
        <x14:dataValidation type="list" allowBlank="1" showInputMessage="1" showErrorMessage="1" xr:uid="{C18FAC98-FFC5-4D79-B09D-C010482CE077}">
          <x14:formula1>
            <xm:f>項目!A4:$QTU$393218</xm:f>
          </x14:formula1>
          <xm:sqref>QUD393223:QUD393246</xm:sqref>
        </x14:dataValidation>
        <x14:dataValidation type="list" allowBlank="1" showInputMessage="1" showErrorMessage="1" xr:uid="{A106ACD4-1742-46A7-B075-2F1FFD05F8E2}">
          <x14:formula1>
            <xm:f>項目!A4:$RDQ$393218</xm:f>
          </x14:formula1>
          <xm:sqref>RDZ393223:RDZ393246</xm:sqref>
        </x14:dataValidation>
        <x14:dataValidation type="list" allowBlank="1" showInputMessage="1" showErrorMessage="1" xr:uid="{28006DF3-9B68-4557-8894-3F9CE4F51904}">
          <x14:formula1>
            <xm:f>項目!A4:$RNM$393218</xm:f>
          </x14:formula1>
          <xm:sqref>RNV393223:RNV393246</xm:sqref>
        </x14:dataValidation>
        <x14:dataValidation type="list" allowBlank="1" showInputMessage="1" showErrorMessage="1" xr:uid="{745D7606-0DD7-433D-922F-EF18B33EB9EB}">
          <x14:formula1>
            <xm:f>項目!A4:$RXI$393218</xm:f>
          </x14:formula1>
          <xm:sqref>RXR393223:RXR393246</xm:sqref>
        </x14:dataValidation>
        <x14:dataValidation type="list" allowBlank="1" showInputMessage="1" showErrorMessage="1" xr:uid="{0E775BDB-1FCB-473D-BB96-3FEE5E78B33C}">
          <x14:formula1>
            <xm:f>項目!A4:$SHE$393218</xm:f>
          </x14:formula1>
          <xm:sqref>SHN393223:SHN393246</xm:sqref>
        </x14:dataValidation>
        <x14:dataValidation type="list" allowBlank="1" showInputMessage="1" showErrorMessage="1" xr:uid="{992B0DB0-78D6-4545-BAE7-259E6742A53A}">
          <x14:formula1>
            <xm:f>項目!A4:$SRA$393218</xm:f>
          </x14:formula1>
          <xm:sqref>SRJ393223:SRJ393246</xm:sqref>
        </x14:dataValidation>
        <x14:dataValidation type="list" allowBlank="1" showInputMessage="1" showErrorMessage="1" xr:uid="{45E3611A-0E02-4E00-9E5D-28E3F43CEB65}">
          <x14:formula1>
            <xm:f>項目!A4:$TAW$393218</xm:f>
          </x14:formula1>
          <xm:sqref>TBF393223:TBF393246</xm:sqref>
        </x14:dataValidation>
        <x14:dataValidation type="list" allowBlank="1" showInputMessage="1" showErrorMessage="1" xr:uid="{4841B36A-6CD7-4AFF-B5B4-C0C79CCF6C78}">
          <x14:formula1>
            <xm:f>項目!A4:$TKS$393218</xm:f>
          </x14:formula1>
          <xm:sqref>TLB393223:TLB393246</xm:sqref>
        </x14:dataValidation>
        <x14:dataValidation type="list" allowBlank="1" showInputMessage="1" showErrorMessage="1" xr:uid="{81059747-CB16-47FE-877B-A88B358E97F6}">
          <x14:formula1>
            <xm:f>項目!A4:$TUO$393218</xm:f>
          </x14:formula1>
          <xm:sqref>TUX393223:TUX393246</xm:sqref>
        </x14:dataValidation>
        <x14:dataValidation type="list" allowBlank="1" showInputMessage="1" showErrorMessage="1" xr:uid="{15A7EAAF-60DF-4C78-B5AB-10504E655F20}">
          <x14:formula1>
            <xm:f>項目!A4:$UEK$393218</xm:f>
          </x14:formula1>
          <xm:sqref>UET393223:UET393246</xm:sqref>
        </x14:dataValidation>
        <x14:dataValidation type="list" allowBlank="1" showInputMessage="1" showErrorMessage="1" xr:uid="{E5BB400F-04DB-4066-9CBB-386C040B6407}">
          <x14:formula1>
            <xm:f>項目!A4:$UOG$393218</xm:f>
          </x14:formula1>
          <xm:sqref>UOP393223:UOP393246</xm:sqref>
        </x14:dataValidation>
        <x14:dataValidation type="list" allowBlank="1" showInputMessage="1" showErrorMessage="1" xr:uid="{10A8ABDE-2957-4F61-B83F-14253F53A870}">
          <x14:formula1>
            <xm:f>項目!A4:$UYC$393218</xm:f>
          </x14:formula1>
          <xm:sqref>UYL393223:UYL393246</xm:sqref>
        </x14:dataValidation>
        <x14:dataValidation type="list" allowBlank="1" showInputMessage="1" showErrorMessage="1" xr:uid="{3822C59B-A34D-4F2D-AB31-F2D3593184B0}">
          <x14:formula1>
            <xm:f>項目!A4:$VHY$393218</xm:f>
          </x14:formula1>
          <xm:sqref>VIH393223:VIH393246</xm:sqref>
        </x14:dataValidation>
        <x14:dataValidation type="list" allowBlank="1" showInputMessage="1" showErrorMessage="1" xr:uid="{5912DC82-C34F-437B-A878-B83001D7F0E8}">
          <x14:formula1>
            <xm:f>項目!A4:$VRU$393218</xm:f>
          </x14:formula1>
          <xm:sqref>VSD393223:VSD393246</xm:sqref>
        </x14:dataValidation>
        <x14:dataValidation type="list" allowBlank="1" showInputMessage="1" showErrorMessage="1" xr:uid="{8B333066-54F9-4ED8-9DDF-6477BB861C97}">
          <x14:formula1>
            <xm:f>項目!A4:$WBQ$393218</xm:f>
          </x14:formula1>
          <xm:sqref>WBZ393223:WBZ393246</xm:sqref>
        </x14:dataValidation>
        <x14:dataValidation type="list" allowBlank="1" showInputMessage="1" showErrorMessage="1" xr:uid="{03FB887B-D747-4343-8381-1E7545670FAD}">
          <x14:formula1>
            <xm:f>項目!A4:$WLM$393218</xm:f>
          </x14:formula1>
          <xm:sqref>WLV393223:WLV393246</xm:sqref>
        </x14:dataValidation>
        <x14:dataValidation type="list" allowBlank="1" showInputMessage="1" showErrorMessage="1" xr:uid="{92553B06-8315-4AE4-B71E-DFF0C64664F6}">
          <x14:formula1>
            <xm:f>項目!A4:$WVI$393218</xm:f>
          </x14:formula1>
          <xm:sqref>WVR393223:WVR393246</xm:sqref>
        </x14:dataValidation>
        <x14:dataValidation type="list" allowBlank="1" showInputMessage="1" showErrorMessage="1" xr:uid="{46ACC1D9-E048-4E4D-A229-D56AF7566A00}">
          <x14:formula1>
            <xm:f>項目!A4:$IW$458754</xm:f>
          </x14:formula1>
          <xm:sqref>JF458759:JF458782</xm:sqref>
        </x14:dataValidation>
        <x14:dataValidation type="list" allowBlank="1" showInputMessage="1" showErrorMessage="1" xr:uid="{B0F15DED-2706-4161-92AB-B7E88C105942}">
          <x14:formula1>
            <xm:f>項目!A4:$SS$458754</xm:f>
          </x14:formula1>
          <xm:sqref>TB458759:TB458782</xm:sqref>
        </x14:dataValidation>
        <x14:dataValidation type="list" allowBlank="1" showInputMessage="1" showErrorMessage="1" xr:uid="{1ACE7BA7-8C62-47C1-BE45-957FAD0AE7AC}">
          <x14:formula1>
            <xm:f>項目!A4:$ACO$458754</xm:f>
          </x14:formula1>
          <xm:sqref>ACX458759:ACX458782</xm:sqref>
        </x14:dataValidation>
        <x14:dataValidation type="list" allowBlank="1" showInputMessage="1" showErrorMessage="1" xr:uid="{A56FB5A4-466A-477B-9596-A785BF3C90CB}">
          <x14:formula1>
            <xm:f>項目!A4:$AMK$458754</xm:f>
          </x14:formula1>
          <xm:sqref>AMT458759:AMT458782</xm:sqref>
        </x14:dataValidation>
        <x14:dataValidation type="list" allowBlank="1" showInputMessage="1" showErrorMessage="1" xr:uid="{63927BE7-58C0-4038-89D9-F7D4D925AE5F}">
          <x14:formula1>
            <xm:f>項目!A4:$AWG$458754</xm:f>
          </x14:formula1>
          <xm:sqref>AWP458759:AWP458782</xm:sqref>
        </x14:dataValidation>
        <x14:dataValidation type="list" allowBlank="1" showInputMessage="1" showErrorMessage="1" xr:uid="{1AEA3805-26E0-48D2-8902-A2DF7E85B9BF}">
          <x14:formula1>
            <xm:f>項目!A4:$BGC$458754</xm:f>
          </x14:formula1>
          <xm:sqref>BGL458759:BGL458782</xm:sqref>
        </x14:dataValidation>
        <x14:dataValidation type="list" allowBlank="1" showInputMessage="1" showErrorMessage="1" xr:uid="{074E4682-B67D-4ED3-861A-A2FAB868B425}">
          <x14:formula1>
            <xm:f>項目!A4:$BPY$458754</xm:f>
          </x14:formula1>
          <xm:sqref>BQH458759:BQH458782</xm:sqref>
        </x14:dataValidation>
        <x14:dataValidation type="list" allowBlank="1" showInputMessage="1" showErrorMessage="1" xr:uid="{FB3298B6-F8F6-454B-B61E-3E1EB84124D8}">
          <x14:formula1>
            <xm:f>項目!A4:$BZU$458754</xm:f>
          </x14:formula1>
          <xm:sqref>CAD458759:CAD458782</xm:sqref>
        </x14:dataValidation>
        <x14:dataValidation type="list" allowBlank="1" showInputMessage="1" showErrorMessage="1" xr:uid="{25274600-4D1A-4C9D-8894-38C739086309}">
          <x14:formula1>
            <xm:f>項目!A4:$CJQ$458754</xm:f>
          </x14:formula1>
          <xm:sqref>CJZ458759:CJZ458782</xm:sqref>
        </x14:dataValidation>
        <x14:dataValidation type="list" allowBlank="1" showInputMessage="1" showErrorMessage="1" xr:uid="{60082EEC-EE1A-4DA7-8D9D-12E725A1473D}">
          <x14:formula1>
            <xm:f>項目!A4:$CTM$458754</xm:f>
          </x14:formula1>
          <xm:sqref>CTV458759:CTV458782</xm:sqref>
        </x14:dataValidation>
        <x14:dataValidation type="list" allowBlank="1" showInputMessage="1" showErrorMessage="1" xr:uid="{405D1F49-71D6-49C9-BDE9-C28B5234647E}">
          <x14:formula1>
            <xm:f>項目!A4:$DDI$458754</xm:f>
          </x14:formula1>
          <xm:sqref>DDR458759:DDR458782</xm:sqref>
        </x14:dataValidation>
        <x14:dataValidation type="list" allowBlank="1" showInputMessage="1" showErrorMessage="1" xr:uid="{79002CF0-82A7-47EF-94BB-E484599D4492}">
          <x14:formula1>
            <xm:f>項目!A4:$DNE$458754</xm:f>
          </x14:formula1>
          <xm:sqref>DNN458759:DNN458782</xm:sqref>
        </x14:dataValidation>
        <x14:dataValidation type="list" allowBlank="1" showInputMessage="1" showErrorMessage="1" xr:uid="{BC3AE28A-CDEE-4FD4-926D-ACC6C9959E7C}">
          <x14:formula1>
            <xm:f>項目!A4:$DXA$458754</xm:f>
          </x14:formula1>
          <xm:sqref>DXJ458759:DXJ458782</xm:sqref>
        </x14:dataValidation>
        <x14:dataValidation type="list" allowBlank="1" showInputMessage="1" showErrorMessage="1" xr:uid="{D2880EA6-1762-4A14-8DE3-C832DFFC037D}">
          <x14:formula1>
            <xm:f>項目!A4:$EGW$458754</xm:f>
          </x14:formula1>
          <xm:sqref>EHF458759:EHF458782</xm:sqref>
        </x14:dataValidation>
        <x14:dataValidation type="list" allowBlank="1" showInputMessage="1" showErrorMessage="1" xr:uid="{ADAAE78D-4F58-4E9F-98C2-DC5A65CA586E}">
          <x14:formula1>
            <xm:f>項目!A4:$EQS$458754</xm:f>
          </x14:formula1>
          <xm:sqref>ERB458759:ERB458782</xm:sqref>
        </x14:dataValidation>
        <x14:dataValidation type="list" allowBlank="1" showInputMessage="1" showErrorMessage="1" xr:uid="{B96FBFD8-3BC2-4C7E-9F07-D22897E7BA80}">
          <x14:formula1>
            <xm:f>項目!A4:$FAO$458754</xm:f>
          </x14:formula1>
          <xm:sqref>FAX458759:FAX458782</xm:sqref>
        </x14:dataValidation>
        <x14:dataValidation type="list" allowBlank="1" showInputMessage="1" showErrorMessage="1" xr:uid="{9B6B6E09-71E1-455E-B5E7-A669CAC55E26}">
          <x14:formula1>
            <xm:f>項目!A4:$FKK$458754</xm:f>
          </x14:formula1>
          <xm:sqref>FKT458759:FKT458782</xm:sqref>
        </x14:dataValidation>
        <x14:dataValidation type="list" allowBlank="1" showInputMessage="1" showErrorMessage="1" xr:uid="{FA50EF7F-0A1B-4908-A615-8CF4CDE5E4A9}">
          <x14:formula1>
            <xm:f>項目!A4:$FUG$458754</xm:f>
          </x14:formula1>
          <xm:sqref>FUP458759:FUP458782</xm:sqref>
        </x14:dataValidation>
        <x14:dataValidation type="list" allowBlank="1" showInputMessage="1" showErrorMessage="1" xr:uid="{BA2829AE-83D0-43C8-9248-CF659D26D6AB}">
          <x14:formula1>
            <xm:f>項目!A4:$GEC$458754</xm:f>
          </x14:formula1>
          <xm:sqref>GEL458759:GEL458782</xm:sqref>
        </x14:dataValidation>
        <x14:dataValidation type="list" allowBlank="1" showInputMessage="1" showErrorMessage="1" xr:uid="{D4BD0675-3544-490D-8320-74A333A0BB49}">
          <x14:formula1>
            <xm:f>項目!A4:$GNY$458754</xm:f>
          </x14:formula1>
          <xm:sqref>GOH458759:GOH458782</xm:sqref>
        </x14:dataValidation>
        <x14:dataValidation type="list" allowBlank="1" showInputMessage="1" showErrorMessage="1" xr:uid="{006688F6-7EE3-450F-B4F8-79582383BAFF}">
          <x14:formula1>
            <xm:f>項目!A4:$GXU$458754</xm:f>
          </x14:formula1>
          <xm:sqref>GYD458759:GYD458782</xm:sqref>
        </x14:dataValidation>
        <x14:dataValidation type="list" allowBlank="1" showInputMessage="1" showErrorMessage="1" xr:uid="{9EB813CD-7798-47BC-9C69-1A30621630CE}">
          <x14:formula1>
            <xm:f>項目!A4:$HHQ$458754</xm:f>
          </x14:formula1>
          <xm:sqref>HHZ458759:HHZ458782</xm:sqref>
        </x14:dataValidation>
        <x14:dataValidation type="list" allowBlank="1" showInputMessage="1" showErrorMessage="1" xr:uid="{56D9786B-C959-45C0-98B8-C3396019BEE4}">
          <x14:formula1>
            <xm:f>項目!A4:$HRM$458754</xm:f>
          </x14:formula1>
          <xm:sqref>HRV458759:HRV458782</xm:sqref>
        </x14:dataValidation>
        <x14:dataValidation type="list" allowBlank="1" showInputMessage="1" showErrorMessage="1" xr:uid="{115424E2-39B5-4AD9-A793-51B381B62EB2}">
          <x14:formula1>
            <xm:f>項目!A4:$IBI$458754</xm:f>
          </x14:formula1>
          <xm:sqref>IBR458759:IBR458782</xm:sqref>
        </x14:dataValidation>
        <x14:dataValidation type="list" allowBlank="1" showInputMessage="1" showErrorMessage="1" xr:uid="{F29D2636-DFC1-4FAD-8D1E-9BCF38495504}">
          <x14:formula1>
            <xm:f>項目!A4:$ILE$458754</xm:f>
          </x14:formula1>
          <xm:sqref>ILN458759:ILN458782</xm:sqref>
        </x14:dataValidation>
        <x14:dataValidation type="list" allowBlank="1" showInputMessage="1" showErrorMessage="1" xr:uid="{9A7F5380-E0BA-4CF4-913E-F2BA2CC2C6E1}">
          <x14:formula1>
            <xm:f>項目!A4:$IVA$458754</xm:f>
          </x14:formula1>
          <xm:sqref>IVJ458759:IVJ458782</xm:sqref>
        </x14:dataValidation>
        <x14:dataValidation type="list" allowBlank="1" showInputMessage="1" showErrorMessage="1" xr:uid="{86BCF348-1898-4CB5-AE02-3BDCD33EA57A}">
          <x14:formula1>
            <xm:f>項目!A4:$JEW$458754</xm:f>
          </x14:formula1>
          <xm:sqref>JFF458759:JFF458782</xm:sqref>
        </x14:dataValidation>
        <x14:dataValidation type="list" allowBlank="1" showInputMessage="1" showErrorMessage="1" xr:uid="{6AAFC80D-BEEA-467C-85C8-EE56EBC44E37}">
          <x14:formula1>
            <xm:f>項目!A4:$JOS$458754</xm:f>
          </x14:formula1>
          <xm:sqref>JPB458759:JPB458782</xm:sqref>
        </x14:dataValidation>
        <x14:dataValidation type="list" allowBlank="1" showInputMessage="1" showErrorMessage="1" xr:uid="{BD2C9A10-94DB-4A6B-BEE2-6A78D982B32B}">
          <x14:formula1>
            <xm:f>項目!A4:$JYO$458754</xm:f>
          </x14:formula1>
          <xm:sqref>JYX458759:JYX458782</xm:sqref>
        </x14:dataValidation>
        <x14:dataValidation type="list" allowBlank="1" showInputMessage="1" showErrorMessage="1" xr:uid="{FF275173-5911-4B83-9391-26C560E02CFF}">
          <x14:formula1>
            <xm:f>項目!A4:$KIK$458754</xm:f>
          </x14:formula1>
          <xm:sqref>KIT458759:KIT458782</xm:sqref>
        </x14:dataValidation>
        <x14:dataValidation type="list" allowBlank="1" showInputMessage="1" showErrorMessage="1" xr:uid="{4D23F2B9-8D5D-4F14-98FF-AB2F7B733544}">
          <x14:formula1>
            <xm:f>項目!A4:$KSG$458754</xm:f>
          </x14:formula1>
          <xm:sqref>KSP458759:KSP458782</xm:sqref>
        </x14:dataValidation>
        <x14:dataValidation type="list" allowBlank="1" showInputMessage="1" showErrorMessage="1" xr:uid="{8FB2330B-9645-46C7-84F4-41295065C2A7}">
          <x14:formula1>
            <xm:f>項目!A4:$LCC$458754</xm:f>
          </x14:formula1>
          <xm:sqref>LCL458759:LCL458782</xm:sqref>
        </x14:dataValidation>
        <x14:dataValidation type="list" allowBlank="1" showInputMessage="1" showErrorMessage="1" xr:uid="{38461B4E-C273-49A5-97C1-99C8EDDC9BC4}">
          <x14:formula1>
            <xm:f>項目!A4:$LLY$458754</xm:f>
          </x14:formula1>
          <xm:sqref>LMH458759:LMH458782</xm:sqref>
        </x14:dataValidation>
        <x14:dataValidation type="list" allowBlank="1" showInputMessage="1" showErrorMessage="1" xr:uid="{44838B9D-8DCE-4E0F-B6D2-C84F8D07D100}">
          <x14:formula1>
            <xm:f>項目!A4:$LVU$458754</xm:f>
          </x14:formula1>
          <xm:sqref>LWD458759:LWD458782</xm:sqref>
        </x14:dataValidation>
        <x14:dataValidation type="list" allowBlank="1" showInputMessage="1" showErrorMessage="1" xr:uid="{769577D5-E557-4508-BD67-DCCEF1C4F468}">
          <x14:formula1>
            <xm:f>項目!A4:$MFQ$458754</xm:f>
          </x14:formula1>
          <xm:sqref>MFZ458759:MFZ458782</xm:sqref>
        </x14:dataValidation>
        <x14:dataValidation type="list" allowBlank="1" showInputMessage="1" showErrorMessage="1" xr:uid="{DC1AD977-553A-4CF2-B108-233A292EBE37}">
          <x14:formula1>
            <xm:f>項目!A4:$MPM$458754</xm:f>
          </x14:formula1>
          <xm:sqref>MPV458759:MPV458782</xm:sqref>
        </x14:dataValidation>
        <x14:dataValidation type="list" allowBlank="1" showInputMessage="1" showErrorMessage="1" xr:uid="{31B69E2D-5FBC-427A-88D5-C3C8E2C6CD7F}">
          <x14:formula1>
            <xm:f>項目!A4:$MZI$458754</xm:f>
          </x14:formula1>
          <xm:sqref>MZR458759:MZR458782</xm:sqref>
        </x14:dataValidation>
        <x14:dataValidation type="list" allowBlank="1" showInputMessage="1" showErrorMessage="1" xr:uid="{ABB32F42-A07E-43A5-8C68-21C36F717E03}">
          <x14:formula1>
            <xm:f>項目!A4:$NJE$458754</xm:f>
          </x14:formula1>
          <xm:sqref>NJN458759:NJN458782</xm:sqref>
        </x14:dataValidation>
        <x14:dataValidation type="list" allowBlank="1" showInputMessage="1" showErrorMessage="1" xr:uid="{BCB1FE21-5F26-44B3-B0E1-C0A1901B5110}">
          <x14:formula1>
            <xm:f>項目!A4:$NTA$458754</xm:f>
          </x14:formula1>
          <xm:sqref>NTJ458759:NTJ458782</xm:sqref>
        </x14:dataValidation>
        <x14:dataValidation type="list" allowBlank="1" showInputMessage="1" showErrorMessage="1" xr:uid="{A767FF3B-D162-45CC-9C8B-DB2524D28444}">
          <x14:formula1>
            <xm:f>項目!A4:$OCW$458754</xm:f>
          </x14:formula1>
          <xm:sqref>ODF458759:ODF458782</xm:sqref>
        </x14:dataValidation>
        <x14:dataValidation type="list" allowBlank="1" showInputMessage="1" showErrorMessage="1" xr:uid="{1EE7D67C-E08E-4379-9806-9DE22408D681}">
          <x14:formula1>
            <xm:f>項目!A4:$OMS$458754</xm:f>
          </x14:formula1>
          <xm:sqref>ONB458759:ONB458782</xm:sqref>
        </x14:dataValidation>
        <x14:dataValidation type="list" allowBlank="1" showInputMessage="1" showErrorMessage="1" xr:uid="{13B5847B-F664-4879-B901-AD5C64B329C4}">
          <x14:formula1>
            <xm:f>項目!A4:$OWO$458754</xm:f>
          </x14:formula1>
          <xm:sqref>OWX458759:OWX458782</xm:sqref>
        </x14:dataValidation>
        <x14:dataValidation type="list" allowBlank="1" showInputMessage="1" showErrorMessage="1" xr:uid="{8C5A8856-88D1-4008-9A70-AA72BE98A13D}">
          <x14:formula1>
            <xm:f>項目!A4:$PGK$458754</xm:f>
          </x14:formula1>
          <xm:sqref>PGT458759:PGT458782</xm:sqref>
        </x14:dataValidation>
        <x14:dataValidation type="list" allowBlank="1" showInputMessage="1" showErrorMessage="1" xr:uid="{67FB13C4-3157-409E-ADB9-70B55A4B97C7}">
          <x14:formula1>
            <xm:f>項目!A4:$PQG$458754</xm:f>
          </x14:formula1>
          <xm:sqref>PQP458759:PQP458782</xm:sqref>
        </x14:dataValidation>
        <x14:dataValidation type="list" allowBlank="1" showInputMessage="1" showErrorMessage="1" xr:uid="{32B2F282-FF12-4451-B437-144050FD07E5}">
          <x14:formula1>
            <xm:f>項目!A4:$QAC$458754</xm:f>
          </x14:formula1>
          <xm:sqref>QAL458759:QAL458782</xm:sqref>
        </x14:dataValidation>
        <x14:dataValidation type="list" allowBlank="1" showInputMessage="1" showErrorMessage="1" xr:uid="{5A24AC45-D360-4218-A9C5-EA22E69989AE}">
          <x14:formula1>
            <xm:f>項目!A4:$QJY$458754</xm:f>
          </x14:formula1>
          <xm:sqref>QKH458759:QKH458782</xm:sqref>
        </x14:dataValidation>
        <x14:dataValidation type="list" allowBlank="1" showInputMessage="1" showErrorMessage="1" xr:uid="{7ABDA060-C36C-4583-AE96-64E625B712C0}">
          <x14:formula1>
            <xm:f>項目!A4:$QTU$458754</xm:f>
          </x14:formula1>
          <xm:sqref>QUD458759:QUD458782</xm:sqref>
        </x14:dataValidation>
        <x14:dataValidation type="list" allowBlank="1" showInputMessage="1" showErrorMessage="1" xr:uid="{DB415228-E285-447C-9FF1-4BA565A1AC4E}">
          <x14:formula1>
            <xm:f>項目!A4:$RDQ$458754</xm:f>
          </x14:formula1>
          <xm:sqref>RDZ458759:RDZ458782</xm:sqref>
        </x14:dataValidation>
        <x14:dataValidation type="list" allowBlank="1" showInputMessage="1" showErrorMessage="1" xr:uid="{AB098B3E-1078-403D-8327-CB7B2722F2BB}">
          <x14:formula1>
            <xm:f>項目!A4:$RNM$458754</xm:f>
          </x14:formula1>
          <xm:sqref>RNV458759:RNV458782</xm:sqref>
        </x14:dataValidation>
        <x14:dataValidation type="list" allowBlank="1" showInputMessage="1" showErrorMessage="1" xr:uid="{CC67E072-B3DC-42CF-A0F3-ED8515B97F41}">
          <x14:formula1>
            <xm:f>項目!A4:$RXI$458754</xm:f>
          </x14:formula1>
          <xm:sqref>RXR458759:RXR458782</xm:sqref>
        </x14:dataValidation>
        <x14:dataValidation type="list" allowBlank="1" showInputMessage="1" showErrorMessage="1" xr:uid="{68AE33E6-2084-4939-888F-40B8994A9870}">
          <x14:formula1>
            <xm:f>項目!A4:$SHE$458754</xm:f>
          </x14:formula1>
          <xm:sqref>SHN458759:SHN458782</xm:sqref>
        </x14:dataValidation>
        <x14:dataValidation type="list" allowBlank="1" showInputMessage="1" showErrorMessage="1" xr:uid="{154F36E3-890F-4D9B-8AB8-C99EF9B5A3CD}">
          <x14:formula1>
            <xm:f>項目!A4:$SRA$458754</xm:f>
          </x14:formula1>
          <xm:sqref>SRJ458759:SRJ458782</xm:sqref>
        </x14:dataValidation>
        <x14:dataValidation type="list" allowBlank="1" showInputMessage="1" showErrorMessage="1" xr:uid="{985083E5-9748-410A-AB01-9F9CE5A38DCC}">
          <x14:formula1>
            <xm:f>項目!A4:$TAW$458754</xm:f>
          </x14:formula1>
          <xm:sqref>TBF458759:TBF458782</xm:sqref>
        </x14:dataValidation>
        <x14:dataValidation type="list" allowBlank="1" showInputMessage="1" showErrorMessage="1" xr:uid="{AE3A5F6B-1844-4081-884F-18375C4604B6}">
          <x14:formula1>
            <xm:f>項目!A4:$TKS$458754</xm:f>
          </x14:formula1>
          <xm:sqref>TLB458759:TLB458782</xm:sqref>
        </x14:dataValidation>
        <x14:dataValidation type="list" allowBlank="1" showInputMessage="1" showErrorMessage="1" xr:uid="{8F6AC51A-D546-4102-885D-BA131481B1EB}">
          <x14:formula1>
            <xm:f>項目!A4:$TUO$458754</xm:f>
          </x14:formula1>
          <xm:sqref>TUX458759:TUX458782</xm:sqref>
        </x14:dataValidation>
        <x14:dataValidation type="list" allowBlank="1" showInputMessage="1" showErrorMessage="1" xr:uid="{0AD014AF-BA38-4526-80F0-A2D682E3E1BA}">
          <x14:formula1>
            <xm:f>項目!A4:$UEK$458754</xm:f>
          </x14:formula1>
          <xm:sqref>UET458759:UET458782</xm:sqref>
        </x14:dataValidation>
        <x14:dataValidation type="list" allowBlank="1" showInputMessage="1" showErrorMessage="1" xr:uid="{30D4223D-49F1-480C-B5FF-7E3E683B825F}">
          <x14:formula1>
            <xm:f>項目!A4:$UOG$458754</xm:f>
          </x14:formula1>
          <xm:sqref>UOP458759:UOP458782</xm:sqref>
        </x14:dataValidation>
        <x14:dataValidation type="list" allowBlank="1" showInputMessage="1" showErrorMessage="1" xr:uid="{03A98FF8-A050-4CB1-91C3-17E4206F80D4}">
          <x14:formula1>
            <xm:f>項目!A4:$UYC$458754</xm:f>
          </x14:formula1>
          <xm:sqref>UYL458759:UYL458782</xm:sqref>
        </x14:dataValidation>
        <x14:dataValidation type="list" allowBlank="1" showInputMessage="1" showErrorMessage="1" xr:uid="{2DC3EBF6-E3D2-45BB-A349-FFDBABD5D69B}">
          <x14:formula1>
            <xm:f>項目!A4:$VHY$458754</xm:f>
          </x14:formula1>
          <xm:sqref>VIH458759:VIH458782</xm:sqref>
        </x14:dataValidation>
        <x14:dataValidation type="list" allowBlank="1" showInputMessage="1" showErrorMessage="1" xr:uid="{2AE57FD6-906F-42FA-9CC1-7334BB249B15}">
          <x14:formula1>
            <xm:f>項目!A4:$VRU$458754</xm:f>
          </x14:formula1>
          <xm:sqref>VSD458759:VSD458782</xm:sqref>
        </x14:dataValidation>
        <x14:dataValidation type="list" allowBlank="1" showInputMessage="1" showErrorMessage="1" xr:uid="{5C02EF96-FAEF-4F37-90A2-C87327DAFFD0}">
          <x14:formula1>
            <xm:f>項目!A4:$WBQ$458754</xm:f>
          </x14:formula1>
          <xm:sqref>WBZ458759:WBZ458782</xm:sqref>
        </x14:dataValidation>
        <x14:dataValidation type="list" allowBlank="1" showInputMessage="1" showErrorMessage="1" xr:uid="{D7D9D108-2916-4666-8B0F-E896A15C3D54}">
          <x14:formula1>
            <xm:f>項目!A4:$WLM$458754</xm:f>
          </x14:formula1>
          <xm:sqref>WLV458759:WLV458782</xm:sqref>
        </x14:dataValidation>
        <x14:dataValidation type="list" allowBlank="1" showInputMessage="1" showErrorMessage="1" xr:uid="{CBC7144C-99AB-4599-9338-459A7FD27D2C}">
          <x14:formula1>
            <xm:f>項目!A4:$WVI$458754</xm:f>
          </x14:formula1>
          <xm:sqref>WVR458759:WVR458782</xm:sqref>
        </x14:dataValidation>
        <x14:dataValidation type="list" allowBlank="1" showInputMessage="1" showErrorMessage="1" xr:uid="{2F0622EA-0FC5-4C06-89CC-83142D525164}">
          <x14:formula1>
            <xm:f>項目!A4:$IW$524290</xm:f>
          </x14:formula1>
          <xm:sqref>JF524295:JF524318</xm:sqref>
        </x14:dataValidation>
        <x14:dataValidation type="list" allowBlank="1" showInputMessage="1" showErrorMessage="1" xr:uid="{2FC37273-340D-4349-9682-3F5A21A55E0A}">
          <x14:formula1>
            <xm:f>項目!A4:$SS$524290</xm:f>
          </x14:formula1>
          <xm:sqref>TB524295:TB524318</xm:sqref>
        </x14:dataValidation>
        <x14:dataValidation type="list" allowBlank="1" showInputMessage="1" showErrorMessage="1" xr:uid="{3B56FE6E-9633-4D9F-ACF1-594FE0C30024}">
          <x14:formula1>
            <xm:f>項目!A4:$ACO$524290</xm:f>
          </x14:formula1>
          <xm:sqref>ACX524295:ACX524318</xm:sqref>
        </x14:dataValidation>
        <x14:dataValidation type="list" allowBlank="1" showInputMessage="1" showErrorMessage="1" xr:uid="{89CBE15F-6D05-4B82-9A2E-379AE9B5E67E}">
          <x14:formula1>
            <xm:f>項目!A4:$AMK$524290</xm:f>
          </x14:formula1>
          <xm:sqref>AMT524295:AMT524318</xm:sqref>
        </x14:dataValidation>
        <x14:dataValidation type="list" allowBlank="1" showInputMessage="1" showErrorMessage="1" xr:uid="{91D86AFD-356E-4CA0-AE7D-2C091A63F3C5}">
          <x14:formula1>
            <xm:f>項目!A4:$AWG$524290</xm:f>
          </x14:formula1>
          <xm:sqref>AWP524295:AWP524318</xm:sqref>
        </x14:dataValidation>
        <x14:dataValidation type="list" allowBlank="1" showInputMessage="1" showErrorMessage="1" xr:uid="{39682D22-E5EA-4613-9C09-068637C1B25D}">
          <x14:formula1>
            <xm:f>項目!A4:$BGC$524290</xm:f>
          </x14:formula1>
          <xm:sqref>BGL524295:BGL524318</xm:sqref>
        </x14:dataValidation>
        <x14:dataValidation type="list" allowBlank="1" showInputMessage="1" showErrorMessage="1" xr:uid="{330A018F-EF7A-43E8-97E5-B40424C28901}">
          <x14:formula1>
            <xm:f>項目!A4:$BPY$524290</xm:f>
          </x14:formula1>
          <xm:sqref>BQH524295:BQH524318</xm:sqref>
        </x14:dataValidation>
        <x14:dataValidation type="list" allowBlank="1" showInputMessage="1" showErrorMessage="1" xr:uid="{F2C61E51-E5D9-4BF6-993F-5E4D3098D86E}">
          <x14:formula1>
            <xm:f>項目!A4:$BZU$524290</xm:f>
          </x14:formula1>
          <xm:sqref>CAD524295:CAD524318</xm:sqref>
        </x14:dataValidation>
        <x14:dataValidation type="list" allowBlank="1" showInputMessage="1" showErrorMessage="1" xr:uid="{20114BCD-095F-4F46-9AE9-443065A22877}">
          <x14:formula1>
            <xm:f>項目!A4:$CJQ$524290</xm:f>
          </x14:formula1>
          <xm:sqref>CJZ524295:CJZ524318</xm:sqref>
        </x14:dataValidation>
        <x14:dataValidation type="list" allowBlank="1" showInputMessage="1" showErrorMessage="1" xr:uid="{D009F1B1-7DCF-4D10-BD53-E5112F92D221}">
          <x14:formula1>
            <xm:f>項目!A4:$CTM$524290</xm:f>
          </x14:formula1>
          <xm:sqref>CTV524295:CTV524318</xm:sqref>
        </x14:dataValidation>
        <x14:dataValidation type="list" allowBlank="1" showInputMessage="1" showErrorMessage="1" xr:uid="{F24AB8DC-43E8-47E8-9D97-824C8A045BF5}">
          <x14:formula1>
            <xm:f>項目!A4:$DDI$524290</xm:f>
          </x14:formula1>
          <xm:sqref>DDR524295:DDR524318</xm:sqref>
        </x14:dataValidation>
        <x14:dataValidation type="list" allowBlank="1" showInputMessage="1" showErrorMessage="1" xr:uid="{1CEBB8BA-4708-49E3-B4BB-F3E145081DB0}">
          <x14:formula1>
            <xm:f>項目!A4:$DNE$524290</xm:f>
          </x14:formula1>
          <xm:sqref>DNN524295:DNN524318</xm:sqref>
        </x14:dataValidation>
        <x14:dataValidation type="list" allowBlank="1" showInputMessage="1" showErrorMessage="1" xr:uid="{C598213F-721A-48D7-A468-DFD65B8A566B}">
          <x14:formula1>
            <xm:f>項目!A4:$DXA$524290</xm:f>
          </x14:formula1>
          <xm:sqref>DXJ524295:DXJ524318</xm:sqref>
        </x14:dataValidation>
        <x14:dataValidation type="list" allowBlank="1" showInputMessage="1" showErrorMessage="1" xr:uid="{00387F5F-AB9A-404A-ABE4-A1D831F94981}">
          <x14:formula1>
            <xm:f>項目!A4:$EGW$524290</xm:f>
          </x14:formula1>
          <xm:sqref>EHF524295:EHF524318</xm:sqref>
        </x14:dataValidation>
        <x14:dataValidation type="list" allowBlank="1" showInputMessage="1" showErrorMessage="1" xr:uid="{9B413743-A15F-4575-BCC2-15D1E6DB2E90}">
          <x14:formula1>
            <xm:f>項目!A4:$EQS$524290</xm:f>
          </x14:formula1>
          <xm:sqref>ERB524295:ERB524318</xm:sqref>
        </x14:dataValidation>
        <x14:dataValidation type="list" allowBlank="1" showInputMessage="1" showErrorMessage="1" xr:uid="{AA2546F1-7F9D-4BAB-9880-D22FDC2CC429}">
          <x14:formula1>
            <xm:f>項目!A4:$FAO$524290</xm:f>
          </x14:formula1>
          <xm:sqref>FAX524295:FAX524318</xm:sqref>
        </x14:dataValidation>
        <x14:dataValidation type="list" allowBlank="1" showInputMessage="1" showErrorMessage="1" xr:uid="{31216DCA-B820-450C-A3AC-EC76AE7EE872}">
          <x14:formula1>
            <xm:f>項目!A4:$FKK$524290</xm:f>
          </x14:formula1>
          <xm:sqref>FKT524295:FKT524318</xm:sqref>
        </x14:dataValidation>
        <x14:dataValidation type="list" allowBlank="1" showInputMessage="1" showErrorMessage="1" xr:uid="{C609F9C6-80C1-4FCB-B744-2AE86FD7690C}">
          <x14:formula1>
            <xm:f>項目!A4:$FUG$524290</xm:f>
          </x14:formula1>
          <xm:sqref>FUP524295:FUP524318</xm:sqref>
        </x14:dataValidation>
        <x14:dataValidation type="list" allowBlank="1" showInputMessage="1" showErrorMessage="1" xr:uid="{35CE89AF-BA24-4637-A875-D88531BC9788}">
          <x14:formula1>
            <xm:f>項目!A4:$GEC$524290</xm:f>
          </x14:formula1>
          <xm:sqref>GEL524295:GEL524318</xm:sqref>
        </x14:dataValidation>
        <x14:dataValidation type="list" allowBlank="1" showInputMessage="1" showErrorMessage="1" xr:uid="{ED90B643-A91D-4356-8B1D-1FE0FB7ED193}">
          <x14:formula1>
            <xm:f>項目!A4:$GNY$524290</xm:f>
          </x14:formula1>
          <xm:sqref>GOH524295:GOH524318</xm:sqref>
        </x14:dataValidation>
        <x14:dataValidation type="list" allowBlank="1" showInputMessage="1" showErrorMessage="1" xr:uid="{B4AD242B-DE9E-4C60-9D1C-0B0D553FE692}">
          <x14:formula1>
            <xm:f>項目!A4:$GXU$524290</xm:f>
          </x14:formula1>
          <xm:sqref>GYD524295:GYD524318</xm:sqref>
        </x14:dataValidation>
        <x14:dataValidation type="list" allowBlank="1" showInputMessage="1" showErrorMessage="1" xr:uid="{DC36123E-FE12-472B-A9DC-F8CDAD36AF99}">
          <x14:formula1>
            <xm:f>項目!A4:$HHQ$524290</xm:f>
          </x14:formula1>
          <xm:sqref>HHZ524295:HHZ524318</xm:sqref>
        </x14:dataValidation>
        <x14:dataValidation type="list" allowBlank="1" showInputMessage="1" showErrorMessage="1" xr:uid="{153E65EC-D668-4148-99B0-7EA03446A374}">
          <x14:formula1>
            <xm:f>項目!A4:$HRM$524290</xm:f>
          </x14:formula1>
          <xm:sqref>HRV524295:HRV524318</xm:sqref>
        </x14:dataValidation>
        <x14:dataValidation type="list" allowBlank="1" showInputMessage="1" showErrorMessage="1" xr:uid="{983307E6-2ED1-4ABE-A569-56B42A7570BE}">
          <x14:formula1>
            <xm:f>項目!A4:$IBI$524290</xm:f>
          </x14:formula1>
          <xm:sqref>IBR524295:IBR524318</xm:sqref>
        </x14:dataValidation>
        <x14:dataValidation type="list" allowBlank="1" showInputMessage="1" showErrorMessage="1" xr:uid="{7D2EB991-6AE2-4A38-9743-92BE1174E788}">
          <x14:formula1>
            <xm:f>項目!A4:$ILE$524290</xm:f>
          </x14:formula1>
          <xm:sqref>ILN524295:ILN524318</xm:sqref>
        </x14:dataValidation>
        <x14:dataValidation type="list" allowBlank="1" showInputMessage="1" showErrorMessage="1" xr:uid="{C6784428-C1CA-4110-AE2D-397AE564C0E9}">
          <x14:formula1>
            <xm:f>項目!A4:$IVA$524290</xm:f>
          </x14:formula1>
          <xm:sqref>IVJ524295:IVJ524318</xm:sqref>
        </x14:dataValidation>
        <x14:dataValidation type="list" allowBlank="1" showInputMessage="1" showErrorMessage="1" xr:uid="{DBAADE18-D54C-4B8A-8C0C-26918D564D59}">
          <x14:formula1>
            <xm:f>項目!A4:$JEW$524290</xm:f>
          </x14:formula1>
          <xm:sqref>JFF524295:JFF524318</xm:sqref>
        </x14:dataValidation>
        <x14:dataValidation type="list" allowBlank="1" showInputMessage="1" showErrorMessage="1" xr:uid="{45FAA744-9B0E-48D0-B356-52D5CF3DB5A3}">
          <x14:formula1>
            <xm:f>項目!A4:$JOS$524290</xm:f>
          </x14:formula1>
          <xm:sqref>JPB524295:JPB524318</xm:sqref>
        </x14:dataValidation>
        <x14:dataValidation type="list" allowBlank="1" showInputMessage="1" showErrorMessage="1" xr:uid="{6D74B4E0-C02F-4DA8-82AD-0CB51EC4A805}">
          <x14:formula1>
            <xm:f>項目!A4:$JYO$524290</xm:f>
          </x14:formula1>
          <xm:sqref>JYX524295:JYX524318</xm:sqref>
        </x14:dataValidation>
        <x14:dataValidation type="list" allowBlank="1" showInputMessage="1" showErrorMessage="1" xr:uid="{7CD3C73C-CDD2-4912-8323-6655273A54E7}">
          <x14:formula1>
            <xm:f>項目!A4:$KIK$524290</xm:f>
          </x14:formula1>
          <xm:sqref>KIT524295:KIT524318</xm:sqref>
        </x14:dataValidation>
        <x14:dataValidation type="list" allowBlank="1" showInputMessage="1" showErrorMessage="1" xr:uid="{E78764C7-33F1-421B-B537-77BB5557FADC}">
          <x14:formula1>
            <xm:f>項目!A4:$KSG$524290</xm:f>
          </x14:formula1>
          <xm:sqref>KSP524295:KSP524318</xm:sqref>
        </x14:dataValidation>
        <x14:dataValidation type="list" allowBlank="1" showInputMessage="1" showErrorMessage="1" xr:uid="{7FD8CAFA-347B-4B26-9D85-6AA5C7E714E9}">
          <x14:formula1>
            <xm:f>項目!A4:$LCC$524290</xm:f>
          </x14:formula1>
          <xm:sqref>LCL524295:LCL524318</xm:sqref>
        </x14:dataValidation>
        <x14:dataValidation type="list" allowBlank="1" showInputMessage="1" showErrorMessage="1" xr:uid="{FF2F90A6-6551-415D-8D21-71C598C635FB}">
          <x14:formula1>
            <xm:f>項目!A4:$LLY$524290</xm:f>
          </x14:formula1>
          <xm:sqref>LMH524295:LMH524318</xm:sqref>
        </x14:dataValidation>
        <x14:dataValidation type="list" allowBlank="1" showInputMessage="1" showErrorMessage="1" xr:uid="{F82DB431-881E-440D-90F1-825CEB3237F3}">
          <x14:formula1>
            <xm:f>項目!A4:$LVU$524290</xm:f>
          </x14:formula1>
          <xm:sqref>LWD524295:LWD524318</xm:sqref>
        </x14:dataValidation>
        <x14:dataValidation type="list" allowBlank="1" showInputMessage="1" showErrorMessage="1" xr:uid="{E8821AC2-0705-481A-A21D-2D201A065A59}">
          <x14:formula1>
            <xm:f>項目!A4:$MFQ$524290</xm:f>
          </x14:formula1>
          <xm:sqref>MFZ524295:MFZ524318</xm:sqref>
        </x14:dataValidation>
        <x14:dataValidation type="list" allowBlank="1" showInputMessage="1" showErrorMessage="1" xr:uid="{83DB5879-85B7-44C4-8BBF-35CE79DB3259}">
          <x14:formula1>
            <xm:f>項目!A4:$MPM$524290</xm:f>
          </x14:formula1>
          <xm:sqref>MPV524295:MPV524318</xm:sqref>
        </x14:dataValidation>
        <x14:dataValidation type="list" allowBlank="1" showInputMessage="1" showErrorMessage="1" xr:uid="{40A5A10D-508A-4530-AC44-5031CA337C70}">
          <x14:formula1>
            <xm:f>項目!A4:$MZI$524290</xm:f>
          </x14:formula1>
          <xm:sqref>MZR524295:MZR524318</xm:sqref>
        </x14:dataValidation>
        <x14:dataValidation type="list" allowBlank="1" showInputMessage="1" showErrorMessage="1" xr:uid="{C83B012C-686B-4914-8F28-B61C5AA7A196}">
          <x14:formula1>
            <xm:f>項目!A4:$NJE$524290</xm:f>
          </x14:formula1>
          <xm:sqref>NJN524295:NJN524318</xm:sqref>
        </x14:dataValidation>
        <x14:dataValidation type="list" allowBlank="1" showInputMessage="1" showErrorMessage="1" xr:uid="{A00594BF-AAC8-45BF-9415-A54B27C306F5}">
          <x14:formula1>
            <xm:f>項目!A4:$NTA$524290</xm:f>
          </x14:formula1>
          <xm:sqref>NTJ524295:NTJ524318</xm:sqref>
        </x14:dataValidation>
        <x14:dataValidation type="list" allowBlank="1" showInputMessage="1" showErrorMessage="1" xr:uid="{896FCB95-1E9B-4F60-832A-BC1661DC4D72}">
          <x14:formula1>
            <xm:f>項目!A4:$OCW$524290</xm:f>
          </x14:formula1>
          <xm:sqref>ODF524295:ODF524318</xm:sqref>
        </x14:dataValidation>
        <x14:dataValidation type="list" allowBlank="1" showInputMessage="1" showErrorMessage="1" xr:uid="{9F43AD97-2A27-4D8A-9ECF-536FF070F4D5}">
          <x14:formula1>
            <xm:f>項目!A4:$OMS$524290</xm:f>
          </x14:formula1>
          <xm:sqref>ONB524295:ONB524318</xm:sqref>
        </x14:dataValidation>
        <x14:dataValidation type="list" allowBlank="1" showInputMessage="1" showErrorMessage="1" xr:uid="{E95146A7-192A-4A15-B953-B6759B1FAC79}">
          <x14:formula1>
            <xm:f>項目!A4:$OWO$524290</xm:f>
          </x14:formula1>
          <xm:sqref>OWX524295:OWX524318</xm:sqref>
        </x14:dataValidation>
        <x14:dataValidation type="list" allowBlank="1" showInputMessage="1" showErrorMessage="1" xr:uid="{DE5BBFA8-7A70-4AAD-94A5-4B833C50578C}">
          <x14:formula1>
            <xm:f>項目!A4:$PGK$524290</xm:f>
          </x14:formula1>
          <xm:sqref>PGT524295:PGT524318</xm:sqref>
        </x14:dataValidation>
        <x14:dataValidation type="list" allowBlank="1" showInputMessage="1" showErrorMessage="1" xr:uid="{30F435F5-E65D-4413-B8EC-3BA1B01C5665}">
          <x14:formula1>
            <xm:f>項目!A4:$PQG$524290</xm:f>
          </x14:formula1>
          <xm:sqref>PQP524295:PQP524318</xm:sqref>
        </x14:dataValidation>
        <x14:dataValidation type="list" allowBlank="1" showInputMessage="1" showErrorMessage="1" xr:uid="{9F5F7F96-00DD-4591-8315-8397B71FEA60}">
          <x14:formula1>
            <xm:f>項目!A4:$QAC$524290</xm:f>
          </x14:formula1>
          <xm:sqref>QAL524295:QAL524318</xm:sqref>
        </x14:dataValidation>
        <x14:dataValidation type="list" allowBlank="1" showInputMessage="1" showErrorMessage="1" xr:uid="{CF9DAA45-ACBD-4AE6-AC99-AD578FFEA470}">
          <x14:formula1>
            <xm:f>項目!A4:$QJY$524290</xm:f>
          </x14:formula1>
          <xm:sqref>QKH524295:QKH524318</xm:sqref>
        </x14:dataValidation>
        <x14:dataValidation type="list" allowBlank="1" showInputMessage="1" showErrorMessage="1" xr:uid="{9DDEC79D-5814-42C2-88F8-767ED16138D0}">
          <x14:formula1>
            <xm:f>項目!A4:$QTU$524290</xm:f>
          </x14:formula1>
          <xm:sqref>QUD524295:QUD524318</xm:sqref>
        </x14:dataValidation>
        <x14:dataValidation type="list" allowBlank="1" showInputMessage="1" showErrorMessage="1" xr:uid="{92D85B30-932C-40F4-BA89-EA6A542FE74E}">
          <x14:formula1>
            <xm:f>項目!A4:$RDQ$524290</xm:f>
          </x14:formula1>
          <xm:sqref>RDZ524295:RDZ524318</xm:sqref>
        </x14:dataValidation>
        <x14:dataValidation type="list" allowBlank="1" showInputMessage="1" showErrorMessage="1" xr:uid="{DB65E21B-F0B5-4258-A5D3-883168D10970}">
          <x14:formula1>
            <xm:f>項目!A4:$RNM$524290</xm:f>
          </x14:formula1>
          <xm:sqref>RNV524295:RNV524318</xm:sqref>
        </x14:dataValidation>
        <x14:dataValidation type="list" allowBlank="1" showInputMessage="1" showErrorMessage="1" xr:uid="{FCEFA57E-AA1C-42BE-93DA-69723FF36E57}">
          <x14:formula1>
            <xm:f>項目!A4:$RXI$524290</xm:f>
          </x14:formula1>
          <xm:sqref>RXR524295:RXR524318</xm:sqref>
        </x14:dataValidation>
        <x14:dataValidation type="list" allowBlank="1" showInputMessage="1" showErrorMessage="1" xr:uid="{4C0F4AF7-42B3-4965-A386-608F90FEB979}">
          <x14:formula1>
            <xm:f>項目!A4:$SHE$524290</xm:f>
          </x14:formula1>
          <xm:sqref>SHN524295:SHN524318</xm:sqref>
        </x14:dataValidation>
        <x14:dataValidation type="list" allowBlank="1" showInputMessage="1" showErrorMessage="1" xr:uid="{A5867761-3BE5-4037-89F8-53D5A49D6923}">
          <x14:formula1>
            <xm:f>項目!A4:$SRA$524290</xm:f>
          </x14:formula1>
          <xm:sqref>SRJ524295:SRJ524318</xm:sqref>
        </x14:dataValidation>
        <x14:dataValidation type="list" allowBlank="1" showInputMessage="1" showErrorMessage="1" xr:uid="{B065AD95-EF1A-4DFE-8B65-53C55A034553}">
          <x14:formula1>
            <xm:f>項目!A4:$TAW$524290</xm:f>
          </x14:formula1>
          <xm:sqref>TBF524295:TBF524318</xm:sqref>
        </x14:dataValidation>
        <x14:dataValidation type="list" allowBlank="1" showInputMessage="1" showErrorMessage="1" xr:uid="{65DCBBE8-1CBE-4526-B58C-A057976EB2A5}">
          <x14:formula1>
            <xm:f>項目!A4:$TKS$524290</xm:f>
          </x14:formula1>
          <xm:sqref>TLB524295:TLB524318</xm:sqref>
        </x14:dataValidation>
        <x14:dataValidation type="list" allowBlank="1" showInputMessage="1" showErrorMessage="1" xr:uid="{757251B7-FABE-49F8-884D-87B55DF5B2F6}">
          <x14:formula1>
            <xm:f>項目!A4:$TUO$524290</xm:f>
          </x14:formula1>
          <xm:sqref>TUX524295:TUX524318</xm:sqref>
        </x14:dataValidation>
        <x14:dataValidation type="list" allowBlank="1" showInputMessage="1" showErrorMessage="1" xr:uid="{B056FDFF-1611-453B-9518-83BB2F5C00C8}">
          <x14:formula1>
            <xm:f>項目!A4:$UEK$524290</xm:f>
          </x14:formula1>
          <xm:sqref>UET524295:UET524318</xm:sqref>
        </x14:dataValidation>
        <x14:dataValidation type="list" allowBlank="1" showInputMessage="1" showErrorMessage="1" xr:uid="{AF143395-48C3-46F9-A9D1-8585FA84E530}">
          <x14:formula1>
            <xm:f>項目!A4:$UOG$524290</xm:f>
          </x14:formula1>
          <xm:sqref>UOP524295:UOP524318</xm:sqref>
        </x14:dataValidation>
        <x14:dataValidation type="list" allowBlank="1" showInputMessage="1" showErrorMessage="1" xr:uid="{DCA7FE91-BEA4-4B7F-B8D2-DE2BF9E0041F}">
          <x14:formula1>
            <xm:f>項目!A4:$UYC$524290</xm:f>
          </x14:formula1>
          <xm:sqref>UYL524295:UYL524318</xm:sqref>
        </x14:dataValidation>
        <x14:dataValidation type="list" allowBlank="1" showInputMessage="1" showErrorMessage="1" xr:uid="{8D37CDF0-A75F-4926-95CF-861E358F78C2}">
          <x14:formula1>
            <xm:f>項目!A4:$VHY$524290</xm:f>
          </x14:formula1>
          <xm:sqref>VIH524295:VIH524318</xm:sqref>
        </x14:dataValidation>
        <x14:dataValidation type="list" allowBlank="1" showInputMessage="1" showErrorMessage="1" xr:uid="{0B122A37-15BC-4090-925B-54901C17A999}">
          <x14:formula1>
            <xm:f>項目!A4:$VRU$524290</xm:f>
          </x14:formula1>
          <xm:sqref>VSD524295:VSD524318</xm:sqref>
        </x14:dataValidation>
        <x14:dataValidation type="list" allowBlank="1" showInputMessage="1" showErrorMessage="1" xr:uid="{A94836AB-A0B8-4014-BA88-577AA5F53D83}">
          <x14:formula1>
            <xm:f>項目!A4:$WBQ$524290</xm:f>
          </x14:formula1>
          <xm:sqref>WBZ524295:WBZ524318</xm:sqref>
        </x14:dataValidation>
        <x14:dataValidation type="list" allowBlank="1" showInputMessage="1" showErrorMessage="1" xr:uid="{BDC01D1C-4392-40FA-A9D6-CA026B58854D}">
          <x14:formula1>
            <xm:f>項目!A4:$WLM$524290</xm:f>
          </x14:formula1>
          <xm:sqref>WLV524295:WLV524318</xm:sqref>
        </x14:dataValidation>
        <x14:dataValidation type="list" allowBlank="1" showInputMessage="1" showErrorMessage="1" xr:uid="{EF41AC94-23E2-47EF-B4A6-BF5B6835B18A}">
          <x14:formula1>
            <xm:f>項目!A4:$WVI$524290</xm:f>
          </x14:formula1>
          <xm:sqref>WVR524295:WVR524318</xm:sqref>
        </x14:dataValidation>
        <x14:dataValidation type="list" allowBlank="1" showInputMessage="1" showErrorMessage="1" xr:uid="{5CB2A0E6-D3B3-42F8-BDA3-5BAA2B294B2F}">
          <x14:formula1>
            <xm:f>項目!A4:$IW$589826</xm:f>
          </x14:formula1>
          <xm:sqref>JF589831:JF589854</xm:sqref>
        </x14:dataValidation>
        <x14:dataValidation type="list" allowBlank="1" showInputMessage="1" showErrorMessage="1" xr:uid="{AD7B1060-BADC-4EC4-B4DA-4562CED2E7E4}">
          <x14:formula1>
            <xm:f>項目!A4:$SS$589826</xm:f>
          </x14:formula1>
          <xm:sqref>TB589831:TB589854</xm:sqref>
        </x14:dataValidation>
        <x14:dataValidation type="list" allowBlank="1" showInputMessage="1" showErrorMessage="1" xr:uid="{4F66E2E8-5CD4-4DAA-BB8B-FBB942B16BFB}">
          <x14:formula1>
            <xm:f>項目!A4:$ACO$589826</xm:f>
          </x14:formula1>
          <xm:sqref>ACX589831:ACX589854</xm:sqref>
        </x14:dataValidation>
        <x14:dataValidation type="list" allowBlank="1" showInputMessage="1" showErrorMessage="1" xr:uid="{D73C9B3C-99A6-424D-92F1-FC635E02AFE2}">
          <x14:formula1>
            <xm:f>項目!A4:$AMK$589826</xm:f>
          </x14:formula1>
          <xm:sqref>AMT589831:AMT589854</xm:sqref>
        </x14:dataValidation>
        <x14:dataValidation type="list" allowBlank="1" showInputMessage="1" showErrorMessage="1" xr:uid="{A39DD0BA-C838-4174-9EE2-13AA1B116C74}">
          <x14:formula1>
            <xm:f>項目!A4:$AWG$589826</xm:f>
          </x14:formula1>
          <xm:sqref>AWP589831:AWP589854</xm:sqref>
        </x14:dataValidation>
        <x14:dataValidation type="list" allowBlank="1" showInputMessage="1" showErrorMessage="1" xr:uid="{EC68D89A-4F57-4899-AD4E-5722E8B1204B}">
          <x14:formula1>
            <xm:f>項目!A4:$BGC$589826</xm:f>
          </x14:formula1>
          <xm:sqref>BGL589831:BGL589854</xm:sqref>
        </x14:dataValidation>
        <x14:dataValidation type="list" allowBlank="1" showInputMessage="1" showErrorMessage="1" xr:uid="{09F540B2-9C64-4174-AC51-476D9CB1B676}">
          <x14:formula1>
            <xm:f>項目!A4:$BPY$589826</xm:f>
          </x14:formula1>
          <xm:sqref>BQH589831:BQH589854</xm:sqref>
        </x14:dataValidation>
        <x14:dataValidation type="list" allowBlank="1" showInputMessage="1" showErrorMessage="1" xr:uid="{FC13B648-3D1D-4800-ACE6-735E1C997222}">
          <x14:formula1>
            <xm:f>項目!A4:$BZU$589826</xm:f>
          </x14:formula1>
          <xm:sqref>CAD589831:CAD589854</xm:sqref>
        </x14:dataValidation>
        <x14:dataValidation type="list" allowBlank="1" showInputMessage="1" showErrorMessage="1" xr:uid="{AD87238B-6835-4E7E-9A8E-A1EA18CC7B6C}">
          <x14:formula1>
            <xm:f>項目!A4:$CJQ$589826</xm:f>
          </x14:formula1>
          <xm:sqref>CJZ589831:CJZ589854</xm:sqref>
        </x14:dataValidation>
        <x14:dataValidation type="list" allowBlank="1" showInputMessage="1" showErrorMessage="1" xr:uid="{6827FCFC-34EF-47B3-8EEF-64D862358635}">
          <x14:formula1>
            <xm:f>項目!A4:$CTM$589826</xm:f>
          </x14:formula1>
          <xm:sqref>CTV589831:CTV589854</xm:sqref>
        </x14:dataValidation>
        <x14:dataValidation type="list" allowBlank="1" showInputMessage="1" showErrorMessage="1" xr:uid="{EEEBF491-5F2E-459F-B4B1-44A9348042E6}">
          <x14:formula1>
            <xm:f>項目!A4:$DDI$589826</xm:f>
          </x14:formula1>
          <xm:sqref>DDR589831:DDR589854</xm:sqref>
        </x14:dataValidation>
        <x14:dataValidation type="list" allowBlank="1" showInputMessage="1" showErrorMessage="1" xr:uid="{9CDD8092-5794-482F-A8EB-178C48193148}">
          <x14:formula1>
            <xm:f>項目!A4:$DNE$589826</xm:f>
          </x14:formula1>
          <xm:sqref>DNN589831:DNN589854</xm:sqref>
        </x14:dataValidation>
        <x14:dataValidation type="list" allowBlank="1" showInputMessage="1" showErrorMessage="1" xr:uid="{31C09ECD-700D-458B-9026-41C20C43A3E7}">
          <x14:formula1>
            <xm:f>項目!A4:$DXA$589826</xm:f>
          </x14:formula1>
          <xm:sqref>DXJ589831:DXJ589854</xm:sqref>
        </x14:dataValidation>
        <x14:dataValidation type="list" allowBlank="1" showInputMessage="1" showErrorMessage="1" xr:uid="{62295B54-4C65-4A90-8AA8-571254212FA5}">
          <x14:formula1>
            <xm:f>項目!A4:$EGW$589826</xm:f>
          </x14:formula1>
          <xm:sqref>EHF589831:EHF589854</xm:sqref>
        </x14:dataValidation>
        <x14:dataValidation type="list" allowBlank="1" showInputMessage="1" showErrorMessage="1" xr:uid="{B48AA348-8A07-47AD-B0B1-99A8BBBE1B61}">
          <x14:formula1>
            <xm:f>項目!A4:$EQS$589826</xm:f>
          </x14:formula1>
          <xm:sqref>ERB589831:ERB589854</xm:sqref>
        </x14:dataValidation>
        <x14:dataValidation type="list" allowBlank="1" showInputMessage="1" showErrorMessage="1" xr:uid="{3E309976-40BF-43ED-B3DF-B93B77F208B7}">
          <x14:formula1>
            <xm:f>項目!A4:$FAO$589826</xm:f>
          </x14:formula1>
          <xm:sqref>FAX589831:FAX589854</xm:sqref>
        </x14:dataValidation>
        <x14:dataValidation type="list" allowBlank="1" showInputMessage="1" showErrorMessage="1" xr:uid="{5DE29AE7-78E8-4E48-82BE-A84EA14B6DBA}">
          <x14:formula1>
            <xm:f>項目!A4:$FKK$589826</xm:f>
          </x14:formula1>
          <xm:sqref>FKT589831:FKT589854</xm:sqref>
        </x14:dataValidation>
        <x14:dataValidation type="list" allowBlank="1" showInputMessage="1" showErrorMessage="1" xr:uid="{AD3AF33E-F809-4464-B4EE-6F9F900613EF}">
          <x14:formula1>
            <xm:f>項目!A4:$FUG$589826</xm:f>
          </x14:formula1>
          <xm:sqref>FUP589831:FUP589854</xm:sqref>
        </x14:dataValidation>
        <x14:dataValidation type="list" allowBlank="1" showInputMessage="1" showErrorMessage="1" xr:uid="{1C17CE32-5F6B-4AD8-8F45-7CEFC5750B91}">
          <x14:formula1>
            <xm:f>項目!A4:$GEC$589826</xm:f>
          </x14:formula1>
          <xm:sqref>GEL589831:GEL589854</xm:sqref>
        </x14:dataValidation>
        <x14:dataValidation type="list" allowBlank="1" showInputMessage="1" showErrorMessage="1" xr:uid="{34AC7D22-FFC7-4D01-A790-624D8CA2CF25}">
          <x14:formula1>
            <xm:f>項目!A4:$GNY$589826</xm:f>
          </x14:formula1>
          <xm:sqref>GOH589831:GOH589854</xm:sqref>
        </x14:dataValidation>
        <x14:dataValidation type="list" allowBlank="1" showInputMessage="1" showErrorMessage="1" xr:uid="{07D2B7A5-0544-44BB-B102-E7632DD2FD86}">
          <x14:formula1>
            <xm:f>項目!A4:$GXU$589826</xm:f>
          </x14:formula1>
          <xm:sqref>GYD589831:GYD589854</xm:sqref>
        </x14:dataValidation>
        <x14:dataValidation type="list" allowBlank="1" showInputMessage="1" showErrorMessage="1" xr:uid="{A26863BE-F9E2-4698-9BAC-37DDBE4142F2}">
          <x14:formula1>
            <xm:f>項目!A4:$HHQ$589826</xm:f>
          </x14:formula1>
          <xm:sqref>HHZ589831:HHZ589854</xm:sqref>
        </x14:dataValidation>
        <x14:dataValidation type="list" allowBlank="1" showInputMessage="1" showErrorMessage="1" xr:uid="{C7DD032A-865B-40C2-B589-EA469740F765}">
          <x14:formula1>
            <xm:f>項目!A4:$HRM$589826</xm:f>
          </x14:formula1>
          <xm:sqref>HRV589831:HRV589854</xm:sqref>
        </x14:dataValidation>
        <x14:dataValidation type="list" allowBlank="1" showInputMessage="1" showErrorMessage="1" xr:uid="{40E0201F-0B4C-48E1-B196-D86936303F62}">
          <x14:formula1>
            <xm:f>項目!A4:$IBI$589826</xm:f>
          </x14:formula1>
          <xm:sqref>IBR589831:IBR589854</xm:sqref>
        </x14:dataValidation>
        <x14:dataValidation type="list" allowBlank="1" showInputMessage="1" showErrorMessage="1" xr:uid="{09159CA0-3694-413B-91CA-12CD6714C833}">
          <x14:formula1>
            <xm:f>項目!A4:$ILE$589826</xm:f>
          </x14:formula1>
          <xm:sqref>ILN589831:ILN589854</xm:sqref>
        </x14:dataValidation>
        <x14:dataValidation type="list" allowBlank="1" showInputMessage="1" showErrorMessage="1" xr:uid="{AB6985F4-848D-4255-9506-F764DD03B10B}">
          <x14:formula1>
            <xm:f>項目!A4:$IVA$589826</xm:f>
          </x14:formula1>
          <xm:sqref>IVJ589831:IVJ589854</xm:sqref>
        </x14:dataValidation>
        <x14:dataValidation type="list" allowBlank="1" showInputMessage="1" showErrorMessage="1" xr:uid="{C0E541A0-DF8F-4C9B-A4A7-0927B5998957}">
          <x14:formula1>
            <xm:f>項目!A4:$JEW$589826</xm:f>
          </x14:formula1>
          <xm:sqref>JFF589831:JFF589854</xm:sqref>
        </x14:dataValidation>
        <x14:dataValidation type="list" allowBlank="1" showInputMessage="1" showErrorMessage="1" xr:uid="{F7E7A1F4-21AF-49EE-A0FB-4ADF8AC8BE31}">
          <x14:formula1>
            <xm:f>項目!A4:$JOS$589826</xm:f>
          </x14:formula1>
          <xm:sqref>JPB589831:JPB589854</xm:sqref>
        </x14:dataValidation>
        <x14:dataValidation type="list" allowBlank="1" showInputMessage="1" showErrorMessage="1" xr:uid="{08FD8CDE-F39F-40FE-8D76-64DD311ECF8D}">
          <x14:formula1>
            <xm:f>項目!A4:$JYO$589826</xm:f>
          </x14:formula1>
          <xm:sqref>JYX589831:JYX589854</xm:sqref>
        </x14:dataValidation>
        <x14:dataValidation type="list" allowBlank="1" showInputMessage="1" showErrorMessage="1" xr:uid="{55C46002-71E5-4762-8AF2-1C080704A2EC}">
          <x14:formula1>
            <xm:f>項目!A4:$KIK$589826</xm:f>
          </x14:formula1>
          <xm:sqref>KIT589831:KIT589854</xm:sqref>
        </x14:dataValidation>
        <x14:dataValidation type="list" allowBlank="1" showInputMessage="1" showErrorMessage="1" xr:uid="{FC4890C6-204D-4AD7-981E-0FF966BA771D}">
          <x14:formula1>
            <xm:f>項目!A4:$KSG$589826</xm:f>
          </x14:formula1>
          <xm:sqref>KSP589831:KSP589854</xm:sqref>
        </x14:dataValidation>
        <x14:dataValidation type="list" allowBlank="1" showInputMessage="1" showErrorMessage="1" xr:uid="{6FDBFEE9-43D4-4ED1-A863-55CBD2E4797A}">
          <x14:formula1>
            <xm:f>項目!A4:$LCC$589826</xm:f>
          </x14:formula1>
          <xm:sqref>LCL589831:LCL589854</xm:sqref>
        </x14:dataValidation>
        <x14:dataValidation type="list" allowBlank="1" showInputMessage="1" showErrorMessage="1" xr:uid="{58BAF432-44EB-41C1-A649-A784A4387E1A}">
          <x14:formula1>
            <xm:f>項目!A4:$LLY$589826</xm:f>
          </x14:formula1>
          <xm:sqref>LMH589831:LMH589854</xm:sqref>
        </x14:dataValidation>
        <x14:dataValidation type="list" allowBlank="1" showInputMessage="1" showErrorMessage="1" xr:uid="{B9031126-75F5-4FF4-94F9-0CCEF3F9FF41}">
          <x14:formula1>
            <xm:f>項目!A4:$LVU$589826</xm:f>
          </x14:formula1>
          <xm:sqref>LWD589831:LWD589854</xm:sqref>
        </x14:dataValidation>
        <x14:dataValidation type="list" allowBlank="1" showInputMessage="1" showErrorMessage="1" xr:uid="{D95F8004-363E-4649-A12A-D82C751F3A87}">
          <x14:formula1>
            <xm:f>項目!A4:$MFQ$589826</xm:f>
          </x14:formula1>
          <xm:sqref>MFZ589831:MFZ589854</xm:sqref>
        </x14:dataValidation>
        <x14:dataValidation type="list" allowBlank="1" showInputMessage="1" showErrorMessage="1" xr:uid="{0C693D94-00A6-4E33-A0E5-AF16DC8FE2E6}">
          <x14:formula1>
            <xm:f>項目!A4:$MPM$589826</xm:f>
          </x14:formula1>
          <xm:sqref>MPV589831:MPV589854</xm:sqref>
        </x14:dataValidation>
        <x14:dataValidation type="list" allowBlank="1" showInputMessage="1" showErrorMessage="1" xr:uid="{61C198D1-BF99-431D-B823-0C8A9137C75B}">
          <x14:formula1>
            <xm:f>項目!A4:$MZI$589826</xm:f>
          </x14:formula1>
          <xm:sqref>MZR589831:MZR589854</xm:sqref>
        </x14:dataValidation>
        <x14:dataValidation type="list" allowBlank="1" showInputMessage="1" showErrorMessage="1" xr:uid="{99E6AA61-BCF1-45E6-B702-D1BA365F3EBB}">
          <x14:formula1>
            <xm:f>項目!A4:$NJE$589826</xm:f>
          </x14:formula1>
          <xm:sqref>NJN589831:NJN589854</xm:sqref>
        </x14:dataValidation>
        <x14:dataValidation type="list" allowBlank="1" showInputMessage="1" showErrorMessage="1" xr:uid="{2AF62C93-37D0-43E3-98A5-988473B79640}">
          <x14:formula1>
            <xm:f>項目!A4:$NTA$589826</xm:f>
          </x14:formula1>
          <xm:sqref>NTJ589831:NTJ589854</xm:sqref>
        </x14:dataValidation>
        <x14:dataValidation type="list" allowBlank="1" showInputMessage="1" showErrorMessage="1" xr:uid="{6E88C5F6-4F22-4152-9256-6DD797D1C7A1}">
          <x14:formula1>
            <xm:f>項目!A4:$OCW$589826</xm:f>
          </x14:formula1>
          <xm:sqref>ODF589831:ODF589854</xm:sqref>
        </x14:dataValidation>
        <x14:dataValidation type="list" allowBlank="1" showInputMessage="1" showErrorMessage="1" xr:uid="{1106E72F-3D8B-440A-AE6E-613599DEC8F1}">
          <x14:formula1>
            <xm:f>項目!A4:$OMS$589826</xm:f>
          </x14:formula1>
          <xm:sqref>ONB589831:ONB589854</xm:sqref>
        </x14:dataValidation>
        <x14:dataValidation type="list" allowBlank="1" showInputMessage="1" showErrorMessage="1" xr:uid="{0A29BC82-6522-4DEA-851A-B2A11F4F5508}">
          <x14:formula1>
            <xm:f>項目!A4:$OWO$589826</xm:f>
          </x14:formula1>
          <xm:sqref>OWX589831:OWX589854</xm:sqref>
        </x14:dataValidation>
        <x14:dataValidation type="list" allowBlank="1" showInputMessage="1" showErrorMessage="1" xr:uid="{67DEE841-18A8-493D-926B-822BE58D7618}">
          <x14:formula1>
            <xm:f>項目!A4:$PGK$589826</xm:f>
          </x14:formula1>
          <xm:sqref>PGT589831:PGT589854</xm:sqref>
        </x14:dataValidation>
        <x14:dataValidation type="list" allowBlank="1" showInputMessage="1" showErrorMessage="1" xr:uid="{E9CD10BA-CFDA-4029-BF18-FB23F3E5C214}">
          <x14:formula1>
            <xm:f>項目!A4:$PQG$589826</xm:f>
          </x14:formula1>
          <xm:sqref>PQP589831:PQP589854</xm:sqref>
        </x14:dataValidation>
        <x14:dataValidation type="list" allowBlank="1" showInputMessage="1" showErrorMessage="1" xr:uid="{379D8A88-7D10-4680-8EA4-59C83FDCCC88}">
          <x14:formula1>
            <xm:f>項目!A4:$QAC$589826</xm:f>
          </x14:formula1>
          <xm:sqref>QAL589831:QAL589854</xm:sqref>
        </x14:dataValidation>
        <x14:dataValidation type="list" allowBlank="1" showInputMessage="1" showErrorMessage="1" xr:uid="{847643C4-8DC4-43B3-A325-DF1E4F2CF080}">
          <x14:formula1>
            <xm:f>項目!A4:$QJY$589826</xm:f>
          </x14:formula1>
          <xm:sqref>QKH589831:QKH589854</xm:sqref>
        </x14:dataValidation>
        <x14:dataValidation type="list" allowBlank="1" showInputMessage="1" showErrorMessage="1" xr:uid="{9D6E56A7-61A2-4846-BCA0-E6D651F74D53}">
          <x14:formula1>
            <xm:f>項目!A4:$QTU$589826</xm:f>
          </x14:formula1>
          <xm:sqref>QUD589831:QUD589854</xm:sqref>
        </x14:dataValidation>
        <x14:dataValidation type="list" allowBlank="1" showInputMessage="1" showErrorMessage="1" xr:uid="{9CD232A1-0432-41C7-A37F-AB88C2C24EAA}">
          <x14:formula1>
            <xm:f>項目!A4:$RDQ$589826</xm:f>
          </x14:formula1>
          <xm:sqref>RDZ589831:RDZ589854</xm:sqref>
        </x14:dataValidation>
        <x14:dataValidation type="list" allowBlank="1" showInputMessage="1" showErrorMessage="1" xr:uid="{0CDCF808-FF39-460C-B5DA-196D4DE64658}">
          <x14:formula1>
            <xm:f>項目!A4:$RNM$589826</xm:f>
          </x14:formula1>
          <xm:sqref>RNV589831:RNV589854</xm:sqref>
        </x14:dataValidation>
        <x14:dataValidation type="list" allowBlank="1" showInputMessage="1" showErrorMessage="1" xr:uid="{D816B9DF-9F8D-4CD8-9172-67E4E547E3AB}">
          <x14:formula1>
            <xm:f>項目!A4:$RXI$589826</xm:f>
          </x14:formula1>
          <xm:sqref>RXR589831:RXR589854</xm:sqref>
        </x14:dataValidation>
        <x14:dataValidation type="list" allowBlank="1" showInputMessage="1" showErrorMessage="1" xr:uid="{56757E8A-5B82-4C4D-BCF2-5CE5F244B15A}">
          <x14:formula1>
            <xm:f>項目!A4:$SHE$589826</xm:f>
          </x14:formula1>
          <xm:sqref>SHN589831:SHN589854</xm:sqref>
        </x14:dataValidation>
        <x14:dataValidation type="list" allowBlank="1" showInputMessage="1" showErrorMessage="1" xr:uid="{CBD7EE33-1812-4F4D-8732-BC4547686FB3}">
          <x14:formula1>
            <xm:f>項目!A4:$SRA$589826</xm:f>
          </x14:formula1>
          <xm:sqref>SRJ589831:SRJ589854</xm:sqref>
        </x14:dataValidation>
        <x14:dataValidation type="list" allowBlank="1" showInputMessage="1" showErrorMessage="1" xr:uid="{18B2CE2D-59A8-4FD2-B345-18B7BC151CA8}">
          <x14:formula1>
            <xm:f>項目!A4:$TAW$589826</xm:f>
          </x14:formula1>
          <xm:sqref>TBF589831:TBF589854</xm:sqref>
        </x14:dataValidation>
        <x14:dataValidation type="list" allowBlank="1" showInputMessage="1" showErrorMessage="1" xr:uid="{9EBED4B3-34A2-47DE-91FB-E6FBF5D3619E}">
          <x14:formula1>
            <xm:f>項目!A4:$TKS$589826</xm:f>
          </x14:formula1>
          <xm:sqref>TLB589831:TLB589854</xm:sqref>
        </x14:dataValidation>
        <x14:dataValidation type="list" allowBlank="1" showInputMessage="1" showErrorMessage="1" xr:uid="{E80E6A31-2707-46D0-96D6-718C8466EE63}">
          <x14:formula1>
            <xm:f>項目!A4:$TUO$589826</xm:f>
          </x14:formula1>
          <xm:sqref>TUX589831:TUX589854</xm:sqref>
        </x14:dataValidation>
        <x14:dataValidation type="list" allowBlank="1" showInputMessage="1" showErrorMessage="1" xr:uid="{F0ED97C6-0277-4B21-86C7-30CB2AD7BC4A}">
          <x14:formula1>
            <xm:f>項目!A4:$UEK$589826</xm:f>
          </x14:formula1>
          <xm:sqref>UET589831:UET589854</xm:sqref>
        </x14:dataValidation>
        <x14:dataValidation type="list" allowBlank="1" showInputMessage="1" showErrorMessage="1" xr:uid="{B97F397F-869A-4341-BCDB-8D7902C857DD}">
          <x14:formula1>
            <xm:f>項目!A4:$UOG$589826</xm:f>
          </x14:formula1>
          <xm:sqref>UOP589831:UOP589854</xm:sqref>
        </x14:dataValidation>
        <x14:dataValidation type="list" allowBlank="1" showInputMessage="1" showErrorMessage="1" xr:uid="{4BA45FD4-12A9-447C-A8A9-68157D74384B}">
          <x14:formula1>
            <xm:f>項目!A4:$UYC$589826</xm:f>
          </x14:formula1>
          <xm:sqref>UYL589831:UYL589854</xm:sqref>
        </x14:dataValidation>
        <x14:dataValidation type="list" allowBlank="1" showInputMessage="1" showErrorMessage="1" xr:uid="{8D570797-E206-41F6-9EC7-EF672E8D9667}">
          <x14:formula1>
            <xm:f>項目!A4:$VHY$589826</xm:f>
          </x14:formula1>
          <xm:sqref>VIH589831:VIH589854</xm:sqref>
        </x14:dataValidation>
        <x14:dataValidation type="list" allowBlank="1" showInputMessage="1" showErrorMessage="1" xr:uid="{6C676BAE-3852-43D7-9315-72AC66418E14}">
          <x14:formula1>
            <xm:f>項目!A4:$VRU$589826</xm:f>
          </x14:formula1>
          <xm:sqref>VSD589831:VSD589854</xm:sqref>
        </x14:dataValidation>
        <x14:dataValidation type="list" allowBlank="1" showInputMessage="1" showErrorMessage="1" xr:uid="{91F79DAF-0597-4C1F-B7C7-589557F45E33}">
          <x14:formula1>
            <xm:f>項目!A4:$WBQ$589826</xm:f>
          </x14:formula1>
          <xm:sqref>WBZ589831:WBZ589854</xm:sqref>
        </x14:dataValidation>
        <x14:dataValidation type="list" allowBlank="1" showInputMessage="1" showErrorMessage="1" xr:uid="{670E8547-62D7-4A4A-BAC9-E8C10CE97FB9}">
          <x14:formula1>
            <xm:f>項目!A4:$WLM$589826</xm:f>
          </x14:formula1>
          <xm:sqref>WLV589831:WLV589854</xm:sqref>
        </x14:dataValidation>
        <x14:dataValidation type="list" allowBlank="1" showInputMessage="1" showErrorMessage="1" xr:uid="{8C0CB1EF-756D-4A55-BDE4-22EB142EDDD7}">
          <x14:formula1>
            <xm:f>項目!A4:$WVI$589826</xm:f>
          </x14:formula1>
          <xm:sqref>WVR589831:WVR589854</xm:sqref>
        </x14:dataValidation>
        <x14:dataValidation type="list" allowBlank="1" showInputMessage="1" showErrorMessage="1" xr:uid="{464CB041-EF0D-4311-85E9-585BBCFB2ACD}">
          <x14:formula1>
            <xm:f>項目!A4:$IW$655362</xm:f>
          </x14:formula1>
          <xm:sqref>JF655367:JF655390</xm:sqref>
        </x14:dataValidation>
        <x14:dataValidation type="list" allowBlank="1" showInputMessage="1" showErrorMessage="1" xr:uid="{DBAD16D9-4FF6-4111-AC4B-633DCC137D02}">
          <x14:formula1>
            <xm:f>項目!A4:$SS$655362</xm:f>
          </x14:formula1>
          <xm:sqref>TB655367:TB655390</xm:sqref>
        </x14:dataValidation>
        <x14:dataValidation type="list" allowBlank="1" showInputMessage="1" showErrorMessage="1" xr:uid="{42ED5FB4-2BEF-410D-97E2-39A2794F3CB3}">
          <x14:formula1>
            <xm:f>項目!A4:$ACO$655362</xm:f>
          </x14:formula1>
          <xm:sqref>ACX655367:ACX655390</xm:sqref>
        </x14:dataValidation>
        <x14:dataValidation type="list" allowBlank="1" showInputMessage="1" showErrorMessage="1" xr:uid="{7C0E418A-3B46-467E-AB67-AAA1B013FC24}">
          <x14:formula1>
            <xm:f>項目!A4:$AMK$655362</xm:f>
          </x14:formula1>
          <xm:sqref>AMT655367:AMT655390</xm:sqref>
        </x14:dataValidation>
        <x14:dataValidation type="list" allowBlank="1" showInputMessage="1" showErrorMessage="1" xr:uid="{1E68E65B-EB13-4588-954E-E59C9CDD465C}">
          <x14:formula1>
            <xm:f>項目!A4:$AWG$655362</xm:f>
          </x14:formula1>
          <xm:sqref>AWP655367:AWP655390</xm:sqref>
        </x14:dataValidation>
        <x14:dataValidation type="list" allowBlank="1" showInputMessage="1" showErrorMessage="1" xr:uid="{610C4FAA-5562-40F8-BC7D-5BE2FC59FFBD}">
          <x14:formula1>
            <xm:f>項目!A4:$BGC$655362</xm:f>
          </x14:formula1>
          <xm:sqref>BGL655367:BGL655390</xm:sqref>
        </x14:dataValidation>
        <x14:dataValidation type="list" allowBlank="1" showInputMessage="1" showErrorMessage="1" xr:uid="{848DD8A6-168C-4B5C-A2BD-C3F9034CF448}">
          <x14:formula1>
            <xm:f>項目!A4:$BPY$655362</xm:f>
          </x14:formula1>
          <xm:sqref>BQH655367:BQH655390</xm:sqref>
        </x14:dataValidation>
        <x14:dataValidation type="list" allowBlank="1" showInputMessage="1" showErrorMessage="1" xr:uid="{C683124A-F87A-48D6-9A76-0E3F13F54382}">
          <x14:formula1>
            <xm:f>項目!A4:$BZU$655362</xm:f>
          </x14:formula1>
          <xm:sqref>CAD655367:CAD655390</xm:sqref>
        </x14:dataValidation>
        <x14:dataValidation type="list" allowBlank="1" showInputMessage="1" showErrorMessage="1" xr:uid="{3632D6F5-29B4-44EC-B872-A8BCFDD786BB}">
          <x14:formula1>
            <xm:f>項目!A4:$CJQ$655362</xm:f>
          </x14:formula1>
          <xm:sqref>CJZ655367:CJZ655390</xm:sqref>
        </x14:dataValidation>
        <x14:dataValidation type="list" allowBlank="1" showInputMessage="1" showErrorMessage="1" xr:uid="{B4B46C17-72CF-4D51-9AD8-6D3D953647FC}">
          <x14:formula1>
            <xm:f>項目!A4:$CTM$655362</xm:f>
          </x14:formula1>
          <xm:sqref>CTV655367:CTV655390</xm:sqref>
        </x14:dataValidation>
        <x14:dataValidation type="list" allowBlank="1" showInputMessage="1" showErrorMessage="1" xr:uid="{7E6D4D8C-6A67-475F-9814-FF17C5AF8003}">
          <x14:formula1>
            <xm:f>項目!A4:$DDI$655362</xm:f>
          </x14:formula1>
          <xm:sqref>DDR655367:DDR655390</xm:sqref>
        </x14:dataValidation>
        <x14:dataValidation type="list" allowBlank="1" showInputMessage="1" showErrorMessage="1" xr:uid="{324FC0EC-4F8E-44B4-B10C-1963A0FD49C9}">
          <x14:formula1>
            <xm:f>項目!A4:$DNE$655362</xm:f>
          </x14:formula1>
          <xm:sqref>DNN655367:DNN655390</xm:sqref>
        </x14:dataValidation>
        <x14:dataValidation type="list" allowBlank="1" showInputMessage="1" showErrorMessage="1" xr:uid="{9B965ABF-683E-40A6-AC82-BE47A541C84D}">
          <x14:formula1>
            <xm:f>項目!A4:$DXA$655362</xm:f>
          </x14:formula1>
          <xm:sqref>DXJ655367:DXJ655390</xm:sqref>
        </x14:dataValidation>
        <x14:dataValidation type="list" allowBlank="1" showInputMessage="1" showErrorMessage="1" xr:uid="{1AB08BCF-0027-4BB0-B829-9043474A14D1}">
          <x14:formula1>
            <xm:f>項目!A4:$EGW$655362</xm:f>
          </x14:formula1>
          <xm:sqref>EHF655367:EHF655390</xm:sqref>
        </x14:dataValidation>
        <x14:dataValidation type="list" allowBlank="1" showInputMessage="1" showErrorMessage="1" xr:uid="{A28D7535-4007-44D2-BFF7-1304EC33EE71}">
          <x14:formula1>
            <xm:f>項目!A4:$EQS$655362</xm:f>
          </x14:formula1>
          <xm:sqref>ERB655367:ERB655390</xm:sqref>
        </x14:dataValidation>
        <x14:dataValidation type="list" allowBlank="1" showInputMessage="1" showErrorMessage="1" xr:uid="{C861B5FF-1A26-49E1-AB0D-4BF5E489AE01}">
          <x14:formula1>
            <xm:f>項目!A4:$FAO$655362</xm:f>
          </x14:formula1>
          <xm:sqref>FAX655367:FAX655390</xm:sqref>
        </x14:dataValidation>
        <x14:dataValidation type="list" allowBlank="1" showInputMessage="1" showErrorMessage="1" xr:uid="{C6C9C4DA-8206-47FF-8CBA-5CB284C41186}">
          <x14:formula1>
            <xm:f>項目!A4:$FKK$655362</xm:f>
          </x14:formula1>
          <xm:sqref>FKT655367:FKT655390</xm:sqref>
        </x14:dataValidation>
        <x14:dataValidation type="list" allowBlank="1" showInputMessage="1" showErrorMessage="1" xr:uid="{70428D9C-9521-44A6-AC3D-0E0C0626F11C}">
          <x14:formula1>
            <xm:f>項目!A4:$FUG$655362</xm:f>
          </x14:formula1>
          <xm:sqref>FUP655367:FUP655390</xm:sqref>
        </x14:dataValidation>
        <x14:dataValidation type="list" allowBlank="1" showInputMessage="1" showErrorMessage="1" xr:uid="{FED59D44-A77A-4F35-B479-5F779838444B}">
          <x14:formula1>
            <xm:f>項目!A4:$GEC$655362</xm:f>
          </x14:formula1>
          <xm:sqref>GEL655367:GEL655390</xm:sqref>
        </x14:dataValidation>
        <x14:dataValidation type="list" allowBlank="1" showInputMessage="1" showErrorMessage="1" xr:uid="{A68949EE-D487-4A8B-80AA-C928FA268DA2}">
          <x14:formula1>
            <xm:f>項目!A4:$GNY$655362</xm:f>
          </x14:formula1>
          <xm:sqref>GOH655367:GOH655390</xm:sqref>
        </x14:dataValidation>
        <x14:dataValidation type="list" allowBlank="1" showInputMessage="1" showErrorMessage="1" xr:uid="{DD952E2A-A354-4666-B71D-CAD55BF0834A}">
          <x14:formula1>
            <xm:f>項目!A4:$GXU$655362</xm:f>
          </x14:formula1>
          <xm:sqref>GYD655367:GYD655390</xm:sqref>
        </x14:dataValidation>
        <x14:dataValidation type="list" allowBlank="1" showInputMessage="1" showErrorMessage="1" xr:uid="{E198C298-E4BF-46F8-8E55-5FBACF8F7240}">
          <x14:formula1>
            <xm:f>項目!A4:$HHQ$655362</xm:f>
          </x14:formula1>
          <xm:sqref>HHZ655367:HHZ655390</xm:sqref>
        </x14:dataValidation>
        <x14:dataValidation type="list" allowBlank="1" showInputMessage="1" showErrorMessage="1" xr:uid="{821CC03D-8A75-4E07-9A44-78D24FF5D383}">
          <x14:formula1>
            <xm:f>項目!A4:$HRM$655362</xm:f>
          </x14:formula1>
          <xm:sqref>HRV655367:HRV655390</xm:sqref>
        </x14:dataValidation>
        <x14:dataValidation type="list" allowBlank="1" showInputMessage="1" showErrorMessage="1" xr:uid="{AE6309C8-3B44-49C6-B3A2-AF20CEC93077}">
          <x14:formula1>
            <xm:f>項目!A4:$IBI$655362</xm:f>
          </x14:formula1>
          <xm:sqref>IBR655367:IBR655390</xm:sqref>
        </x14:dataValidation>
        <x14:dataValidation type="list" allowBlank="1" showInputMessage="1" showErrorMessage="1" xr:uid="{F034D057-C620-4876-8347-48DC467416EE}">
          <x14:formula1>
            <xm:f>項目!A4:$ILE$655362</xm:f>
          </x14:formula1>
          <xm:sqref>ILN655367:ILN655390</xm:sqref>
        </x14:dataValidation>
        <x14:dataValidation type="list" allowBlank="1" showInputMessage="1" showErrorMessage="1" xr:uid="{3AEEC6C8-B411-4F21-A975-6EE7E5760E92}">
          <x14:formula1>
            <xm:f>項目!A4:$IVA$655362</xm:f>
          </x14:formula1>
          <xm:sqref>IVJ655367:IVJ655390</xm:sqref>
        </x14:dataValidation>
        <x14:dataValidation type="list" allowBlank="1" showInputMessage="1" showErrorMessage="1" xr:uid="{AD79AD7F-4093-4BA1-8AEF-98D2C0A4FA29}">
          <x14:formula1>
            <xm:f>項目!A4:$JEW$655362</xm:f>
          </x14:formula1>
          <xm:sqref>JFF655367:JFF655390</xm:sqref>
        </x14:dataValidation>
        <x14:dataValidation type="list" allowBlank="1" showInputMessage="1" showErrorMessage="1" xr:uid="{F067194C-900D-44C5-B95B-8E6436E33593}">
          <x14:formula1>
            <xm:f>項目!A4:$JOS$655362</xm:f>
          </x14:formula1>
          <xm:sqref>JPB655367:JPB655390</xm:sqref>
        </x14:dataValidation>
        <x14:dataValidation type="list" allowBlank="1" showInputMessage="1" showErrorMessage="1" xr:uid="{93D7C81F-56EB-42CF-AA46-3B147F859BB1}">
          <x14:formula1>
            <xm:f>項目!A4:$JYO$655362</xm:f>
          </x14:formula1>
          <xm:sqref>JYX655367:JYX655390</xm:sqref>
        </x14:dataValidation>
        <x14:dataValidation type="list" allowBlank="1" showInputMessage="1" showErrorMessage="1" xr:uid="{F1D038E6-38EC-44E8-B1A1-C5CADAE41959}">
          <x14:formula1>
            <xm:f>項目!A4:$KIK$655362</xm:f>
          </x14:formula1>
          <xm:sqref>KIT655367:KIT655390</xm:sqref>
        </x14:dataValidation>
        <x14:dataValidation type="list" allowBlank="1" showInputMessage="1" showErrorMessage="1" xr:uid="{20CF5FFD-E2A6-4494-9670-B93C07D926FA}">
          <x14:formula1>
            <xm:f>項目!A4:$KSG$655362</xm:f>
          </x14:formula1>
          <xm:sqref>KSP655367:KSP655390</xm:sqref>
        </x14:dataValidation>
        <x14:dataValidation type="list" allowBlank="1" showInputMessage="1" showErrorMessage="1" xr:uid="{68E4D206-24D5-429D-80D7-6355370154B2}">
          <x14:formula1>
            <xm:f>項目!A4:$LCC$655362</xm:f>
          </x14:formula1>
          <xm:sqref>LCL655367:LCL655390</xm:sqref>
        </x14:dataValidation>
        <x14:dataValidation type="list" allowBlank="1" showInputMessage="1" showErrorMessage="1" xr:uid="{ED980CCF-E7B7-41B2-9685-FB77BA38A28E}">
          <x14:formula1>
            <xm:f>項目!A4:$LLY$655362</xm:f>
          </x14:formula1>
          <xm:sqref>LMH655367:LMH655390</xm:sqref>
        </x14:dataValidation>
        <x14:dataValidation type="list" allowBlank="1" showInputMessage="1" showErrorMessage="1" xr:uid="{20612750-ABCA-42F2-89CE-91F29D4FA35D}">
          <x14:formula1>
            <xm:f>項目!A4:$LVU$655362</xm:f>
          </x14:formula1>
          <xm:sqref>LWD655367:LWD655390</xm:sqref>
        </x14:dataValidation>
        <x14:dataValidation type="list" allowBlank="1" showInputMessage="1" showErrorMessage="1" xr:uid="{3CE2C2B7-DD70-48C4-A5C0-EEA0BE808D29}">
          <x14:formula1>
            <xm:f>項目!A4:$MFQ$655362</xm:f>
          </x14:formula1>
          <xm:sqref>MFZ655367:MFZ655390</xm:sqref>
        </x14:dataValidation>
        <x14:dataValidation type="list" allowBlank="1" showInputMessage="1" showErrorMessage="1" xr:uid="{B62583CC-61AB-463C-806F-F882A55C8CD4}">
          <x14:formula1>
            <xm:f>項目!A4:$MPM$655362</xm:f>
          </x14:formula1>
          <xm:sqref>MPV655367:MPV655390</xm:sqref>
        </x14:dataValidation>
        <x14:dataValidation type="list" allowBlank="1" showInputMessage="1" showErrorMessage="1" xr:uid="{B17D1635-A482-49A2-B88D-51F73DC207B0}">
          <x14:formula1>
            <xm:f>項目!A4:$MZI$655362</xm:f>
          </x14:formula1>
          <xm:sqref>MZR655367:MZR655390</xm:sqref>
        </x14:dataValidation>
        <x14:dataValidation type="list" allowBlank="1" showInputMessage="1" showErrorMessage="1" xr:uid="{396A505E-CC8E-4D28-BF22-335C8C425EA1}">
          <x14:formula1>
            <xm:f>項目!A4:$NJE$655362</xm:f>
          </x14:formula1>
          <xm:sqref>NJN655367:NJN655390</xm:sqref>
        </x14:dataValidation>
        <x14:dataValidation type="list" allowBlank="1" showInputMessage="1" showErrorMessage="1" xr:uid="{42BB5A38-DAE7-4828-B609-C17FA78F522A}">
          <x14:formula1>
            <xm:f>項目!A4:$NTA$655362</xm:f>
          </x14:formula1>
          <xm:sqref>NTJ655367:NTJ655390</xm:sqref>
        </x14:dataValidation>
        <x14:dataValidation type="list" allowBlank="1" showInputMessage="1" showErrorMessage="1" xr:uid="{FB19655B-A41A-4AE8-98A2-FD87AF627DEE}">
          <x14:formula1>
            <xm:f>項目!A4:$OCW$655362</xm:f>
          </x14:formula1>
          <xm:sqref>ODF655367:ODF655390</xm:sqref>
        </x14:dataValidation>
        <x14:dataValidation type="list" allowBlank="1" showInputMessage="1" showErrorMessage="1" xr:uid="{29658341-4919-4A7D-A329-4FDEC98F4390}">
          <x14:formula1>
            <xm:f>項目!A4:$OMS$655362</xm:f>
          </x14:formula1>
          <xm:sqref>ONB655367:ONB655390</xm:sqref>
        </x14:dataValidation>
        <x14:dataValidation type="list" allowBlank="1" showInputMessage="1" showErrorMessage="1" xr:uid="{5B60B8E8-B0AE-4CB4-9547-48AECA334B1E}">
          <x14:formula1>
            <xm:f>項目!A4:$OWO$655362</xm:f>
          </x14:formula1>
          <xm:sqref>OWX655367:OWX655390</xm:sqref>
        </x14:dataValidation>
        <x14:dataValidation type="list" allowBlank="1" showInputMessage="1" showErrorMessage="1" xr:uid="{24322C83-E13E-4832-AD35-1DEE702DB28D}">
          <x14:formula1>
            <xm:f>項目!A4:$PGK$655362</xm:f>
          </x14:formula1>
          <xm:sqref>PGT655367:PGT655390</xm:sqref>
        </x14:dataValidation>
        <x14:dataValidation type="list" allowBlank="1" showInputMessage="1" showErrorMessage="1" xr:uid="{1204D149-DB84-4587-9769-669FA662F3D3}">
          <x14:formula1>
            <xm:f>項目!A4:$PQG$655362</xm:f>
          </x14:formula1>
          <xm:sqref>PQP655367:PQP655390</xm:sqref>
        </x14:dataValidation>
        <x14:dataValidation type="list" allowBlank="1" showInputMessage="1" showErrorMessage="1" xr:uid="{D92A5767-143B-4DA1-A8DC-47A1B5555BEB}">
          <x14:formula1>
            <xm:f>項目!A4:$QAC$655362</xm:f>
          </x14:formula1>
          <xm:sqref>QAL655367:QAL655390</xm:sqref>
        </x14:dataValidation>
        <x14:dataValidation type="list" allowBlank="1" showInputMessage="1" showErrorMessage="1" xr:uid="{503074C3-6AE4-4FC5-95CC-E86E9461754D}">
          <x14:formula1>
            <xm:f>項目!A4:$QJY$655362</xm:f>
          </x14:formula1>
          <xm:sqref>QKH655367:QKH655390</xm:sqref>
        </x14:dataValidation>
        <x14:dataValidation type="list" allowBlank="1" showInputMessage="1" showErrorMessage="1" xr:uid="{00848CCB-E498-4D86-84BA-B629555FBC90}">
          <x14:formula1>
            <xm:f>項目!A4:$QTU$655362</xm:f>
          </x14:formula1>
          <xm:sqref>QUD655367:QUD655390</xm:sqref>
        </x14:dataValidation>
        <x14:dataValidation type="list" allowBlank="1" showInputMessage="1" showErrorMessage="1" xr:uid="{4C442515-EECA-4778-8241-1C98B77D7588}">
          <x14:formula1>
            <xm:f>項目!A4:$RDQ$655362</xm:f>
          </x14:formula1>
          <xm:sqref>RDZ655367:RDZ655390</xm:sqref>
        </x14:dataValidation>
        <x14:dataValidation type="list" allowBlank="1" showInputMessage="1" showErrorMessage="1" xr:uid="{24E30D69-5A67-4DBA-9365-AFA51A934971}">
          <x14:formula1>
            <xm:f>項目!A4:$RNM$655362</xm:f>
          </x14:formula1>
          <xm:sqref>RNV655367:RNV655390</xm:sqref>
        </x14:dataValidation>
        <x14:dataValidation type="list" allowBlank="1" showInputMessage="1" showErrorMessage="1" xr:uid="{184E31B9-ED18-4560-9E7B-B70A2D9126F4}">
          <x14:formula1>
            <xm:f>項目!A4:$RXI$655362</xm:f>
          </x14:formula1>
          <xm:sqref>RXR655367:RXR655390</xm:sqref>
        </x14:dataValidation>
        <x14:dataValidation type="list" allowBlank="1" showInputMessage="1" showErrorMessage="1" xr:uid="{CCF9A2FC-11E9-4300-8546-6B580C9140A5}">
          <x14:formula1>
            <xm:f>項目!A4:$SHE$655362</xm:f>
          </x14:formula1>
          <xm:sqref>SHN655367:SHN655390</xm:sqref>
        </x14:dataValidation>
        <x14:dataValidation type="list" allowBlank="1" showInputMessage="1" showErrorMessage="1" xr:uid="{7CDB9520-C983-40E9-9051-5C08EA83ED19}">
          <x14:formula1>
            <xm:f>項目!A4:$SRA$655362</xm:f>
          </x14:formula1>
          <xm:sqref>SRJ655367:SRJ655390</xm:sqref>
        </x14:dataValidation>
        <x14:dataValidation type="list" allowBlank="1" showInputMessage="1" showErrorMessage="1" xr:uid="{B269370F-FAB2-47A4-969A-4C369DF75C26}">
          <x14:formula1>
            <xm:f>項目!A4:$TAW$655362</xm:f>
          </x14:formula1>
          <xm:sqref>TBF655367:TBF655390</xm:sqref>
        </x14:dataValidation>
        <x14:dataValidation type="list" allowBlank="1" showInputMessage="1" showErrorMessage="1" xr:uid="{C63198FE-E948-464E-BD77-3647E79EE443}">
          <x14:formula1>
            <xm:f>項目!A4:$TKS$655362</xm:f>
          </x14:formula1>
          <xm:sqref>TLB655367:TLB655390</xm:sqref>
        </x14:dataValidation>
        <x14:dataValidation type="list" allowBlank="1" showInputMessage="1" showErrorMessage="1" xr:uid="{6B09D10C-59DC-4F7F-AA58-1E23E3DCF04E}">
          <x14:formula1>
            <xm:f>項目!A4:$TUO$655362</xm:f>
          </x14:formula1>
          <xm:sqref>TUX655367:TUX655390</xm:sqref>
        </x14:dataValidation>
        <x14:dataValidation type="list" allowBlank="1" showInputMessage="1" showErrorMessage="1" xr:uid="{B3D59EFD-2FDF-4BA2-BDB5-A2F0381BBD17}">
          <x14:formula1>
            <xm:f>項目!A4:$UEK$655362</xm:f>
          </x14:formula1>
          <xm:sqref>UET655367:UET655390</xm:sqref>
        </x14:dataValidation>
        <x14:dataValidation type="list" allowBlank="1" showInputMessage="1" showErrorMessage="1" xr:uid="{82830D46-746D-418E-8BED-03BA016D3D04}">
          <x14:formula1>
            <xm:f>項目!A4:$UOG$655362</xm:f>
          </x14:formula1>
          <xm:sqref>UOP655367:UOP655390</xm:sqref>
        </x14:dataValidation>
        <x14:dataValidation type="list" allowBlank="1" showInputMessage="1" showErrorMessage="1" xr:uid="{5CC03BD6-4A8E-4ECB-B328-1A8AA9B34DA5}">
          <x14:formula1>
            <xm:f>項目!A4:$UYC$655362</xm:f>
          </x14:formula1>
          <xm:sqref>UYL655367:UYL655390</xm:sqref>
        </x14:dataValidation>
        <x14:dataValidation type="list" allowBlank="1" showInputMessage="1" showErrorMessage="1" xr:uid="{42802CED-228F-4309-8390-24B3F52EE1A8}">
          <x14:formula1>
            <xm:f>項目!A4:$VHY$655362</xm:f>
          </x14:formula1>
          <xm:sqref>VIH655367:VIH655390</xm:sqref>
        </x14:dataValidation>
        <x14:dataValidation type="list" allowBlank="1" showInputMessage="1" showErrorMessage="1" xr:uid="{453BED96-E5C4-4B46-90E2-A75CBB4112A6}">
          <x14:formula1>
            <xm:f>項目!A4:$VRU$655362</xm:f>
          </x14:formula1>
          <xm:sqref>VSD655367:VSD655390</xm:sqref>
        </x14:dataValidation>
        <x14:dataValidation type="list" allowBlank="1" showInputMessage="1" showErrorMessage="1" xr:uid="{7CC69E4F-3690-4B9D-A99D-EF3343DBF46C}">
          <x14:formula1>
            <xm:f>項目!A4:$WBQ$655362</xm:f>
          </x14:formula1>
          <xm:sqref>WBZ655367:WBZ655390</xm:sqref>
        </x14:dataValidation>
        <x14:dataValidation type="list" allowBlank="1" showInputMessage="1" showErrorMessage="1" xr:uid="{B1A38D7B-7515-4190-A6E3-89BE4787C4F3}">
          <x14:formula1>
            <xm:f>項目!A4:$WLM$655362</xm:f>
          </x14:formula1>
          <xm:sqref>WLV655367:WLV655390</xm:sqref>
        </x14:dataValidation>
        <x14:dataValidation type="list" allowBlank="1" showInputMessage="1" showErrorMessage="1" xr:uid="{6FB1D502-625B-43B4-96E2-0F55725453B9}">
          <x14:formula1>
            <xm:f>項目!A4:$WVI$655362</xm:f>
          </x14:formula1>
          <xm:sqref>WVR655367:WVR655390</xm:sqref>
        </x14:dataValidation>
        <x14:dataValidation type="list" allowBlank="1" showInputMessage="1" showErrorMessage="1" xr:uid="{981564EF-2C45-447D-A9D8-11AFF7E879D7}">
          <x14:formula1>
            <xm:f>項目!A4:$IW$720898</xm:f>
          </x14:formula1>
          <xm:sqref>JF720903:JF720926</xm:sqref>
        </x14:dataValidation>
        <x14:dataValidation type="list" allowBlank="1" showInputMessage="1" showErrorMessage="1" xr:uid="{E3D20215-D3C6-44B2-985E-6B9CF559A0BD}">
          <x14:formula1>
            <xm:f>項目!A4:$SS$720898</xm:f>
          </x14:formula1>
          <xm:sqref>TB720903:TB720926</xm:sqref>
        </x14:dataValidation>
        <x14:dataValidation type="list" allowBlank="1" showInputMessage="1" showErrorMessage="1" xr:uid="{7EF023B1-D8B9-4B92-925C-F6AB730D81AD}">
          <x14:formula1>
            <xm:f>項目!A4:$ACO$720898</xm:f>
          </x14:formula1>
          <xm:sqref>ACX720903:ACX720926</xm:sqref>
        </x14:dataValidation>
        <x14:dataValidation type="list" allowBlank="1" showInputMessage="1" showErrorMessage="1" xr:uid="{FF4BF77D-7ABE-4957-8389-DB7E2DD166A6}">
          <x14:formula1>
            <xm:f>項目!A4:$AMK$720898</xm:f>
          </x14:formula1>
          <xm:sqref>AMT720903:AMT720926</xm:sqref>
        </x14:dataValidation>
        <x14:dataValidation type="list" allowBlank="1" showInputMessage="1" showErrorMessage="1" xr:uid="{3F154C4C-AECE-4159-A45D-0EB484897B2B}">
          <x14:formula1>
            <xm:f>項目!A4:$AWG$720898</xm:f>
          </x14:formula1>
          <xm:sqref>AWP720903:AWP720926</xm:sqref>
        </x14:dataValidation>
        <x14:dataValidation type="list" allowBlank="1" showInputMessage="1" showErrorMessage="1" xr:uid="{C2B0E90F-3346-4F13-9F93-9F09AC44D8EC}">
          <x14:formula1>
            <xm:f>項目!A4:$BGC$720898</xm:f>
          </x14:formula1>
          <xm:sqref>BGL720903:BGL720926</xm:sqref>
        </x14:dataValidation>
        <x14:dataValidation type="list" allowBlank="1" showInputMessage="1" showErrorMessage="1" xr:uid="{87C8627F-1489-409C-9A19-EAA29CD79BFF}">
          <x14:formula1>
            <xm:f>項目!A4:$BPY$720898</xm:f>
          </x14:formula1>
          <xm:sqref>BQH720903:BQH720926</xm:sqref>
        </x14:dataValidation>
        <x14:dataValidation type="list" allowBlank="1" showInputMessage="1" showErrorMessage="1" xr:uid="{9496058B-9A1F-4F32-8B95-96501033D108}">
          <x14:formula1>
            <xm:f>項目!A4:$BZU$720898</xm:f>
          </x14:formula1>
          <xm:sqref>CAD720903:CAD720926</xm:sqref>
        </x14:dataValidation>
        <x14:dataValidation type="list" allowBlank="1" showInputMessage="1" showErrorMessage="1" xr:uid="{8132E8F2-B784-444A-862A-1F9D57B0C693}">
          <x14:formula1>
            <xm:f>項目!A4:$CJQ$720898</xm:f>
          </x14:formula1>
          <xm:sqref>CJZ720903:CJZ720926</xm:sqref>
        </x14:dataValidation>
        <x14:dataValidation type="list" allowBlank="1" showInputMessage="1" showErrorMessage="1" xr:uid="{224CE9D8-363B-42C5-A7DF-F252E338DCEE}">
          <x14:formula1>
            <xm:f>項目!A4:$CTM$720898</xm:f>
          </x14:formula1>
          <xm:sqref>CTV720903:CTV720926</xm:sqref>
        </x14:dataValidation>
        <x14:dataValidation type="list" allowBlank="1" showInputMessage="1" showErrorMessage="1" xr:uid="{81E2080D-BD7D-4071-A361-09A152267639}">
          <x14:formula1>
            <xm:f>項目!A4:$DDI$720898</xm:f>
          </x14:formula1>
          <xm:sqref>DDR720903:DDR720926</xm:sqref>
        </x14:dataValidation>
        <x14:dataValidation type="list" allowBlank="1" showInputMessage="1" showErrorMessage="1" xr:uid="{C0D39F30-7817-4E95-B080-80BD78DF29D8}">
          <x14:formula1>
            <xm:f>項目!A4:$DNE$720898</xm:f>
          </x14:formula1>
          <xm:sqref>DNN720903:DNN720926</xm:sqref>
        </x14:dataValidation>
        <x14:dataValidation type="list" allowBlank="1" showInputMessage="1" showErrorMessage="1" xr:uid="{A41E62E5-D566-496B-8C3D-0B716730B7EE}">
          <x14:formula1>
            <xm:f>項目!A4:$DXA$720898</xm:f>
          </x14:formula1>
          <xm:sqref>DXJ720903:DXJ720926</xm:sqref>
        </x14:dataValidation>
        <x14:dataValidation type="list" allowBlank="1" showInputMessage="1" showErrorMessage="1" xr:uid="{0FBB1CE9-00FF-423B-BC7A-AB58B2340093}">
          <x14:formula1>
            <xm:f>項目!A4:$EGW$720898</xm:f>
          </x14:formula1>
          <xm:sqref>EHF720903:EHF720926</xm:sqref>
        </x14:dataValidation>
        <x14:dataValidation type="list" allowBlank="1" showInputMessage="1" showErrorMessage="1" xr:uid="{A562A706-514F-40AB-9D73-C30BFCCCE9B6}">
          <x14:formula1>
            <xm:f>項目!A4:$EQS$720898</xm:f>
          </x14:formula1>
          <xm:sqref>ERB720903:ERB720926</xm:sqref>
        </x14:dataValidation>
        <x14:dataValidation type="list" allowBlank="1" showInputMessage="1" showErrorMessage="1" xr:uid="{F429A9E6-DB3F-4296-BCC3-7E0E1E94A29D}">
          <x14:formula1>
            <xm:f>項目!A4:$FAO$720898</xm:f>
          </x14:formula1>
          <xm:sqref>FAX720903:FAX720926</xm:sqref>
        </x14:dataValidation>
        <x14:dataValidation type="list" allowBlank="1" showInputMessage="1" showErrorMessage="1" xr:uid="{58710994-DD7A-44F2-A49C-778D4948C2AE}">
          <x14:formula1>
            <xm:f>項目!A4:$FKK$720898</xm:f>
          </x14:formula1>
          <xm:sqref>FKT720903:FKT720926</xm:sqref>
        </x14:dataValidation>
        <x14:dataValidation type="list" allowBlank="1" showInputMessage="1" showErrorMessage="1" xr:uid="{1C0BB9CF-F73B-4679-B127-32F0D8BF3362}">
          <x14:formula1>
            <xm:f>項目!A4:$FUG$720898</xm:f>
          </x14:formula1>
          <xm:sqref>FUP720903:FUP720926</xm:sqref>
        </x14:dataValidation>
        <x14:dataValidation type="list" allowBlank="1" showInputMessage="1" showErrorMessage="1" xr:uid="{C570DB86-A9B7-4A95-A4C4-DF0F73A4D96C}">
          <x14:formula1>
            <xm:f>項目!A4:$GEC$720898</xm:f>
          </x14:formula1>
          <xm:sqref>GEL720903:GEL720926</xm:sqref>
        </x14:dataValidation>
        <x14:dataValidation type="list" allowBlank="1" showInputMessage="1" showErrorMessage="1" xr:uid="{8E43F82F-9F44-4A0E-8CA5-6EB21F86749E}">
          <x14:formula1>
            <xm:f>項目!A4:$GNY$720898</xm:f>
          </x14:formula1>
          <xm:sqref>GOH720903:GOH720926</xm:sqref>
        </x14:dataValidation>
        <x14:dataValidation type="list" allowBlank="1" showInputMessage="1" showErrorMessage="1" xr:uid="{49976602-6A9B-4ED2-ACB9-25F2B8F5245E}">
          <x14:formula1>
            <xm:f>項目!A4:$GXU$720898</xm:f>
          </x14:formula1>
          <xm:sqref>GYD720903:GYD720926</xm:sqref>
        </x14:dataValidation>
        <x14:dataValidation type="list" allowBlank="1" showInputMessage="1" showErrorMessage="1" xr:uid="{E65B1B7C-6C09-4C86-9BAE-6B76D40187B2}">
          <x14:formula1>
            <xm:f>項目!A4:$HHQ$720898</xm:f>
          </x14:formula1>
          <xm:sqref>HHZ720903:HHZ720926</xm:sqref>
        </x14:dataValidation>
        <x14:dataValidation type="list" allowBlank="1" showInputMessage="1" showErrorMessage="1" xr:uid="{7A78E1A4-528F-4935-81F1-ED8E7E845F9C}">
          <x14:formula1>
            <xm:f>項目!A4:$HRM$720898</xm:f>
          </x14:formula1>
          <xm:sqref>HRV720903:HRV720926</xm:sqref>
        </x14:dataValidation>
        <x14:dataValidation type="list" allowBlank="1" showInputMessage="1" showErrorMessage="1" xr:uid="{12E5DE8C-F5BF-4996-9C45-3D605676FA62}">
          <x14:formula1>
            <xm:f>項目!A4:$IBI$720898</xm:f>
          </x14:formula1>
          <xm:sqref>IBR720903:IBR720926</xm:sqref>
        </x14:dataValidation>
        <x14:dataValidation type="list" allowBlank="1" showInputMessage="1" showErrorMessage="1" xr:uid="{9BA966D2-9EFC-499C-B5AA-6EC888EE0297}">
          <x14:formula1>
            <xm:f>項目!A4:$ILE$720898</xm:f>
          </x14:formula1>
          <xm:sqref>ILN720903:ILN720926</xm:sqref>
        </x14:dataValidation>
        <x14:dataValidation type="list" allowBlank="1" showInputMessage="1" showErrorMessage="1" xr:uid="{1EC09F40-40CA-4843-802E-E7699C0B222C}">
          <x14:formula1>
            <xm:f>項目!A4:$IVA$720898</xm:f>
          </x14:formula1>
          <xm:sqref>IVJ720903:IVJ720926</xm:sqref>
        </x14:dataValidation>
        <x14:dataValidation type="list" allowBlank="1" showInputMessage="1" showErrorMessage="1" xr:uid="{D3A8AD32-D865-42CB-B829-972CB9ED29E2}">
          <x14:formula1>
            <xm:f>項目!A4:$JEW$720898</xm:f>
          </x14:formula1>
          <xm:sqref>JFF720903:JFF720926</xm:sqref>
        </x14:dataValidation>
        <x14:dataValidation type="list" allowBlank="1" showInputMessage="1" showErrorMessage="1" xr:uid="{DDCFA6D1-7EE1-4EA8-A1A7-DF3D30643BE4}">
          <x14:formula1>
            <xm:f>項目!A4:$JOS$720898</xm:f>
          </x14:formula1>
          <xm:sqref>JPB720903:JPB720926</xm:sqref>
        </x14:dataValidation>
        <x14:dataValidation type="list" allowBlank="1" showInputMessage="1" showErrorMessage="1" xr:uid="{95328925-73D3-410F-B971-8BC88EDAA5D5}">
          <x14:formula1>
            <xm:f>項目!A4:$JYO$720898</xm:f>
          </x14:formula1>
          <xm:sqref>JYX720903:JYX720926</xm:sqref>
        </x14:dataValidation>
        <x14:dataValidation type="list" allowBlank="1" showInputMessage="1" showErrorMessage="1" xr:uid="{CF0ED6C6-FE6C-4443-93FC-C3BBAFC60A61}">
          <x14:formula1>
            <xm:f>項目!A4:$KIK$720898</xm:f>
          </x14:formula1>
          <xm:sqref>KIT720903:KIT720926</xm:sqref>
        </x14:dataValidation>
        <x14:dataValidation type="list" allowBlank="1" showInputMessage="1" showErrorMessage="1" xr:uid="{4AF44E8E-489B-4C8A-9A71-05B936048467}">
          <x14:formula1>
            <xm:f>項目!A4:$KSG$720898</xm:f>
          </x14:formula1>
          <xm:sqref>KSP720903:KSP720926</xm:sqref>
        </x14:dataValidation>
        <x14:dataValidation type="list" allowBlank="1" showInputMessage="1" showErrorMessage="1" xr:uid="{7FC9702E-D3AE-426F-AE20-1422DE4EF368}">
          <x14:formula1>
            <xm:f>項目!A4:$LCC$720898</xm:f>
          </x14:formula1>
          <xm:sqref>LCL720903:LCL720926</xm:sqref>
        </x14:dataValidation>
        <x14:dataValidation type="list" allowBlank="1" showInputMessage="1" showErrorMessage="1" xr:uid="{5A313A4F-36A5-46B8-B8F4-8F312D9CBB53}">
          <x14:formula1>
            <xm:f>項目!A4:$LLY$720898</xm:f>
          </x14:formula1>
          <xm:sqref>LMH720903:LMH720926</xm:sqref>
        </x14:dataValidation>
        <x14:dataValidation type="list" allowBlank="1" showInputMessage="1" showErrorMessage="1" xr:uid="{2206CD20-5BCD-4C35-B389-7D480C0C5919}">
          <x14:formula1>
            <xm:f>項目!A4:$LVU$720898</xm:f>
          </x14:formula1>
          <xm:sqref>LWD720903:LWD720926</xm:sqref>
        </x14:dataValidation>
        <x14:dataValidation type="list" allowBlank="1" showInputMessage="1" showErrorMessage="1" xr:uid="{418471BC-A2DB-4792-9D0A-6469AB557F08}">
          <x14:formula1>
            <xm:f>項目!A4:$MFQ$720898</xm:f>
          </x14:formula1>
          <xm:sqref>MFZ720903:MFZ720926</xm:sqref>
        </x14:dataValidation>
        <x14:dataValidation type="list" allowBlank="1" showInputMessage="1" showErrorMessage="1" xr:uid="{075DCAF3-E67C-4689-8A2A-4BD6497CE2B4}">
          <x14:formula1>
            <xm:f>項目!A4:$MPM$720898</xm:f>
          </x14:formula1>
          <xm:sqref>MPV720903:MPV720926</xm:sqref>
        </x14:dataValidation>
        <x14:dataValidation type="list" allowBlank="1" showInputMessage="1" showErrorMessage="1" xr:uid="{057C5414-B047-42F2-9711-3AD31E39BD0A}">
          <x14:formula1>
            <xm:f>項目!A4:$MZI$720898</xm:f>
          </x14:formula1>
          <xm:sqref>MZR720903:MZR720926</xm:sqref>
        </x14:dataValidation>
        <x14:dataValidation type="list" allowBlank="1" showInputMessage="1" showErrorMessage="1" xr:uid="{B16D1C3A-6BC6-4036-AA39-3D642EF1BCA5}">
          <x14:formula1>
            <xm:f>項目!A4:$NJE$720898</xm:f>
          </x14:formula1>
          <xm:sqref>NJN720903:NJN720926</xm:sqref>
        </x14:dataValidation>
        <x14:dataValidation type="list" allowBlank="1" showInputMessage="1" showErrorMessage="1" xr:uid="{5B108683-8798-40E4-AF55-6AE6D2B8BE14}">
          <x14:formula1>
            <xm:f>項目!A4:$NTA$720898</xm:f>
          </x14:formula1>
          <xm:sqref>NTJ720903:NTJ720926</xm:sqref>
        </x14:dataValidation>
        <x14:dataValidation type="list" allowBlank="1" showInputMessage="1" showErrorMessage="1" xr:uid="{E6763E53-DFE4-4692-A5FB-85D5A1F412E4}">
          <x14:formula1>
            <xm:f>項目!A4:$OCW$720898</xm:f>
          </x14:formula1>
          <xm:sqref>ODF720903:ODF720926</xm:sqref>
        </x14:dataValidation>
        <x14:dataValidation type="list" allowBlank="1" showInputMessage="1" showErrorMessage="1" xr:uid="{A518AB1C-34BC-475A-BDF7-D70CA68BC5C1}">
          <x14:formula1>
            <xm:f>項目!A4:$OMS$720898</xm:f>
          </x14:formula1>
          <xm:sqref>ONB720903:ONB720926</xm:sqref>
        </x14:dataValidation>
        <x14:dataValidation type="list" allowBlank="1" showInputMessage="1" showErrorMessage="1" xr:uid="{FE1D6CFF-A899-4426-9955-3AE0273BBFAE}">
          <x14:formula1>
            <xm:f>項目!A4:$OWO$720898</xm:f>
          </x14:formula1>
          <xm:sqref>OWX720903:OWX720926</xm:sqref>
        </x14:dataValidation>
        <x14:dataValidation type="list" allowBlank="1" showInputMessage="1" showErrorMessage="1" xr:uid="{C8636CBB-1DD8-4035-9829-0EB0E2F9710C}">
          <x14:formula1>
            <xm:f>項目!A4:$PGK$720898</xm:f>
          </x14:formula1>
          <xm:sqref>PGT720903:PGT720926</xm:sqref>
        </x14:dataValidation>
        <x14:dataValidation type="list" allowBlank="1" showInputMessage="1" showErrorMessage="1" xr:uid="{9A5E7440-59C2-404A-8B36-CF021AD3F108}">
          <x14:formula1>
            <xm:f>項目!A4:$PQG$720898</xm:f>
          </x14:formula1>
          <xm:sqref>PQP720903:PQP720926</xm:sqref>
        </x14:dataValidation>
        <x14:dataValidation type="list" allowBlank="1" showInputMessage="1" showErrorMessage="1" xr:uid="{97E51F88-7DCD-4810-BFBA-894CC02E0D14}">
          <x14:formula1>
            <xm:f>項目!A4:$QAC$720898</xm:f>
          </x14:formula1>
          <xm:sqref>QAL720903:QAL720926</xm:sqref>
        </x14:dataValidation>
        <x14:dataValidation type="list" allowBlank="1" showInputMessage="1" showErrorMessage="1" xr:uid="{B7DC73D0-B11C-4ADE-A9F7-4D8DC9BA7698}">
          <x14:formula1>
            <xm:f>項目!A4:$QJY$720898</xm:f>
          </x14:formula1>
          <xm:sqref>QKH720903:QKH720926</xm:sqref>
        </x14:dataValidation>
        <x14:dataValidation type="list" allowBlank="1" showInputMessage="1" showErrorMessage="1" xr:uid="{BE24F516-B315-4EE2-8CB6-562B52080241}">
          <x14:formula1>
            <xm:f>項目!A4:$QTU$720898</xm:f>
          </x14:formula1>
          <xm:sqref>QUD720903:QUD720926</xm:sqref>
        </x14:dataValidation>
        <x14:dataValidation type="list" allowBlank="1" showInputMessage="1" showErrorMessage="1" xr:uid="{F5B88B35-3CDA-4748-81C3-24AA57998003}">
          <x14:formula1>
            <xm:f>項目!A4:$RDQ$720898</xm:f>
          </x14:formula1>
          <xm:sqref>RDZ720903:RDZ720926</xm:sqref>
        </x14:dataValidation>
        <x14:dataValidation type="list" allowBlank="1" showInputMessage="1" showErrorMessage="1" xr:uid="{781AF124-3C04-424F-A078-873D62A0CE7E}">
          <x14:formula1>
            <xm:f>項目!A4:$RNM$720898</xm:f>
          </x14:formula1>
          <xm:sqref>RNV720903:RNV720926</xm:sqref>
        </x14:dataValidation>
        <x14:dataValidation type="list" allowBlank="1" showInputMessage="1" showErrorMessage="1" xr:uid="{908408D9-414C-403E-BA4A-D5657D49FAA8}">
          <x14:formula1>
            <xm:f>項目!A4:$RXI$720898</xm:f>
          </x14:formula1>
          <xm:sqref>RXR720903:RXR720926</xm:sqref>
        </x14:dataValidation>
        <x14:dataValidation type="list" allowBlank="1" showInputMessage="1" showErrorMessage="1" xr:uid="{F4B4D9B8-8752-40D5-923F-1909932ED263}">
          <x14:formula1>
            <xm:f>項目!A4:$SHE$720898</xm:f>
          </x14:formula1>
          <xm:sqref>SHN720903:SHN720926</xm:sqref>
        </x14:dataValidation>
        <x14:dataValidation type="list" allowBlank="1" showInputMessage="1" showErrorMessage="1" xr:uid="{AB7B53D0-73DF-4020-9FD8-A8D30A1B5A2F}">
          <x14:formula1>
            <xm:f>項目!A4:$SRA$720898</xm:f>
          </x14:formula1>
          <xm:sqref>SRJ720903:SRJ720926</xm:sqref>
        </x14:dataValidation>
        <x14:dataValidation type="list" allowBlank="1" showInputMessage="1" showErrorMessage="1" xr:uid="{98911153-4285-4ECE-83FB-CE57D11A9B93}">
          <x14:formula1>
            <xm:f>項目!A4:$TAW$720898</xm:f>
          </x14:formula1>
          <xm:sqref>TBF720903:TBF720926</xm:sqref>
        </x14:dataValidation>
        <x14:dataValidation type="list" allowBlank="1" showInputMessage="1" showErrorMessage="1" xr:uid="{18CFBE24-4E22-43CE-9F08-0BCDE2113B7E}">
          <x14:formula1>
            <xm:f>項目!A4:$TKS$720898</xm:f>
          </x14:formula1>
          <xm:sqref>TLB720903:TLB720926</xm:sqref>
        </x14:dataValidation>
        <x14:dataValidation type="list" allowBlank="1" showInputMessage="1" showErrorMessage="1" xr:uid="{A0A8DB82-857B-4D0B-BEC6-CED49777F82D}">
          <x14:formula1>
            <xm:f>項目!A4:$TUO$720898</xm:f>
          </x14:formula1>
          <xm:sqref>TUX720903:TUX720926</xm:sqref>
        </x14:dataValidation>
        <x14:dataValidation type="list" allowBlank="1" showInputMessage="1" showErrorMessage="1" xr:uid="{F482DBAB-28AC-45ED-BDF1-0F3591182A6A}">
          <x14:formula1>
            <xm:f>項目!A4:$UEK$720898</xm:f>
          </x14:formula1>
          <xm:sqref>UET720903:UET720926</xm:sqref>
        </x14:dataValidation>
        <x14:dataValidation type="list" allowBlank="1" showInputMessage="1" showErrorMessage="1" xr:uid="{47C1788A-34FA-4D90-B6DA-22028CB502F0}">
          <x14:formula1>
            <xm:f>項目!A4:$UOG$720898</xm:f>
          </x14:formula1>
          <xm:sqref>UOP720903:UOP720926</xm:sqref>
        </x14:dataValidation>
        <x14:dataValidation type="list" allowBlank="1" showInputMessage="1" showErrorMessage="1" xr:uid="{BDFDF0AC-0993-4BBC-A8CF-13BED95760B2}">
          <x14:formula1>
            <xm:f>項目!A4:$UYC$720898</xm:f>
          </x14:formula1>
          <xm:sqref>UYL720903:UYL720926</xm:sqref>
        </x14:dataValidation>
        <x14:dataValidation type="list" allowBlank="1" showInputMessage="1" showErrorMessage="1" xr:uid="{583A875A-8166-4BBC-9CEB-4C7081BD4F9F}">
          <x14:formula1>
            <xm:f>項目!A4:$VHY$720898</xm:f>
          </x14:formula1>
          <xm:sqref>VIH720903:VIH720926</xm:sqref>
        </x14:dataValidation>
        <x14:dataValidation type="list" allowBlank="1" showInputMessage="1" showErrorMessage="1" xr:uid="{963B4871-38C9-4522-98F0-6BE226ECBF9A}">
          <x14:formula1>
            <xm:f>項目!A4:$VRU$720898</xm:f>
          </x14:formula1>
          <xm:sqref>VSD720903:VSD720926</xm:sqref>
        </x14:dataValidation>
        <x14:dataValidation type="list" allowBlank="1" showInputMessage="1" showErrorMessage="1" xr:uid="{1FBA9F61-9885-4B65-885A-40B920B0686D}">
          <x14:formula1>
            <xm:f>項目!A4:$WBQ$720898</xm:f>
          </x14:formula1>
          <xm:sqref>WBZ720903:WBZ720926</xm:sqref>
        </x14:dataValidation>
        <x14:dataValidation type="list" allowBlank="1" showInputMessage="1" showErrorMessage="1" xr:uid="{F759F061-5852-435C-9BDB-799A7FF9D12E}">
          <x14:formula1>
            <xm:f>項目!A4:$WLM$720898</xm:f>
          </x14:formula1>
          <xm:sqref>WLV720903:WLV720926</xm:sqref>
        </x14:dataValidation>
        <x14:dataValidation type="list" allowBlank="1" showInputMessage="1" showErrorMessage="1" xr:uid="{DF2FD188-55A7-4392-8AD5-8AA0953ECBE1}">
          <x14:formula1>
            <xm:f>項目!A4:$WVI$720898</xm:f>
          </x14:formula1>
          <xm:sqref>WVR720903:WVR720926</xm:sqref>
        </x14:dataValidation>
        <x14:dataValidation type="list" allowBlank="1" showInputMessage="1" showErrorMessage="1" xr:uid="{09D94553-BF28-44A7-A42C-97611191182A}">
          <x14:formula1>
            <xm:f>項目!A4:$IW$786434</xm:f>
          </x14:formula1>
          <xm:sqref>JF786439:JF786462</xm:sqref>
        </x14:dataValidation>
        <x14:dataValidation type="list" allowBlank="1" showInputMessage="1" showErrorMessage="1" xr:uid="{2E0E6D44-FC38-4809-AFF2-2741A6A426A6}">
          <x14:formula1>
            <xm:f>項目!A4:$SS$786434</xm:f>
          </x14:formula1>
          <xm:sqref>TB786439:TB786462</xm:sqref>
        </x14:dataValidation>
        <x14:dataValidation type="list" allowBlank="1" showInputMessage="1" showErrorMessage="1" xr:uid="{8D05391B-8117-4B85-8049-949D6B6D4C3E}">
          <x14:formula1>
            <xm:f>項目!A4:$ACO$786434</xm:f>
          </x14:formula1>
          <xm:sqref>ACX786439:ACX786462</xm:sqref>
        </x14:dataValidation>
        <x14:dataValidation type="list" allowBlank="1" showInputMessage="1" showErrorMessage="1" xr:uid="{FDFDF6DA-066D-41F7-914E-4435E9D89A82}">
          <x14:formula1>
            <xm:f>項目!A4:$AMK$786434</xm:f>
          </x14:formula1>
          <xm:sqref>AMT786439:AMT786462</xm:sqref>
        </x14:dataValidation>
        <x14:dataValidation type="list" allowBlank="1" showInputMessage="1" showErrorMessage="1" xr:uid="{5F0AA134-D2CA-4F7C-81AA-0BDA59AFC5FB}">
          <x14:formula1>
            <xm:f>項目!A4:$AWG$786434</xm:f>
          </x14:formula1>
          <xm:sqref>AWP786439:AWP786462</xm:sqref>
        </x14:dataValidation>
        <x14:dataValidation type="list" allowBlank="1" showInputMessage="1" showErrorMessage="1" xr:uid="{6208FFFE-FA7E-4175-A38F-11CE8CB3C9D0}">
          <x14:formula1>
            <xm:f>項目!A4:$BGC$786434</xm:f>
          </x14:formula1>
          <xm:sqref>BGL786439:BGL786462</xm:sqref>
        </x14:dataValidation>
        <x14:dataValidation type="list" allowBlank="1" showInputMessage="1" showErrorMessage="1" xr:uid="{B59C82DC-A157-49DC-8F37-DA0E29C774C1}">
          <x14:formula1>
            <xm:f>項目!A4:$BPY$786434</xm:f>
          </x14:formula1>
          <xm:sqref>BQH786439:BQH786462</xm:sqref>
        </x14:dataValidation>
        <x14:dataValidation type="list" allowBlank="1" showInputMessage="1" showErrorMessage="1" xr:uid="{3A00FD39-8D7A-4F4B-847B-F024E0BD537C}">
          <x14:formula1>
            <xm:f>項目!A4:$BZU$786434</xm:f>
          </x14:formula1>
          <xm:sqref>CAD786439:CAD786462</xm:sqref>
        </x14:dataValidation>
        <x14:dataValidation type="list" allowBlank="1" showInputMessage="1" showErrorMessage="1" xr:uid="{DCF10E33-3492-431C-804B-C0A9631BE07B}">
          <x14:formula1>
            <xm:f>項目!A4:$CJQ$786434</xm:f>
          </x14:formula1>
          <xm:sqref>CJZ786439:CJZ786462</xm:sqref>
        </x14:dataValidation>
        <x14:dataValidation type="list" allowBlank="1" showInputMessage="1" showErrorMessage="1" xr:uid="{54CA0D92-9B2F-47FF-9D77-6CDEEB8A729C}">
          <x14:formula1>
            <xm:f>項目!A4:$CTM$786434</xm:f>
          </x14:formula1>
          <xm:sqref>CTV786439:CTV786462</xm:sqref>
        </x14:dataValidation>
        <x14:dataValidation type="list" allowBlank="1" showInputMessage="1" showErrorMessage="1" xr:uid="{4C5748D8-C2C5-45B1-8D49-1BF01938C851}">
          <x14:formula1>
            <xm:f>項目!A4:$DDI$786434</xm:f>
          </x14:formula1>
          <xm:sqref>DDR786439:DDR786462</xm:sqref>
        </x14:dataValidation>
        <x14:dataValidation type="list" allowBlank="1" showInputMessage="1" showErrorMessage="1" xr:uid="{0075AB47-4CF5-4683-B53A-DA6292177BC3}">
          <x14:formula1>
            <xm:f>項目!A4:$DNE$786434</xm:f>
          </x14:formula1>
          <xm:sqref>DNN786439:DNN786462</xm:sqref>
        </x14:dataValidation>
        <x14:dataValidation type="list" allowBlank="1" showInputMessage="1" showErrorMessage="1" xr:uid="{0BFA22B2-8E93-401D-BFA2-C30B9DDA7CCA}">
          <x14:formula1>
            <xm:f>項目!A4:$DXA$786434</xm:f>
          </x14:formula1>
          <xm:sqref>DXJ786439:DXJ786462</xm:sqref>
        </x14:dataValidation>
        <x14:dataValidation type="list" allowBlank="1" showInputMessage="1" showErrorMessage="1" xr:uid="{531AEC63-E9D7-4012-914C-17B3293F962D}">
          <x14:formula1>
            <xm:f>項目!A4:$EGW$786434</xm:f>
          </x14:formula1>
          <xm:sqref>EHF786439:EHF786462</xm:sqref>
        </x14:dataValidation>
        <x14:dataValidation type="list" allowBlank="1" showInputMessage="1" showErrorMessage="1" xr:uid="{7F3A0B32-EA0F-4368-80B1-025C2CE35AC7}">
          <x14:formula1>
            <xm:f>項目!A4:$EQS$786434</xm:f>
          </x14:formula1>
          <xm:sqref>ERB786439:ERB786462</xm:sqref>
        </x14:dataValidation>
        <x14:dataValidation type="list" allowBlank="1" showInputMessage="1" showErrorMessage="1" xr:uid="{F8C3B04B-186D-4CBC-8312-86E7897C0E7D}">
          <x14:formula1>
            <xm:f>項目!A4:$FAO$786434</xm:f>
          </x14:formula1>
          <xm:sqref>FAX786439:FAX786462</xm:sqref>
        </x14:dataValidation>
        <x14:dataValidation type="list" allowBlank="1" showInputMessage="1" showErrorMessage="1" xr:uid="{90474241-FEF1-4608-ABDC-78E0910BD72B}">
          <x14:formula1>
            <xm:f>項目!A4:$FKK$786434</xm:f>
          </x14:formula1>
          <xm:sqref>FKT786439:FKT786462</xm:sqref>
        </x14:dataValidation>
        <x14:dataValidation type="list" allowBlank="1" showInputMessage="1" showErrorMessage="1" xr:uid="{EC47A04B-FF12-4BC5-B4DA-0B65330A762F}">
          <x14:formula1>
            <xm:f>項目!A4:$FUG$786434</xm:f>
          </x14:formula1>
          <xm:sqref>FUP786439:FUP786462</xm:sqref>
        </x14:dataValidation>
        <x14:dataValidation type="list" allowBlank="1" showInputMessage="1" showErrorMessage="1" xr:uid="{40E8B2D2-F6AA-49B2-B17F-E0692213D0E2}">
          <x14:formula1>
            <xm:f>項目!A4:$GEC$786434</xm:f>
          </x14:formula1>
          <xm:sqref>GEL786439:GEL786462</xm:sqref>
        </x14:dataValidation>
        <x14:dataValidation type="list" allowBlank="1" showInputMessage="1" showErrorMessage="1" xr:uid="{AA79B82F-81DE-45C9-98A3-BD2628740356}">
          <x14:formula1>
            <xm:f>項目!A4:$GNY$786434</xm:f>
          </x14:formula1>
          <xm:sqref>GOH786439:GOH786462</xm:sqref>
        </x14:dataValidation>
        <x14:dataValidation type="list" allowBlank="1" showInputMessage="1" showErrorMessage="1" xr:uid="{A14DEE70-D7F7-4E1F-9FCE-83C94C49BFF3}">
          <x14:formula1>
            <xm:f>項目!A4:$GXU$786434</xm:f>
          </x14:formula1>
          <xm:sqref>GYD786439:GYD786462</xm:sqref>
        </x14:dataValidation>
        <x14:dataValidation type="list" allowBlank="1" showInputMessage="1" showErrorMessage="1" xr:uid="{E60879EF-0CF8-4793-8BF3-DA5FB13FA0A3}">
          <x14:formula1>
            <xm:f>項目!A4:$HHQ$786434</xm:f>
          </x14:formula1>
          <xm:sqref>HHZ786439:HHZ786462</xm:sqref>
        </x14:dataValidation>
        <x14:dataValidation type="list" allowBlank="1" showInputMessage="1" showErrorMessage="1" xr:uid="{91767F5A-1C49-4DE9-A756-AA91FAFE6780}">
          <x14:formula1>
            <xm:f>項目!A4:$HRM$786434</xm:f>
          </x14:formula1>
          <xm:sqref>HRV786439:HRV786462</xm:sqref>
        </x14:dataValidation>
        <x14:dataValidation type="list" allowBlank="1" showInputMessage="1" showErrorMessage="1" xr:uid="{A5CF516F-6A85-4FE3-9102-E87057CA2B4B}">
          <x14:formula1>
            <xm:f>項目!A4:$IBI$786434</xm:f>
          </x14:formula1>
          <xm:sqref>IBR786439:IBR786462</xm:sqref>
        </x14:dataValidation>
        <x14:dataValidation type="list" allowBlank="1" showInputMessage="1" showErrorMessage="1" xr:uid="{0FA890FF-EF59-4FAC-B024-A485C6542347}">
          <x14:formula1>
            <xm:f>項目!A4:$ILE$786434</xm:f>
          </x14:formula1>
          <xm:sqref>ILN786439:ILN786462</xm:sqref>
        </x14:dataValidation>
        <x14:dataValidation type="list" allowBlank="1" showInputMessage="1" showErrorMessage="1" xr:uid="{ABE4F75B-0117-4EE4-AFCB-1FBACEE50E14}">
          <x14:formula1>
            <xm:f>項目!A4:$IVA$786434</xm:f>
          </x14:formula1>
          <xm:sqref>IVJ786439:IVJ786462</xm:sqref>
        </x14:dataValidation>
        <x14:dataValidation type="list" allowBlank="1" showInputMessage="1" showErrorMessage="1" xr:uid="{AD878E25-024D-4118-810D-429F3EC757C8}">
          <x14:formula1>
            <xm:f>項目!A4:$JEW$786434</xm:f>
          </x14:formula1>
          <xm:sqref>JFF786439:JFF786462</xm:sqref>
        </x14:dataValidation>
        <x14:dataValidation type="list" allowBlank="1" showInputMessage="1" showErrorMessage="1" xr:uid="{77B4D5B4-9FB0-4703-BADA-6D772D6C4E37}">
          <x14:formula1>
            <xm:f>項目!A4:$JOS$786434</xm:f>
          </x14:formula1>
          <xm:sqref>JPB786439:JPB786462</xm:sqref>
        </x14:dataValidation>
        <x14:dataValidation type="list" allowBlank="1" showInputMessage="1" showErrorMessage="1" xr:uid="{1C54DE0A-C6A6-4FF3-8DF8-BC60E16BCDA4}">
          <x14:formula1>
            <xm:f>項目!A4:$JYO$786434</xm:f>
          </x14:formula1>
          <xm:sqref>JYX786439:JYX786462</xm:sqref>
        </x14:dataValidation>
        <x14:dataValidation type="list" allowBlank="1" showInputMessage="1" showErrorMessage="1" xr:uid="{375AF800-68DC-4EB1-9D78-202D68987F80}">
          <x14:formula1>
            <xm:f>項目!A4:$KIK$786434</xm:f>
          </x14:formula1>
          <xm:sqref>KIT786439:KIT786462</xm:sqref>
        </x14:dataValidation>
        <x14:dataValidation type="list" allowBlank="1" showInputMessage="1" showErrorMessage="1" xr:uid="{E7BE5D80-8082-4A39-822E-30C63B0390D5}">
          <x14:formula1>
            <xm:f>項目!A4:$KSG$786434</xm:f>
          </x14:formula1>
          <xm:sqref>KSP786439:KSP786462</xm:sqref>
        </x14:dataValidation>
        <x14:dataValidation type="list" allowBlank="1" showInputMessage="1" showErrorMessage="1" xr:uid="{1386F897-6AB1-4D50-AC02-37F7279E32ED}">
          <x14:formula1>
            <xm:f>項目!A4:$LCC$786434</xm:f>
          </x14:formula1>
          <xm:sqref>LCL786439:LCL786462</xm:sqref>
        </x14:dataValidation>
        <x14:dataValidation type="list" allowBlank="1" showInputMessage="1" showErrorMessage="1" xr:uid="{0563456C-CD3C-400D-98F5-09367A3334C7}">
          <x14:formula1>
            <xm:f>項目!A4:$LLY$786434</xm:f>
          </x14:formula1>
          <xm:sqref>LMH786439:LMH786462</xm:sqref>
        </x14:dataValidation>
        <x14:dataValidation type="list" allowBlank="1" showInputMessage="1" showErrorMessage="1" xr:uid="{BDEE968D-F4C6-4B5D-8AB5-9E620A24B48C}">
          <x14:formula1>
            <xm:f>項目!A4:$LVU$786434</xm:f>
          </x14:formula1>
          <xm:sqref>LWD786439:LWD786462</xm:sqref>
        </x14:dataValidation>
        <x14:dataValidation type="list" allowBlank="1" showInputMessage="1" showErrorMessage="1" xr:uid="{8033CD27-E170-468B-AF17-0894304207B8}">
          <x14:formula1>
            <xm:f>項目!A4:$MFQ$786434</xm:f>
          </x14:formula1>
          <xm:sqref>MFZ786439:MFZ786462</xm:sqref>
        </x14:dataValidation>
        <x14:dataValidation type="list" allowBlank="1" showInputMessage="1" showErrorMessage="1" xr:uid="{64A14B95-F2E3-47C6-B3C5-F9857B053052}">
          <x14:formula1>
            <xm:f>項目!A4:$MPM$786434</xm:f>
          </x14:formula1>
          <xm:sqref>MPV786439:MPV786462</xm:sqref>
        </x14:dataValidation>
        <x14:dataValidation type="list" allowBlank="1" showInputMessage="1" showErrorMessage="1" xr:uid="{7249F00F-2B7B-4E33-ACDD-2D1C3AE7D334}">
          <x14:formula1>
            <xm:f>項目!A4:$MZI$786434</xm:f>
          </x14:formula1>
          <xm:sqref>MZR786439:MZR786462</xm:sqref>
        </x14:dataValidation>
        <x14:dataValidation type="list" allowBlank="1" showInputMessage="1" showErrorMessage="1" xr:uid="{5F80CA6A-67FF-415F-BD5D-5066AAD22D85}">
          <x14:formula1>
            <xm:f>項目!A4:$NJE$786434</xm:f>
          </x14:formula1>
          <xm:sqref>NJN786439:NJN786462</xm:sqref>
        </x14:dataValidation>
        <x14:dataValidation type="list" allowBlank="1" showInputMessage="1" showErrorMessage="1" xr:uid="{B08298D6-6137-4708-94B6-F72AE0412C01}">
          <x14:formula1>
            <xm:f>項目!A4:$NTA$786434</xm:f>
          </x14:formula1>
          <xm:sqref>NTJ786439:NTJ786462</xm:sqref>
        </x14:dataValidation>
        <x14:dataValidation type="list" allowBlank="1" showInputMessage="1" showErrorMessage="1" xr:uid="{1966F299-C2C2-429B-A573-0BA29C6EFF88}">
          <x14:formula1>
            <xm:f>項目!A4:$OCW$786434</xm:f>
          </x14:formula1>
          <xm:sqref>ODF786439:ODF786462</xm:sqref>
        </x14:dataValidation>
        <x14:dataValidation type="list" allowBlank="1" showInputMessage="1" showErrorMessage="1" xr:uid="{6815DBCB-B008-4955-A030-7691EACD6408}">
          <x14:formula1>
            <xm:f>項目!A4:$OMS$786434</xm:f>
          </x14:formula1>
          <xm:sqref>ONB786439:ONB786462</xm:sqref>
        </x14:dataValidation>
        <x14:dataValidation type="list" allowBlank="1" showInputMessage="1" showErrorMessage="1" xr:uid="{12865159-ADD3-4AC3-8B74-E53FB0815A7E}">
          <x14:formula1>
            <xm:f>項目!A4:$OWO$786434</xm:f>
          </x14:formula1>
          <xm:sqref>OWX786439:OWX786462</xm:sqref>
        </x14:dataValidation>
        <x14:dataValidation type="list" allowBlank="1" showInputMessage="1" showErrorMessage="1" xr:uid="{548B86EA-E1C6-4DF2-AD80-1095B6D0CCF8}">
          <x14:formula1>
            <xm:f>項目!A4:$PGK$786434</xm:f>
          </x14:formula1>
          <xm:sqref>PGT786439:PGT786462</xm:sqref>
        </x14:dataValidation>
        <x14:dataValidation type="list" allowBlank="1" showInputMessage="1" showErrorMessage="1" xr:uid="{E6285B03-E1C4-43BE-A443-054D8B369C40}">
          <x14:formula1>
            <xm:f>項目!A4:$PQG$786434</xm:f>
          </x14:formula1>
          <xm:sqref>PQP786439:PQP786462</xm:sqref>
        </x14:dataValidation>
        <x14:dataValidation type="list" allowBlank="1" showInputMessage="1" showErrorMessage="1" xr:uid="{4E736388-CF62-4538-A94D-B3AE33C91D41}">
          <x14:formula1>
            <xm:f>項目!A4:$QAC$786434</xm:f>
          </x14:formula1>
          <xm:sqref>QAL786439:QAL786462</xm:sqref>
        </x14:dataValidation>
        <x14:dataValidation type="list" allowBlank="1" showInputMessage="1" showErrorMessage="1" xr:uid="{85A9255B-C93C-44DE-A281-6B7FE5933F69}">
          <x14:formula1>
            <xm:f>項目!A4:$QJY$786434</xm:f>
          </x14:formula1>
          <xm:sqref>QKH786439:QKH786462</xm:sqref>
        </x14:dataValidation>
        <x14:dataValidation type="list" allowBlank="1" showInputMessage="1" showErrorMessage="1" xr:uid="{0884A674-EB75-4147-8166-1B1D21FAD745}">
          <x14:formula1>
            <xm:f>項目!A4:$QTU$786434</xm:f>
          </x14:formula1>
          <xm:sqref>QUD786439:QUD786462</xm:sqref>
        </x14:dataValidation>
        <x14:dataValidation type="list" allowBlank="1" showInputMessage="1" showErrorMessage="1" xr:uid="{42E8544B-D351-4F66-965F-BEAE4BFE54E6}">
          <x14:formula1>
            <xm:f>項目!A4:$RDQ$786434</xm:f>
          </x14:formula1>
          <xm:sqref>RDZ786439:RDZ786462</xm:sqref>
        </x14:dataValidation>
        <x14:dataValidation type="list" allowBlank="1" showInputMessage="1" showErrorMessage="1" xr:uid="{DE410F9D-9BFF-4D97-951A-6208298EE91A}">
          <x14:formula1>
            <xm:f>項目!A4:$RNM$786434</xm:f>
          </x14:formula1>
          <xm:sqref>RNV786439:RNV786462</xm:sqref>
        </x14:dataValidation>
        <x14:dataValidation type="list" allowBlank="1" showInputMessage="1" showErrorMessage="1" xr:uid="{0C267900-89FE-4D80-93F0-72559025CDFE}">
          <x14:formula1>
            <xm:f>項目!A4:$RXI$786434</xm:f>
          </x14:formula1>
          <xm:sqref>RXR786439:RXR786462</xm:sqref>
        </x14:dataValidation>
        <x14:dataValidation type="list" allowBlank="1" showInputMessage="1" showErrorMessage="1" xr:uid="{527202DB-5D4F-4ADD-97F4-2BD2B4BF505E}">
          <x14:formula1>
            <xm:f>項目!A4:$SHE$786434</xm:f>
          </x14:formula1>
          <xm:sqref>SHN786439:SHN786462</xm:sqref>
        </x14:dataValidation>
        <x14:dataValidation type="list" allowBlank="1" showInputMessage="1" showErrorMessage="1" xr:uid="{16215A29-7464-4025-B73E-98F4028C551D}">
          <x14:formula1>
            <xm:f>項目!A4:$SRA$786434</xm:f>
          </x14:formula1>
          <xm:sqref>SRJ786439:SRJ786462</xm:sqref>
        </x14:dataValidation>
        <x14:dataValidation type="list" allowBlank="1" showInputMessage="1" showErrorMessage="1" xr:uid="{60500D34-B208-4402-B026-5ABDAEC71015}">
          <x14:formula1>
            <xm:f>項目!A4:$TAW$786434</xm:f>
          </x14:formula1>
          <xm:sqref>TBF786439:TBF786462</xm:sqref>
        </x14:dataValidation>
        <x14:dataValidation type="list" allowBlank="1" showInputMessage="1" showErrorMessage="1" xr:uid="{254F1315-3C46-4B37-B5F6-B1A88C13D03D}">
          <x14:formula1>
            <xm:f>項目!A4:$TKS$786434</xm:f>
          </x14:formula1>
          <xm:sqref>TLB786439:TLB786462</xm:sqref>
        </x14:dataValidation>
        <x14:dataValidation type="list" allowBlank="1" showInputMessage="1" showErrorMessage="1" xr:uid="{EEDB156F-1FD0-436A-A428-25AF32628ACD}">
          <x14:formula1>
            <xm:f>項目!A4:$TUO$786434</xm:f>
          </x14:formula1>
          <xm:sqref>TUX786439:TUX786462</xm:sqref>
        </x14:dataValidation>
        <x14:dataValidation type="list" allowBlank="1" showInputMessage="1" showErrorMessage="1" xr:uid="{125DABC7-DF0C-40B0-9B02-D317458DCD91}">
          <x14:formula1>
            <xm:f>項目!A4:$UEK$786434</xm:f>
          </x14:formula1>
          <xm:sqref>UET786439:UET786462</xm:sqref>
        </x14:dataValidation>
        <x14:dataValidation type="list" allowBlank="1" showInputMessage="1" showErrorMessage="1" xr:uid="{E74A84EA-34B0-499E-A952-4F893BB83150}">
          <x14:formula1>
            <xm:f>項目!A4:$UOG$786434</xm:f>
          </x14:formula1>
          <xm:sqref>UOP786439:UOP786462</xm:sqref>
        </x14:dataValidation>
        <x14:dataValidation type="list" allowBlank="1" showInputMessage="1" showErrorMessage="1" xr:uid="{EF63CFCF-14CD-49C4-B417-65EA253A7F78}">
          <x14:formula1>
            <xm:f>項目!A4:$UYC$786434</xm:f>
          </x14:formula1>
          <xm:sqref>UYL786439:UYL786462</xm:sqref>
        </x14:dataValidation>
        <x14:dataValidation type="list" allowBlank="1" showInputMessage="1" showErrorMessage="1" xr:uid="{C5C05978-03CD-4965-AC23-0968D55EB6B8}">
          <x14:formula1>
            <xm:f>項目!A4:$VHY$786434</xm:f>
          </x14:formula1>
          <xm:sqref>VIH786439:VIH786462</xm:sqref>
        </x14:dataValidation>
        <x14:dataValidation type="list" allowBlank="1" showInputMessage="1" showErrorMessage="1" xr:uid="{51EAAE45-9452-49B5-812B-BD8708684AFD}">
          <x14:formula1>
            <xm:f>項目!A4:$VRU$786434</xm:f>
          </x14:formula1>
          <xm:sqref>VSD786439:VSD786462</xm:sqref>
        </x14:dataValidation>
        <x14:dataValidation type="list" allowBlank="1" showInputMessage="1" showErrorMessage="1" xr:uid="{D38526A2-24D6-43D4-B5A4-0CEDEF903F09}">
          <x14:formula1>
            <xm:f>項目!A4:$WBQ$786434</xm:f>
          </x14:formula1>
          <xm:sqref>WBZ786439:WBZ786462</xm:sqref>
        </x14:dataValidation>
        <x14:dataValidation type="list" allowBlank="1" showInputMessage="1" showErrorMessage="1" xr:uid="{53867E32-C2D7-4A27-BB16-AB614085BD41}">
          <x14:formula1>
            <xm:f>項目!A4:$WLM$786434</xm:f>
          </x14:formula1>
          <xm:sqref>WLV786439:WLV786462</xm:sqref>
        </x14:dataValidation>
        <x14:dataValidation type="list" allowBlank="1" showInputMessage="1" showErrorMessage="1" xr:uid="{1D956E7E-0B67-4CB6-A72B-0D1551A93746}">
          <x14:formula1>
            <xm:f>項目!A4:$WVI$786434</xm:f>
          </x14:formula1>
          <xm:sqref>WVR786439:WVR786462</xm:sqref>
        </x14:dataValidation>
        <x14:dataValidation type="list" allowBlank="1" showInputMessage="1" showErrorMessage="1" xr:uid="{133F6B20-3449-4DBE-AF32-F4FFBE44DBB4}">
          <x14:formula1>
            <xm:f>項目!A4:$IW$851970</xm:f>
          </x14:formula1>
          <xm:sqref>JF851975:JF851998</xm:sqref>
        </x14:dataValidation>
        <x14:dataValidation type="list" allowBlank="1" showInputMessage="1" showErrorMessage="1" xr:uid="{9744627F-351E-493B-AD35-5991E8B33A87}">
          <x14:formula1>
            <xm:f>項目!A4:$SS$851970</xm:f>
          </x14:formula1>
          <xm:sqref>TB851975:TB851998</xm:sqref>
        </x14:dataValidation>
        <x14:dataValidation type="list" allowBlank="1" showInputMessage="1" showErrorMessage="1" xr:uid="{418E7841-C496-4E20-A736-37F6A63DF17F}">
          <x14:formula1>
            <xm:f>項目!A4:$ACO$851970</xm:f>
          </x14:formula1>
          <xm:sqref>ACX851975:ACX851998</xm:sqref>
        </x14:dataValidation>
        <x14:dataValidation type="list" allowBlank="1" showInputMessage="1" showErrorMessage="1" xr:uid="{58328FC1-38A9-4794-9AFF-E12C725AF538}">
          <x14:formula1>
            <xm:f>項目!A4:$AMK$851970</xm:f>
          </x14:formula1>
          <xm:sqref>AMT851975:AMT851998</xm:sqref>
        </x14:dataValidation>
        <x14:dataValidation type="list" allowBlank="1" showInputMessage="1" showErrorMessage="1" xr:uid="{57CC4B6C-6662-4855-97F0-619F3F668543}">
          <x14:formula1>
            <xm:f>項目!A4:$AWG$851970</xm:f>
          </x14:formula1>
          <xm:sqref>AWP851975:AWP851998</xm:sqref>
        </x14:dataValidation>
        <x14:dataValidation type="list" allowBlank="1" showInputMessage="1" showErrorMessage="1" xr:uid="{E4A34289-6318-48E2-B00C-D7BD144AD5D1}">
          <x14:formula1>
            <xm:f>項目!A4:$BGC$851970</xm:f>
          </x14:formula1>
          <xm:sqref>BGL851975:BGL851998</xm:sqref>
        </x14:dataValidation>
        <x14:dataValidation type="list" allowBlank="1" showInputMessage="1" showErrorMessage="1" xr:uid="{86A01E04-A681-4EBF-A037-41A0858392BB}">
          <x14:formula1>
            <xm:f>項目!A4:$BPY$851970</xm:f>
          </x14:formula1>
          <xm:sqref>BQH851975:BQH851998</xm:sqref>
        </x14:dataValidation>
        <x14:dataValidation type="list" allowBlank="1" showInputMessage="1" showErrorMessage="1" xr:uid="{5A1A0FB8-A606-4BE2-8ED9-4C41E4B927EC}">
          <x14:formula1>
            <xm:f>項目!A4:$BZU$851970</xm:f>
          </x14:formula1>
          <xm:sqref>CAD851975:CAD851998</xm:sqref>
        </x14:dataValidation>
        <x14:dataValidation type="list" allowBlank="1" showInputMessage="1" showErrorMessage="1" xr:uid="{5887726E-609C-491D-82E1-BFB474EB56BA}">
          <x14:formula1>
            <xm:f>項目!A4:$CJQ$851970</xm:f>
          </x14:formula1>
          <xm:sqref>CJZ851975:CJZ851998</xm:sqref>
        </x14:dataValidation>
        <x14:dataValidation type="list" allowBlank="1" showInputMessage="1" showErrorMessage="1" xr:uid="{B59ABBB2-9138-4ECE-B54C-883ACF02FD30}">
          <x14:formula1>
            <xm:f>項目!A4:$CTM$851970</xm:f>
          </x14:formula1>
          <xm:sqref>CTV851975:CTV851998</xm:sqref>
        </x14:dataValidation>
        <x14:dataValidation type="list" allowBlank="1" showInputMessage="1" showErrorMessage="1" xr:uid="{69790EFA-1348-43C1-BE7A-C65AAE12536A}">
          <x14:formula1>
            <xm:f>項目!A4:$DDI$851970</xm:f>
          </x14:formula1>
          <xm:sqref>DDR851975:DDR851998</xm:sqref>
        </x14:dataValidation>
        <x14:dataValidation type="list" allowBlank="1" showInputMessage="1" showErrorMessage="1" xr:uid="{D4A98EFC-B7D5-4D5A-A44C-D622258A1881}">
          <x14:formula1>
            <xm:f>項目!A4:$DNE$851970</xm:f>
          </x14:formula1>
          <xm:sqref>DNN851975:DNN851998</xm:sqref>
        </x14:dataValidation>
        <x14:dataValidation type="list" allowBlank="1" showInputMessage="1" showErrorMessage="1" xr:uid="{D712FF3A-4958-4F8C-9ECB-86A3E27E0204}">
          <x14:formula1>
            <xm:f>項目!A4:$DXA$851970</xm:f>
          </x14:formula1>
          <xm:sqref>DXJ851975:DXJ851998</xm:sqref>
        </x14:dataValidation>
        <x14:dataValidation type="list" allowBlank="1" showInputMessage="1" showErrorMessage="1" xr:uid="{E6D3220D-8B61-40CA-9835-428A67CBAC5C}">
          <x14:formula1>
            <xm:f>項目!A4:$EGW$851970</xm:f>
          </x14:formula1>
          <xm:sqref>EHF851975:EHF851998</xm:sqref>
        </x14:dataValidation>
        <x14:dataValidation type="list" allowBlank="1" showInputMessage="1" showErrorMessage="1" xr:uid="{9DE19EDB-543B-48CF-B42A-E86B326A6557}">
          <x14:formula1>
            <xm:f>項目!A4:$EQS$851970</xm:f>
          </x14:formula1>
          <xm:sqref>ERB851975:ERB851998</xm:sqref>
        </x14:dataValidation>
        <x14:dataValidation type="list" allowBlank="1" showInputMessage="1" showErrorMessage="1" xr:uid="{B9849322-B915-49B4-AECC-D2FE99780EC2}">
          <x14:formula1>
            <xm:f>項目!A4:$FAO$851970</xm:f>
          </x14:formula1>
          <xm:sqref>FAX851975:FAX851998</xm:sqref>
        </x14:dataValidation>
        <x14:dataValidation type="list" allowBlank="1" showInputMessage="1" showErrorMessage="1" xr:uid="{0305A659-F053-434F-B567-5253E081F70C}">
          <x14:formula1>
            <xm:f>項目!A4:$FKK$851970</xm:f>
          </x14:formula1>
          <xm:sqref>FKT851975:FKT851998</xm:sqref>
        </x14:dataValidation>
        <x14:dataValidation type="list" allowBlank="1" showInputMessage="1" showErrorMessage="1" xr:uid="{5ABFBFDD-C8FE-4CEB-AEAE-A10DECB4A44A}">
          <x14:formula1>
            <xm:f>項目!A4:$FUG$851970</xm:f>
          </x14:formula1>
          <xm:sqref>FUP851975:FUP851998</xm:sqref>
        </x14:dataValidation>
        <x14:dataValidation type="list" allowBlank="1" showInputMessage="1" showErrorMessage="1" xr:uid="{6731228C-EE0B-451D-A8AA-5F4FC4BF0972}">
          <x14:formula1>
            <xm:f>項目!A4:$GEC$851970</xm:f>
          </x14:formula1>
          <xm:sqref>GEL851975:GEL851998</xm:sqref>
        </x14:dataValidation>
        <x14:dataValidation type="list" allowBlank="1" showInputMessage="1" showErrorMessage="1" xr:uid="{1ED1E075-F80C-4D38-B66C-5088D05EA87E}">
          <x14:formula1>
            <xm:f>項目!A4:$GNY$851970</xm:f>
          </x14:formula1>
          <xm:sqref>GOH851975:GOH851998</xm:sqref>
        </x14:dataValidation>
        <x14:dataValidation type="list" allowBlank="1" showInputMessage="1" showErrorMessage="1" xr:uid="{2F621F4F-A0BE-4D8C-8B7C-6B63F8E75627}">
          <x14:formula1>
            <xm:f>項目!A4:$GXU$851970</xm:f>
          </x14:formula1>
          <xm:sqref>GYD851975:GYD851998</xm:sqref>
        </x14:dataValidation>
        <x14:dataValidation type="list" allowBlank="1" showInputMessage="1" showErrorMessage="1" xr:uid="{495F96AB-1DB2-47AA-A04C-0FAB298B6A89}">
          <x14:formula1>
            <xm:f>項目!A4:$HHQ$851970</xm:f>
          </x14:formula1>
          <xm:sqref>HHZ851975:HHZ851998</xm:sqref>
        </x14:dataValidation>
        <x14:dataValidation type="list" allowBlank="1" showInputMessage="1" showErrorMessage="1" xr:uid="{A1D5C873-3515-4CE7-A563-2B7940436129}">
          <x14:formula1>
            <xm:f>項目!A4:$HRM$851970</xm:f>
          </x14:formula1>
          <xm:sqref>HRV851975:HRV851998</xm:sqref>
        </x14:dataValidation>
        <x14:dataValidation type="list" allowBlank="1" showInputMessage="1" showErrorMessage="1" xr:uid="{297BA8C5-B9CA-4305-B2F8-96CAB538040D}">
          <x14:formula1>
            <xm:f>項目!A4:$IBI$851970</xm:f>
          </x14:formula1>
          <xm:sqref>IBR851975:IBR851998</xm:sqref>
        </x14:dataValidation>
        <x14:dataValidation type="list" allowBlank="1" showInputMessage="1" showErrorMessage="1" xr:uid="{7892EFEB-E20A-4067-B20B-471CD7B7E5A1}">
          <x14:formula1>
            <xm:f>項目!A4:$ILE$851970</xm:f>
          </x14:formula1>
          <xm:sqref>ILN851975:ILN851998</xm:sqref>
        </x14:dataValidation>
        <x14:dataValidation type="list" allowBlank="1" showInputMessage="1" showErrorMessage="1" xr:uid="{93A770EE-79F5-4D5A-B2BA-DA77E230F791}">
          <x14:formula1>
            <xm:f>項目!A4:$IVA$851970</xm:f>
          </x14:formula1>
          <xm:sqref>IVJ851975:IVJ851998</xm:sqref>
        </x14:dataValidation>
        <x14:dataValidation type="list" allowBlank="1" showInputMessage="1" showErrorMessage="1" xr:uid="{91D392B3-D217-4BFC-8DD4-680F9B52988A}">
          <x14:formula1>
            <xm:f>項目!A4:$JEW$851970</xm:f>
          </x14:formula1>
          <xm:sqref>JFF851975:JFF851998</xm:sqref>
        </x14:dataValidation>
        <x14:dataValidation type="list" allowBlank="1" showInputMessage="1" showErrorMessage="1" xr:uid="{56521AE5-60CF-45D6-B08F-C467A64F6BEA}">
          <x14:formula1>
            <xm:f>項目!A4:$JOS$851970</xm:f>
          </x14:formula1>
          <xm:sqref>JPB851975:JPB851998</xm:sqref>
        </x14:dataValidation>
        <x14:dataValidation type="list" allowBlank="1" showInputMessage="1" showErrorMessage="1" xr:uid="{4FB654C3-57FA-459D-8E6E-4E73C142ABCC}">
          <x14:formula1>
            <xm:f>項目!A4:$JYO$851970</xm:f>
          </x14:formula1>
          <xm:sqref>JYX851975:JYX851998</xm:sqref>
        </x14:dataValidation>
        <x14:dataValidation type="list" allowBlank="1" showInputMessage="1" showErrorMessage="1" xr:uid="{00678461-366A-4BA6-AB19-455F4407B566}">
          <x14:formula1>
            <xm:f>項目!A4:$KIK$851970</xm:f>
          </x14:formula1>
          <xm:sqref>KIT851975:KIT851998</xm:sqref>
        </x14:dataValidation>
        <x14:dataValidation type="list" allowBlank="1" showInputMessage="1" showErrorMessage="1" xr:uid="{886F4ACC-6D17-42AD-9BA5-2EABEF46B72C}">
          <x14:formula1>
            <xm:f>項目!A4:$KSG$851970</xm:f>
          </x14:formula1>
          <xm:sqref>KSP851975:KSP851998</xm:sqref>
        </x14:dataValidation>
        <x14:dataValidation type="list" allowBlank="1" showInputMessage="1" showErrorMessage="1" xr:uid="{BB6108FB-1F8C-46D4-87FA-88A37F51955E}">
          <x14:formula1>
            <xm:f>項目!A4:$LCC$851970</xm:f>
          </x14:formula1>
          <xm:sqref>LCL851975:LCL851998</xm:sqref>
        </x14:dataValidation>
        <x14:dataValidation type="list" allowBlank="1" showInputMessage="1" showErrorMessage="1" xr:uid="{48545BA4-C0E4-4607-B27A-EAA3C41ED396}">
          <x14:formula1>
            <xm:f>項目!A4:$LLY$851970</xm:f>
          </x14:formula1>
          <xm:sqref>LMH851975:LMH851998</xm:sqref>
        </x14:dataValidation>
        <x14:dataValidation type="list" allowBlank="1" showInputMessage="1" showErrorMessage="1" xr:uid="{21CACFE0-9342-43C3-B868-E77F72B0CD65}">
          <x14:formula1>
            <xm:f>項目!A4:$LVU$851970</xm:f>
          </x14:formula1>
          <xm:sqref>LWD851975:LWD851998</xm:sqref>
        </x14:dataValidation>
        <x14:dataValidation type="list" allowBlank="1" showInputMessage="1" showErrorMessage="1" xr:uid="{ACBF5AD4-BADB-49B2-A5CF-7659DB8606DB}">
          <x14:formula1>
            <xm:f>項目!A4:$MFQ$851970</xm:f>
          </x14:formula1>
          <xm:sqref>MFZ851975:MFZ851998</xm:sqref>
        </x14:dataValidation>
        <x14:dataValidation type="list" allowBlank="1" showInputMessage="1" showErrorMessage="1" xr:uid="{07B3938B-33C4-4139-87EF-9725906514C3}">
          <x14:formula1>
            <xm:f>項目!A4:$MPM$851970</xm:f>
          </x14:formula1>
          <xm:sqref>MPV851975:MPV851998</xm:sqref>
        </x14:dataValidation>
        <x14:dataValidation type="list" allowBlank="1" showInputMessage="1" showErrorMessage="1" xr:uid="{052609D4-7FE8-47BB-B16C-0FAEEC0C351E}">
          <x14:formula1>
            <xm:f>項目!A4:$MZI$851970</xm:f>
          </x14:formula1>
          <xm:sqref>MZR851975:MZR851998</xm:sqref>
        </x14:dataValidation>
        <x14:dataValidation type="list" allowBlank="1" showInputMessage="1" showErrorMessage="1" xr:uid="{DF08417B-B703-4287-95A8-DBE229C5B558}">
          <x14:formula1>
            <xm:f>項目!A4:$NJE$851970</xm:f>
          </x14:formula1>
          <xm:sqref>NJN851975:NJN851998</xm:sqref>
        </x14:dataValidation>
        <x14:dataValidation type="list" allowBlank="1" showInputMessage="1" showErrorMessage="1" xr:uid="{74775F65-7FFF-43D3-BFD6-5583DDD3E495}">
          <x14:formula1>
            <xm:f>項目!A4:$NTA$851970</xm:f>
          </x14:formula1>
          <xm:sqref>NTJ851975:NTJ851998</xm:sqref>
        </x14:dataValidation>
        <x14:dataValidation type="list" allowBlank="1" showInputMessage="1" showErrorMessage="1" xr:uid="{D9492260-7255-4C01-8CE9-E12D0A15C72A}">
          <x14:formula1>
            <xm:f>項目!A4:$OCW$851970</xm:f>
          </x14:formula1>
          <xm:sqref>ODF851975:ODF851998</xm:sqref>
        </x14:dataValidation>
        <x14:dataValidation type="list" allowBlank="1" showInputMessage="1" showErrorMessage="1" xr:uid="{A155B737-F73A-42F0-B4A2-B8E8E3C293A5}">
          <x14:formula1>
            <xm:f>項目!A4:$OMS$851970</xm:f>
          </x14:formula1>
          <xm:sqref>ONB851975:ONB851998</xm:sqref>
        </x14:dataValidation>
        <x14:dataValidation type="list" allowBlank="1" showInputMessage="1" showErrorMessage="1" xr:uid="{FF26AB74-4D90-419E-8F1F-97A94D85AF4E}">
          <x14:formula1>
            <xm:f>項目!A4:$OWO$851970</xm:f>
          </x14:formula1>
          <xm:sqref>OWX851975:OWX851998</xm:sqref>
        </x14:dataValidation>
        <x14:dataValidation type="list" allowBlank="1" showInputMessage="1" showErrorMessage="1" xr:uid="{5CD6B9F9-A560-4CF6-A56A-5226D18746FA}">
          <x14:formula1>
            <xm:f>項目!A4:$PGK$851970</xm:f>
          </x14:formula1>
          <xm:sqref>PGT851975:PGT851998</xm:sqref>
        </x14:dataValidation>
        <x14:dataValidation type="list" allowBlank="1" showInputMessage="1" showErrorMessage="1" xr:uid="{5D7B0165-9178-4DA5-98A2-529B0016E4C9}">
          <x14:formula1>
            <xm:f>項目!A4:$PQG$851970</xm:f>
          </x14:formula1>
          <xm:sqref>PQP851975:PQP851998</xm:sqref>
        </x14:dataValidation>
        <x14:dataValidation type="list" allowBlank="1" showInputMessage="1" showErrorMessage="1" xr:uid="{AAF065BD-6C45-4C7D-A1C2-FDD9D0D2EED3}">
          <x14:formula1>
            <xm:f>項目!A4:$QAC$851970</xm:f>
          </x14:formula1>
          <xm:sqref>QAL851975:QAL851998</xm:sqref>
        </x14:dataValidation>
        <x14:dataValidation type="list" allowBlank="1" showInputMessage="1" showErrorMessage="1" xr:uid="{49A80BC3-9F8A-49E2-8B96-168C60CCA3C3}">
          <x14:formula1>
            <xm:f>項目!A4:$QJY$851970</xm:f>
          </x14:formula1>
          <xm:sqref>QKH851975:QKH851998</xm:sqref>
        </x14:dataValidation>
        <x14:dataValidation type="list" allowBlank="1" showInputMessage="1" showErrorMessage="1" xr:uid="{A067EB80-71B8-4FF7-A212-8B02B61439EB}">
          <x14:formula1>
            <xm:f>項目!A4:$QTU$851970</xm:f>
          </x14:formula1>
          <xm:sqref>QUD851975:QUD851998</xm:sqref>
        </x14:dataValidation>
        <x14:dataValidation type="list" allowBlank="1" showInputMessage="1" showErrorMessage="1" xr:uid="{64BAA277-B571-4499-B17C-71E6AC9CC9FE}">
          <x14:formula1>
            <xm:f>項目!A4:$RDQ$851970</xm:f>
          </x14:formula1>
          <xm:sqref>RDZ851975:RDZ851998</xm:sqref>
        </x14:dataValidation>
        <x14:dataValidation type="list" allowBlank="1" showInputMessage="1" showErrorMessage="1" xr:uid="{332F7557-3497-4639-B529-862A2C14314F}">
          <x14:formula1>
            <xm:f>項目!A4:$RNM$851970</xm:f>
          </x14:formula1>
          <xm:sqref>RNV851975:RNV851998</xm:sqref>
        </x14:dataValidation>
        <x14:dataValidation type="list" allowBlank="1" showInputMessage="1" showErrorMessage="1" xr:uid="{8FD784B4-C318-45FA-A759-7E528C253A41}">
          <x14:formula1>
            <xm:f>項目!A4:$RXI$851970</xm:f>
          </x14:formula1>
          <xm:sqref>RXR851975:RXR851998</xm:sqref>
        </x14:dataValidation>
        <x14:dataValidation type="list" allowBlank="1" showInputMessage="1" showErrorMessage="1" xr:uid="{898A83B5-1268-4E3E-AB06-4ED8A1FD7AE3}">
          <x14:formula1>
            <xm:f>項目!A4:$SHE$851970</xm:f>
          </x14:formula1>
          <xm:sqref>SHN851975:SHN851998</xm:sqref>
        </x14:dataValidation>
        <x14:dataValidation type="list" allowBlank="1" showInputMessage="1" showErrorMessage="1" xr:uid="{029D72B1-1BFA-430D-81E3-894E5AED3515}">
          <x14:formula1>
            <xm:f>項目!A4:$SRA$851970</xm:f>
          </x14:formula1>
          <xm:sqref>SRJ851975:SRJ851998</xm:sqref>
        </x14:dataValidation>
        <x14:dataValidation type="list" allowBlank="1" showInputMessage="1" showErrorMessage="1" xr:uid="{92CBA8F6-FCE5-4662-B36F-0BC3255B4016}">
          <x14:formula1>
            <xm:f>項目!A4:$TAW$851970</xm:f>
          </x14:formula1>
          <xm:sqref>TBF851975:TBF851998</xm:sqref>
        </x14:dataValidation>
        <x14:dataValidation type="list" allowBlank="1" showInputMessage="1" showErrorMessage="1" xr:uid="{35A1DCB0-1D76-47CC-BBA5-3E8F7859EE39}">
          <x14:formula1>
            <xm:f>項目!A4:$TKS$851970</xm:f>
          </x14:formula1>
          <xm:sqref>TLB851975:TLB851998</xm:sqref>
        </x14:dataValidation>
        <x14:dataValidation type="list" allowBlank="1" showInputMessage="1" showErrorMessage="1" xr:uid="{9046C34E-C272-4BEF-9F0D-8C8B4C697B46}">
          <x14:formula1>
            <xm:f>項目!A4:$TUO$851970</xm:f>
          </x14:formula1>
          <xm:sqref>TUX851975:TUX851998</xm:sqref>
        </x14:dataValidation>
        <x14:dataValidation type="list" allowBlank="1" showInputMessage="1" showErrorMessage="1" xr:uid="{C11105F0-6481-4D70-846B-5565852CF42D}">
          <x14:formula1>
            <xm:f>項目!A4:$UEK$851970</xm:f>
          </x14:formula1>
          <xm:sqref>UET851975:UET851998</xm:sqref>
        </x14:dataValidation>
        <x14:dataValidation type="list" allowBlank="1" showInputMessage="1" showErrorMessage="1" xr:uid="{4A1EA4DB-92B6-4153-AF91-F5585078AE1E}">
          <x14:formula1>
            <xm:f>項目!A4:$UOG$851970</xm:f>
          </x14:formula1>
          <xm:sqref>UOP851975:UOP851998</xm:sqref>
        </x14:dataValidation>
        <x14:dataValidation type="list" allowBlank="1" showInputMessage="1" showErrorMessage="1" xr:uid="{D6C5CCA4-18FB-477F-8BD2-EF647DA267C8}">
          <x14:formula1>
            <xm:f>項目!A4:$UYC$851970</xm:f>
          </x14:formula1>
          <xm:sqref>UYL851975:UYL851998</xm:sqref>
        </x14:dataValidation>
        <x14:dataValidation type="list" allowBlank="1" showInputMessage="1" showErrorMessage="1" xr:uid="{70201ACE-068C-47A7-8155-D08EB4763223}">
          <x14:formula1>
            <xm:f>項目!A4:$VHY$851970</xm:f>
          </x14:formula1>
          <xm:sqref>VIH851975:VIH851998</xm:sqref>
        </x14:dataValidation>
        <x14:dataValidation type="list" allowBlank="1" showInputMessage="1" showErrorMessage="1" xr:uid="{8FF3CC1B-0A39-4E03-BBFC-1B2F47D75EC7}">
          <x14:formula1>
            <xm:f>項目!A4:$VRU$851970</xm:f>
          </x14:formula1>
          <xm:sqref>VSD851975:VSD851998</xm:sqref>
        </x14:dataValidation>
        <x14:dataValidation type="list" allowBlank="1" showInputMessage="1" showErrorMessage="1" xr:uid="{C0758291-6B11-43D6-B8F8-98063C52E0E1}">
          <x14:formula1>
            <xm:f>項目!A4:$WBQ$851970</xm:f>
          </x14:formula1>
          <xm:sqref>WBZ851975:WBZ851998</xm:sqref>
        </x14:dataValidation>
        <x14:dataValidation type="list" allowBlank="1" showInputMessage="1" showErrorMessage="1" xr:uid="{AC67F3CF-A489-4333-A768-FC2E7293A7C2}">
          <x14:formula1>
            <xm:f>項目!A4:$WLM$851970</xm:f>
          </x14:formula1>
          <xm:sqref>WLV851975:WLV851998</xm:sqref>
        </x14:dataValidation>
        <x14:dataValidation type="list" allowBlank="1" showInputMessage="1" showErrorMessage="1" xr:uid="{367497EC-542F-47C1-8311-14EDB701B979}">
          <x14:formula1>
            <xm:f>項目!A4:$WVI$851970</xm:f>
          </x14:formula1>
          <xm:sqref>WVR851975:WVR851998</xm:sqref>
        </x14:dataValidation>
        <x14:dataValidation type="list" allowBlank="1" showInputMessage="1" showErrorMessage="1" xr:uid="{6537001E-63BD-4B20-BB45-42D10BE070BA}">
          <x14:formula1>
            <xm:f>項目!A4:$IW$917506</xm:f>
          </x14:formula1>
          <xm:sqref>JF917511:JF917534</xm:sqref>
        </x14:dataValidation>
        <x14:dataValidation type="list" allowBlank="1" showInputMessage="1" showErrorMessage="1" xr:uid="{D0CCEAB7-F662-466A-B311-FEADDFB23F19}">
          <x14:formula1>
            <xm:f>項目!A4:$SS$917506</xm:f>
          </x14:formula1>
          <xm:sqref>TB917511:TB917534</xm:sqref>
        </x14:dataValidation>
        <x14:dataValidation type="list" allowBlank="1" showInputMessage="1" showErrorMessage="1" xr:uid="{94669C0B-16FE-41B3-A8EF-65EBD2D932D5}">
          <x14:formula1>
            <xm:f>項目!A4:$ACO$917506</xm:f>
          </x14:formula1>
          <xm:sqref>ACX917511:ACX917534</xm:sqref>
        </x14:dataValidation>
        <x14:dataValidation type="list" allowBlank="1" showInputMessage="1" showErrorMessage="1" xr:uid="{8D957EBF-0110-4C6D-BBC3-C5A21FA4C1EA}">
          <x14:formula1>
            <xm:f>項目!A4:$AMK$917506</xm:f>
          </x14:formula1>
          <xm:sqref>AMT917511:AMT917534</xm:sqref>
        </x14:dataValidation>
        <x14:dataValidation type="list" allowBlank="1" showInputMessage="1" showErrorMessage="1" xr:uid="{231C4095-9131-4FDB-A5EE-852B87A00C7D}">
          <x14:formula1>
            <xm:f>項目!A4:$AWG$917506</xm:f>
          </x14:formula1>
          <xm:sqref>AWP917511:AWP917534</xm:sqref>
        </x14:dataValidation>
        <x14:dataValidation type="list" allowBlank="1" showInputMessage="1" showErrorMessage="1" xr:uid="{EFC33332-9A3B-4397-BF00-D955E0A078EE}">
          <x14:formula1>
            <xm:f>項目!A4:$BGC$917506</xm:f>
          </x14:formula1>
          <xm:sqref>BGL917511:BGL917534</xm:sqref>
        </x14:dataValidation>
        <x14:dataValidation type="list" allowBlank="1" showInputMessage="1" showErrorMessage="1" xr:uid="{5C90FE66-3F4E-4A09-B273-F290128CE05D}">
          <x14:formula1>
            <xm:f>項目!A4:$BPY$917506</xm:f>
          </x14:formula1>
          <xm:sqref>BQH917511:BQH917534</xm:sqref>
        </x14:dataValidation>
        <x14:dataValidation type="list" allowBlank="1" showInputMessage="1" showErrorMessage="1" xr:uid="{7EB07D4E-37FE-4A11-ACE7-563A7CCEFFB0}">
          <x14:formula1>
            <xm:f>項目!A4:$BZU$917506</xm:f>
          </x14:formula1>
          <xm:sqref>CAD917511:CAD917534</xm:sqref>
        </x14:dataValidation>
        <x14:dataValidation type="list" allowBlank="1" showInputMessage="1" showErrorMessage="1" xr:uid="{FB504B5E-AAB8-4517-BADB-2D2FDD4A0838}">
          <x14:formula1>
            <xm:f>項目!A4:$CJQ$917506</xm:f>
          </x14:formula1>
          <xm:sqref>CJZ917511:CJZ917534</xm:sqref>
        </x14:dataValidation>
        <x14:dataValidation type="list" allowBlank="1" showInputMessage="1" showErrorMessage="1" xr:uid="{E0BFFF82-78BA-4D28-9276-E27396863AA8}">
          <x14:formula1>
            <xm:f>項目!A4:$CTM$917506</xm:f>
          </x14:formula1>
          <xm:sqref>CTV917511:CTV917534</xm:sqref>
        </x14:dataValidation>
        <x14:dataValidation type="list" allowBlank="1" showInputMessage="1" showErrorMessage="1" xr:uid="{24F7BAFF-65FF-4160-AA93-CB573C628C48}">
          <x14:formula1>
            <xm:f>項目!A4:$DDI$917506</xm:f>
          </x14:formula1>
          <xm:sqref>DDR917511:DDR917534</xm:sqref>
        </x14:dataValidation>
        <x14:dataValidation type="list" allowBlank="1" showInputMessage="1" showErrorMessage="1" xr:uid="{B456FC00-0CB7-4F9E-A7EF-EF95728D6872}">
          <x14:formula1>
            <xm:f>項目!A4:$DNE$917506</xm:f>
          </x14:formula1>
          <xm:sqref>DNN917511:DNN917534</xm:sqref>
        </x14:dataValidation>
        <x14:dataValidation type="list" allowBlank="1" showInputMessage="1" showErrorMessage="1" xr:uid="{B390C2F3-6E35-4878-9188-AD9D79547E75}">
          <x14:formula1>
            <xm:f>項目!A4:$DXA$917506</xm:f>
          </x14:formula1>
          <xm:sqref>DXJ917511:DXJ917534</xm:sqref>
        </x14:dataValidation>
        <x14:dataValidation type="list" allowBlank="1" showInputMessage="1" showErrorMessage="1" xr:uid="{47DB8746-4E77-4F62-B294-7DF4CFAB6D80}">
          <x14:formula1>
            <xm:f>項目!A4:$EGW$917506</xm:f>
          </x14:formula1>
          <xm:sqref>EHF917511:EHF917534</xm:sqref>
        </x14:dataValidation>
        <x14:dataValidation type="list" allowBlank="1" showInputMessage="1" showErrorMessage="1" xr:uid="{B5EDF427-1311-452C-B336-9841DDEA4F44}">
          <x14:formula1>
            <xm:f>項目!A4:$EQS$917506</xm:f>
          </x14:formula1>
          <xm:sqref>ERB917511:ERB917534</xm:sqref>
        </x14:dataValidation>
        <x14:dataValidation type="list" allowBlank="1" showInputMessage="1" showErrorMessage="1" xr:uid="{73F38847-E55E-49CF-9E8D-FF22F83B570C}">
          <x14:formula1>
            <xm:f>項目!A4:$FAO$917506</xm:f>
          </x14:formula1>
          <xm:sqref>FAX917511:FAX917534</xm:sqref>
        </x14:dataValidation>
        <x14:dataValidation type="list" allowBlank="1" showInputMessage="1" showErrorMessage="1" xr:uid="{603EB068-D4A0-4E2D-965D-D4711E788A3E}">
          <x14:formula1>
            <xm:f>項目!A4:$FKK$917506</xm:f>
          </x14:formula1>
          <xm:sqref>FKT917511:FKT917534</xm:sqref>
        </x14:dataValidation>
        <x14:dataValidation type="list" allowBlank="1" showInputMessage="1" showErrorMessage="1" xr:uid="{307A73D4-87FA-4D17-98A4-7923B3AFA0CB}">
          <x14:formula1>
            <xm:f>項目!A4:$FUG$917506</xm:f>
          </x14:formula1>
          <xm:sqref>FUP917511:FUP917534</xm:sqref>
        </x14:dataValidation>
        <x14:dataValidation type="list" allowBlank="1" showInputMessage="1" showErrorMessage="1" xr:uid="{2D09B2F7-666B-4440-A706-49F161B8AAC2}">
          <x14:formula1>
            <xm:f>項目!A4:$GEC$917506</xm:f>
          </x14:formula1>
          <xm:sqref>GEL917511:GEL917534</xm:sqref>
        </x14:dataValidation>
        <x14:dataValidation type="list" allowBlank="1" showInputMessage="1" showErrorMessage="1" xr:uid="{066AFB9F-08BF-4585-A7A2-37D42451E5E4}">
          <x14:formula1>
            <xm:f>項目!A4:$GNY$917506</xm:f>
          </x14:formula1>
          <xm:sqref>GOH917511:GOH917534</xm:sqref>
        </x14:dataValidation>
        <x14:dataValidation type="list" allowBlank="1" showInputMessage="1" showErrorMessage="1" xr:uid="{926E5D00-D27F-41C2-BDA0-FF59D859E0A2}">
          <x14:formula1>
            <xm:f>項目!A4:$GXU$917506</xm:f>
          </x14:formula1>
          <xm:sqref>GYD917511:GYD917534</xm:sqref>
        </x14:dataValidation>
        <x14:dataValidation type="list" allowBlank="1" showInputMessage="1" showErrorMessage="1" xr:uid="{71F184DE-B3C4-427A-BDBE-0295E8DB573E}">
          <x14:formula1>
            <xm:f>項目!A4:$HHQ$917506</xm:f>
          </x14:formula1>
          <xm:sqref>HHZ917511:HHZ917534</xm:sqref>
        </x14:dataValidation>
        <x14:dataValidation type="list" allowBlank="1" showInputMessage="1" showErrorMessage="1" xr:uid="{F4F34F87-CDFC-4695-821E-111BC9D54F9F}">
          <x14:formula1>
            <xm:f>項目!A4:$HRM$917506</xm:f>
          </x14:formula1>
          <xm:sqref>HRV917511:HRV917534</xm:sqref>
        </x14:dataValidation>
        <x14:dataValidation type="list" allowBlank="1" showInputMessage="1" showErrorMessage="1" xr:uid="{71152C0D-BE81-4D57-B50B-A38749A72018}">
          <x14:formula1>
            <xm:f>項目!A4:$IBI$917506</xm:f>
          </x14:formula1>
          <xm:sqref>IBR917511:IBR917534</xm:sqref>
        </x14:dataValidation>
        <x14:dataValidation type="list" allowBlank="1" showInputMessage="1" showErrorMessage="1" xr:uid="{A804B5F1-90F9-4BCD-8F6B-9F7809D68308}">
          <x14:formula1>
            <xm:f>項目!A4:$ILE$917506</xm:f>
          </x14:formula1>
          <xm:sqref>ILN917511:ILN917534</xm:sqref>
        </x14:dataValidation>
        <x14:dataValidation type="list" allowBlank="1" showInputMessage="1" showErrorMessage="1" xr:uid="{1D90DA62-9740-46FF-AFD0-E4C01A670FF3}">
          <x14:formula1>
            <xm:f>項目!A4:$IVA$917506</xm:f>
          </x14:formula1>
          <xm:sqref>IVJ917511:IVJ917534</xm:sqref>
        </x14:dataValidation>
        <x14:dataValidation type="list" allowBlank="1" showInputMessage="1" showErrorMessage="1" xr:uid="{9AB322D1-D316-4AF7-9BE4-452A29F03A65}">
          <x14:formula1>
            <xm:f>項目!A4:$JEW$917506</xm:f>
          </x14:formula1>
          <xm:sqref>JFF917511:JFF917534</xm:sqref>
        </x14:dataValidation>
        <x14:dataValidation type="list" allowBlank="1" showInputMessage="1" showErrorMessage="1" xr:uid="{BA4BDF4A-AE95-4F44-934B-DE239EBC6BC0}">
          <x14:formula1>
            <xm:f>項目!A4:$JOS$917506</xm:f>
          </x14:formula1>
          <xm:sqref>JPB917511:JPB917534</xm:sqref>
        </x14:dataValidation>
        <x14:dataValidation type="list" allowBlank="1" showInputMessage="1" showErrorMessage="1" xr:uid="{8E36AFD6-3BFE-4D61-B4DB-09A612BEFA52}">
          <x14:formula1>
            <xm:f>項目!A4:$JYO$917506</xm:f>
          </x14:formula1>
          <xm:sqref>JYX917511:JYX917534</xm:sqref>
        </x14:dataValidation>
        <x14:dataValidation type="list" allowBlank="1" showInputMessage="1" showErrorMessage="1" xr:uid="{8F785719-8580-4F97-9886-64C6164E4271}">
          <x14:formula1>
            <xm:f>項目!A4:$KIK$917506</xm:f>
          </x14:formula1>
          <xm:sqref>KIT917511:KIT917534</xm:sqref>
        </x14:dataValidation>
        <x14:dataValidation type="list" allowBlank="1" showInputMessage="1" showErrorMessage="1" xr:uid="{2145FDCD-D54D-49F0-859C-C46349BBB35C}">
          <x14:formula1>
            <xm:f>項目!A4:$KSG$917506</xm:f>
          </x14:formula1>
          <xm:sqref>KSP917511:KSP917534</xm:sqref>
        </x14:dataValidation>
        <x14:dataValidation type="list" allowBlank="1" showInputMessage="1" showErrorMessage="1" xr:uid="{B0850401-ACF4-4066-B955-B5A37EF57F9C}">
          <x14:formula1>
            <xm:f>項目!A4:$LCC$917506</xm:f>
          </x14:formula1>
          <xm:sqref>LCL917511:LCL917534</xm:sqref>
        </x14:dataValidation>
        <x14:dataValidation type="list" allowBlank="1" showInputMessage="1" showErrorMessage="1" xr:uid="{B7DE0B45-42A6-4E68-9B86-F72A647EEF85}">
          <x14:formula1>
            <xm:f>項目!A4:$LLY$917506</xm:f>
          </x14:formula1>
          <xm:sqref>LMH917511:LMH917534</xm:sqref>
        </x14:dataValidation>
        <x14:dataValidation type="list" allowBlank="1" showInputMessage="1" showErrorMessage="1" xr:uid="{92DE4F01-A075-4D2E-B903-03AA8A40180F}">
          <x14:formula1>
            <xm:f>項目!A4:$LVU$917506</xm:f>
          </x14:formula1>
          <xm:sqref>LWD917511:LWD917534</xm:sqref>
        </x14:dataValidation>
        <x14:dataValidation type="list" allowBlank="1" showInputMessage="1" showErrorMessage="1" xr:uid="{08987295-0859-407B-ADC7-4C3A4BB2299A}">
          <x14:formula1>
            <xm:f>項目!A4:$MFQ$917506</xm:f>
          </x14:formula1>
          <xm:sqref>MFZ917511:MFZ917534</xm:sqref>
        </x14:dataValidation>
        <x14:dataValidation type="list" allowBlank="1" showInputMessage="1" showErrorMessage="1" xr:uid="{66FDC7D2-B432-4806-984C-69428C676798}">
          <x14:formula1>
            <xm:f>項目!A4:$MPM$917506</xm:f>
          </x14:formula1>
          <xm:sqref>MPV917511:MPV917534</xm:sqref>
        </x14:dataValidation>
        <x14:dataValidation type="list" allowBlank="1" showInputMessage="1" showErrorMessage="1" xr:uid="{CDD20306-D79B-4BC6-9EBB-09C0AEA5882D}">
          <x14:formula1>
            <xm:f>項目!A4:$MZI$917506</xm:f>
          </x14:formula1>
          <xm:sqref>MZR917511:MZR917534</xm:sqref>
        </x14:dataValidation>
        <x14:dataValidation type="list" allowBlank="1" showInputMessage="1" showErrorMessage="1" xr:uid="{27DA2960-9D94-4C83-86DC-FFD93D378780}">
          <x14:formula1>
            <xm:f>項目!A4:$NJE$917506</xm:f>
          </x14:formula1>
          <xm:sqref>NJN917511:NJN917534</xm:sqref>
        </x14:dataValidation>
        <x14:dataValidation type="list" allowBlank="1" showInputMessage="1" showErrorMessage="1" xr:uid="{9602CDB9-6D5E-459F-89A8-22BABB42A083}">
          <x14:formula1>
            <xm:f>項目!A4:$NTA$917506</xm:f>
          </x14:formula1>
          <xm:sqref>NTJ917511:NTJ917534</xm:sqref>
        </x14:dataValidation>
        <x14:dataValidation type="list" allowBlank="1" showInputMessage="1" showErrorMessage="1" xr:uid="{1FB6EDF6-9094-4128-8449-6B2382B236E6}">
          <x14:formula1>
            <xm:f>項目!A4:$OCW$917506</xm:f>
          </x14:formula1>
          <xm:sqref>ODF917511:ODF917534</xm:sqref>
        </x14:dataValidation>
        <x14:dataValidation type="list" allowBlank="1" showInputMessage="1" showErrorMessage="1" xr:uid="{CD6AAC15-8627-4372-B76B-7D3342921819}">
          <x14:formula1>
            <xm:f>項目!A4:$OMS$917506</xm:f>
          </x14:formula1>
          <xm:sqref>ONB917511:ONB917534</xm:sqref>
        </x14:dataValidation>
        <x14:dataValidation type="list" allowBlank="1" showInputMessage="1" showErrorMessage="1" xr:uid="{2E227370-7824-43CE-A930-B8D9E3322F70}">
          <x14:formula1>
            <xm:f>項目!A4:$OWO$917506</xm:f>
          </x14:formula1>
          <xm:sqref>OWX917511:OWX917534</xm:sqref>
        </x14:dataValidation>
        <x14:dataValidation type="list" allowBlank="1" showInputMessage="1" showErrorMessage="1" xr:uid="{709824E8-EF15-4078-82B2-25A1C821DD49}">
          <x14:formula1>
            <xm:f>項目!A4:$PGK$917506</xm:f>
          </x14:formula1>
          <xm:sqref>PGT917511:PGT917534</xm:sqref>
        </x14:dataValidation>
        <x14:dataValidation type="list" allowBlank="1" showInputMessage="1" showErrorMessage="1" xr:uid="{BAAF1CFD-4498-4EFF-BC10-F361DF519428}">
          <x14:formula1>
            <xm:f>項目!A4:$PQG$917506</xm:f>
          </x14:formula1>
          <xm:sqref>PQP917511:PQP917534</xm:sqref>
        </x14:dataValidation>
        <x14:dataValidation type="list" allowBlank="1" showInputMessage="1" showErrorMessage="1" xr:uid="{9F88B300-EEC9-499A-A035-69586183EE67}">
          <x14:formula1>
            <xm:f>項目!A4:$QAC$917506</xm:f>
          </x14:formula1>
          <xm:sqref>QAL917511:QAL917534</xm:sqref>
        </x14:dataValidation>
        <x14:dataValidation type="list" allowBlank="1" showInputMessage="1" showErrorMessage="1" xr:uid="{E1CF4C5A-07F3-4952-A374-F2012B701F11}">
          <x14:formula1>
            <xm:f>項目!A4:$QJY$917506</xm:f>
          </x14:formula1>
          <xm:sqref>QKH917511:QKH917534</xm:sqref>
        </x14:dataValidation>
        <x14:dataValidation type="list" allowBlank="1" showInputMessage="1" showErrorMessage="1" xr:uid="{3F9B073B-1389-4C7D-B527-7CB371722406}">
          <x14:formula1>
            <xm:f>項目!A4:$QTU$917506</xm:f>
          </x14:formula1>
          <xm:sqref>QUD917511:QUD917534</xm:sqref>
        </x14:dataValidation>
        <x14:dataValidation type="list" allowBlank="1" showInputMessage="1" showErrorMessage="1" xr:uid="{1B980718-9628-413E-8D1A-A78C39257289}">
          <x14:formula1>
            <xm:f>項目!A4:$RDQ$917506</xm:f>
          </x14:formula1>
          <xm:sqref>RDZ917511:RDZ917534</xm:sqref>
        </x14:dataValidation>
        <x14:dataValidation type="list" allowBlank="1" showInputMessage="1" showErrorMessage="1" xr:uid="{79DB902E-AEB0-48D6-8ABE-1733B03B289A}">
          <x14:formula1>
            <xm:f>項目!A4:$RNM$917506</xm:f>
          </x14:formula1>
          <xm:sqref>RNV917511:RNV917534</xm:sqref>
        </x14:dataValidation>
        <x14:dataValidation type="list" allowBlank="1" showInputMessage="1" showErrorMessage="1" xr:uid="{6E7D7A63-133B-44FE-82A0-0DE76B7ED4C4}">
          <x14:formula1>
            <xm:f>項目!A4:$RXI$917506</xm:f>
          </x14:formula1>
          <xm:sqref>RXR917511:RXR917534</xm:sqref>
        </x14:dataValidation>
        <x14:dataValidation type="list" allowBlank="1" showInputMessage="1" showErrorMessage="1" xr:uid="{89303827-D258-4A21-900C-CD5BB8235341}">
          <x14:formula1>
            <xm:f>項目!A4:$SHE$917506</xm:f>
          </x14:formula1>
          <xm:sqref>SHN917511:SHN917534</xm:sqref>
        </x14:dataValidation>
        <x14:dataValidation type="list" allowBlank="1" showInputMessage="1" showErrorMessage="1" xr:uid="{D643E508-E964-4263-BC55-67E286F4DDE3}">
          <x14:formula1>
            <xm:f>項目!A4:$SRA$917506</xm:f>
          </x14:formula1>
          <xm:sqref>SRJ917511:SRJ917534</xm:sqref>
        </x14:dataValidation>
        <x14:dataValidation type="list" allowBlank="1" showInputMessage="1" showErrorMessage="1" xr:uid="{5B758C4D-DBE1-43F8-B2DD-6068881451CF}">
          <x14:formula1>
            <xm:f>項目!A4:$TAW$917506</xm:f>
          </x14:formula1>
          <xm:sqref>TBF917511:TBF917534</xm:sqref>
        </x14:dataValidation>
        <x14:dataValidation type="list" allowBlank="1" showInputMessage="1" showErrorMessage="1" xr:uid="{757CF845-F163-4FFB-A69B-D123361F4BE3}">
          <x14:formula1>
            <xm:f>項目!A4:$TKS$917506</xm:f>
          </x14:formula1>
          <xm:sqref>TLB917511:TLB917534</xm:sqref>
        </x14:dataValidation>
        <x14:dataValidation type="list" allowBlank="1" showInputMessage="1" showErrorMessage="1" xr:uid="{447BB95E-9BD9-4AE8-87F6-EE3792D3CA9C}">
          <x14:formula1>
            <xm:f>項目!A4:$TUO$917506</xm:f>
          </x14:formula1>
          <xm:sqref>TUX917511:TUX917534</xm:sqref>
        </x14:dataValidation>
        <x14:dataValidation type="list" allowBlank="1" showInputMessage="1" showErrorMessage="1" xr:uid="{D6662D30-64F2-4AB6-B06E-7380CD0A8CE5}">
          <x14:formula1>
            <xm:f>項目!A4:$UEK$917506</xm:f>
          </x14:formula1>
          <xm:sqref>UET917511:UET917534</xm:sqref>
        </x14:dataValidation>
        <x14:dataValidation type="list" allowBlank="1" showInputMessage="1" showErrorMessage="1" xr:uid="{B86EBF36-B297-43B5-8AE1-EC222E750679}">
          <x14:formula1>
            <xm:f>項目!A4:$UOG$917506</xm:f>
          </x14:formula1>
          <xm:sqref>UOP917511:UOP917534</xm:sqref>
        </x14:dataValidation>
        <x14:dataValidation type="list" allowBlank="1" showInputMessage="1" showErrorMessage="1" xr:uid="{1B48FBA1-ED26-4235-9E5F-8114E1E4CD58}">
          <x14:formula1>
            <xm:f>項目!A4:$UYC$917506</xm:f>
          </x14:formula1>
          <xm:sqref>UYL917511:UYL917534</xm:sqref>
        </x14:dataValidation>
        <x14:dataValidation type="list" allowBlank="1" showInputMessage="1" showErrorMessage="1" xr:uid="{EE161965-0BFF-4FD0-AA55-AADED8207CE1}">
          <x14:formula1>
            <xm:f>項目!A4:$VHY$917506</xm:f>
          </x14:formula1>
          <xm:sqref>VIH917511:VIH917534</xm:sqref>
        </x14:dataValidation>
        <x14:dataValidation type="list" allowBlank="1" showInputMessage="1" showErrorMessage="1" xr:uid="{45CEB15D-31B9-4745-AF22-7B0A0F896110}">
          <x14:formula1>
            <xm:f>項目!A4:$VRU$917506</xm:f>
          </x14:formula1>
          <xm:sqref>VSD917511:VSD917534</xm:sqref>
        </x14:dataValidation>
        <x14:dataValidation type="list" allowBlank="1" showInputMessage="1" showErrorMessage="1" xr:uid="{8EB8828C-EF04-4AE1-9F29-986D4E16F054}">
          <x14:formula1>
            <xm:f>項目!A4:$WBQ$917506</xm:f>
          </x14:formula1>
          <xm:sqref>WBZ917511:WBZ917534</xm:sqref>
        </x14:dataValidation>
        <x14:dataValidation type="list" allowBlank="1" showInputMessage="1" showErrorMessage="1" xr:uid="{0CFB9A9C-BB68-4621-BB71-7189AD3FA626}">
          <x14:formula1>
            <xm:f>項目!A4:$WLM$917506</xm:f>
          </x14:formula1>
          <xm:sqref>WLV917511:WLV917534</xm:sqref>
        </x14:dataValidation>
        <x14:dataValidation type="list" allowBlank="1" showInputMessage="1" showErrorMessage="1" xr:uid="{A1E9D310-8C77-4F66-8197-385A29F3F1BC}">
          <x14:formula1>
            <xm:f>項目!A4:$WVI$917506</xm:f>
          </x14:formula1>
          <xm:sqref>WVR917511:WVR917534</xm:sqref>
        </x14:dataValidation>
        <x14:dataValidation type="list" allowBlank="1" showInputMessage="1" showErrorMessage="1" xr:uid="{7397B93E-6A1C-443C-BAD3-468875578AF1}">
          <x14:formula1>
            <xm:f>項目!A4:$IW$983042</xm:f>
          </x14:formula1>
          <xm:sqref>JF983047:JF983070</xm:sqref>
        </x14:dataValidation>
        <x14:dataValidation type="list" allowBlank="1" showInputMessage="1" showErrorMessage="1" xr:uid="{EEFD6E82-AECC-4458-AED0-106B07CADBE2}">
          <x14:formula1>
            <xm:f>項目!A4:$SS$983042</xm:f>
          </x14:formula1>
          <xm:sqref>TB983047:TB983070</xm:sqref>
        </x14:dataValidation>
        <x14:dataValidation type="list" allowBlank="1" showInputMessage="1" showErrorMessage="1" xr:uid="{BCA948F2-CE7A-4E12-B57A-6676A7FC01DD}">
          <x14:formula1>
            <xm:f>項目!A4:$ACO$983042</xm:f>
          </x14:formula1>
          <xm:sqref>ACX983047:ACX983070</xm:sqref>
        </x14:dataValidation>
        <x14:dataValidation type="list" allowBlank="1" showInputMessage="1" showErrorMessage="1" xr:uid="{116BF8D4-6EED-40FB-BF79-3945FDDF00C7}">
          <x14:formula1>
            <xm:f>項目!A4:$AMK$983042</xm:f>
          </x14:formula1>
          <xm:sqref>AMT983047:AMT983070</xm:sqref>
        </x14:dataValidation>
        <x14:dataValidation type="list" allowBlank="1" showInputMessage="1" showErrorMessage="1" xr:uid="{0CBFA9F1-2DC1-42EF-B375-33A19A12D7B7}">
          <x14:formula1>
            <xm:f>項目!A4:$AWG$983042</xm:f>
          </x14:formula1>
          <xm:sqref>AWP983047:AWP983070</xm:sqref>
        </x14:dataValidation>
        <x14:dataValidation type="list" allowBlank="1" showInputMessage="1" showErrorMessage="1" xr:uid="{6652060E-84A5-4191-94AC-71D0322D7441}">
          <x14:formula1>
            <xm:f>項目!A4:$BGC$983042</xm:f>
          </x14:formula1>
          <xm:sqref>BGL983047:BGL983070</xm:sqref>
        </x14:dataValidation>
        <x14:dataValidation type="list" allowBlank="1" showInputMessage="1" showErrorMessage="1" xr:uid="{2F6C05DC-F254-4EA8-9A6E-07D268922F41}">
          <x14:formula1>
            <xm:f>項目!A4:$BPY$983042</xm:f>
          </x14:formula1>
          <xm:sqref>BQH983047:BQH983070</xm:sqref>
        </x14:dataValidation>
        <x14:dataValidation type="list" allowBlank="1" showInputMessage="1" showErrorMessage="1" xr:uid="{7230BFA4-01FD-4869-91E7-852E24256BDE}">
          <x14:formula1>
            <xm:f>項目!A4:$BZU$983042</xm:f>
          </x14:formula1>
          <xm:sqref>CAD983047:CAD983070</xm:sqref>
        </x14:dataValidation>
        <x14:dataValidation type="list" allowBlank="1" showInputMessage="1" showErrorMessage="1" xr:uid="{E80F9777-652D-43BE-B1D2-65D4F2B9ABF0}">
          <x14:formula1>
            <xm:f>項目!A4:$CJQ$983042</xm:f>
          </x14:formula1>
          <xm:sqref>CJZ983047:CJZ983070</xm:sqref>
        </x14:dataValidation>
        <x14:dataValidation type="list" allowBlank="1" showInputMessage="1" showErrorMessage="1" xr:uid="{93B8065C-486C-4B58-88D4-50828E142391}">
          <x14:formula1>
            <xm:f>項目!A4:$CTM$983042</xm:f>
          </x14:formula1>
          <xm:sqref>CTV983047:CTV983070</xm:sqref>
        </x14:dataValidation>
        <x14:dataValidation type="list" allowBlank="1" showInputMessage="1" showErrorMessage="1" xr:uid="{575E4CD8-0CE5-4732-8847-C5E9F4A9AA8E}">
          <x14:formula1>
            <xm:f>項目!A4:$DDI$983042</xm:f>
          </x14:formula1>
          <xm:sqref>DDR983047:DDR983070</xm:sqref>
        </x14:dataValidation>
        <x14:dataValidation type="list" allowBlank="1" showInputMessage="1" showErrorMessage="1" xr:uid="{27B83D36-99C3-42BE-B4F0-8705524704DB}">
          <x14:formula1>
            <xm:f>項目!A4:$DNE$983042</xm:f>
          </x14:formula1>
          <xm:sqref>DNN983047:DNN983070</xm:sqref>
        </x14:dataValidation>
        <x14:dataValidation type="list" allowBlank="1" showInputMessage="1" showErrorMessage="1" xr:uid="{415EAE09-1965-457C-9313-66B33342F7E4}">
          <x14:formula1>
            <xm:f>項目!A4:$DXA$983042</xm:f>
          </x14:formula1>
          <xm:sqref>DXJ983047:DXJ983070</xm:sqref>
        </x14:dataValidation>
        <x14:dataValidation type="list" allowBlank="1" showInputMessage="1" showErrorMessage="1" xr:uid="{87A9AF71-CA22-4A67-BE41-2F4A42F0D1F6}">
          <x14:formula1>
            <xm:f>項目!A4:$EGW$983042</xm:f>
          </x14:formula1>
          <xm:sqref>EHF983047:EHF983070</xm:sqref>
        </x14:dataValidation>
        <x14:dataValidation type="list" allowBlank="1" showInputMessage="1" showErrorMessage="1" xr:uid="{926408B2-9A04-4771-A8B9-E7C20FD9C480}">
          <x14:formula1>
            <xm:f>項目!A4:$EQS$983042</xm:f>
          </x14:formula1>
          <xm:sqref>ERB983047:ERB983070</xm:sqref>
        </x14:dataValidation>
        <x14:dataValidation type="list" allowBlank="1" showInputMessage="1" showErrorMessage="1" xr:uid="{999F8F53-A989-486B-A289-1B4B2242A93C}">
          <x14:formula1>
            <xm:f>項目!A4:$FAO$983042</xm:f>
          </x14:formula1>
          <xm:sqref>FAX983047:FAX983070</xm:sqref>
        </x14:dataValidation>
        <x14:dataValidation type="list" allowBlank="1" showInputMessage="1" showErrorMessage="1" xr:uid="{1EE3A9A9-7BC7-493E-B78F-8BB07B255925}">
          <x14:formula1>
            <xm:f>項目!A4:$FKK$983042</xm:f>
          </x14:formula1>
          <xm:sqref>FKT983047:FKT983070</xm:sqref>
        </x14:dataValidation>
        <x14:dataValidation type="list" allowBlank="1" showInputMessage="1" showErrorMessage="1" xr:uid="{3779946F-4171-43A8-AFC0-87D5251E8CD7}">
          <x14:formula1>
            <xm:f>項目!A4:$FUG$983042</xm:f>
          </x14:formula1>
          <xm:sqref>FUP983047:FUP983070</xm:sqref>
        </x14:dataValidation>
        <x14:dataValidation type="list" allowBlank="1" showInputMessage="1" showErrorMessage="1" xr:uid="{91E40F3F-005F-45E0-BFF3-7AEBF817733B}">
          <x14:formula1>
            <xm:f>項目!A4:$GEC$983042</xm:f>
          </x14:formula1>
          <xm:sqref>GEL983047:GEL983070</xm:sqref>
        </x14:dataValidation>
        <x14:dataValidation type="list" allowBlank="1" showInputMessage="1" showErrorMessage="1" xr:uid="{0797C3E5-05CF-417E-A39B-DFA0408EC335}">
          <x14:formula1>
            <xm:f>項目!A4:$GNY$983042</xm:f>
          </x14:formula1>
          <xm:sqref>GOH983047:GOH983070</xm:sqref>
        </x14:dataValidation>
        <x14:dataValidation type="list" allowBlank="1" showInputMessage="1" showErrorMessage="1" xr:uid="{E7F356D5-E00C-4057-9BC0-3B4D5A9DFD4D}">
          <x14:formula1>
            <xm:f>項目!A4:$GXU$983042</xm:f>
          </x14:formula1>
          <xm:sqref>GYD983047:GYD983070</xm:sqref>
        </x14:dataValidation>
        <x14:dataValidation type="list" allowBlank="1" showInputMessage="1" showErrorMessage="1" xr:uid="{BCD33E6A-FE46-4FA6-936A-736D4A398BA4}">
          <x14:formula1>
            <xm:f>項目!A4:$HHQ$983042</xm:f>
          </x14:formula1>
          <xm:sqref>HHZ983047:HHZ983070</xm:sqref>
        </x14:dataValidation>
        <x14:dataValidation type="list" allowBlank="1" showInputMessage="1" showErrorMessage="1" xr:uid="{B9E75453-D4F5-4705-B312-BE5F65E39D14}">
          <x14:formula1>
            <xm:f>項目!A4:$HRM$983042</xm:f>
          </x14:formula1>
          <xm:sqref>HRV983047:HRV983070</xm:sqref>
        </x14:dataValidation>
        <x14:dataValidation type="list" allowBlank="1" showInputMessage="1" showErrorMessage="1" xr:uid="{5E4F4256-6493-497F-8264-CEC8377EB1AE}">
          <x14:formula1>
            <xm:f>項目!A4:$IBI$983042</xm:f>
          </x14:formula1>
          <xm:sqref>IBR983047:IBR983070</xm:sqref>
        </x14:dataValidation>
        <x14:dataValidation type="list" allowBlank="1" showInputMessage="1" showErrorMessage="1" xr:uid="{9949F6CB-1894-49EC-BAD6-B32DD17910F7}">
          <x14:formula1>
            <xm:f>項目!A4:$ILE$983042</xm:f>
          </x14:formula1>
          <xm:sqref>ILN983047:ILN983070</xm:sqref>
        </x14:dataValidation>
        <x14:dataValidation type="list" allowBlank="1" showInputMessage="1" showErrorMessage="1" xr:uid="{E5A9D4BB-BE33-4D3F-A9C7-E6B4CF680654}">
          <x14:formula1>
            <xm:f>項目!A4:$IVA$983042</xm:f>
          </x14:formula1>
          <xm:sqref>IVJ983047:IVJ983070</xm:sqref>
        </x14:dataValidation>
        <x14:dataValidation type="list" allowBlank="1" showInputMessage="1" showErrorMessage="1" xr:uid="{E3D30279-FDC4-483B-8D04-2D74D06E5183}">
          <x14:formula1>
            <xm:f>項目!A4:$JEW$983042</xm:f>
          </x14:formula1>
          <xm:sqref>JFF983047:JFF983070</xm:sqref>
        </x14:dataValidation>
        <x14:dataValidation type="list" allowBlank="1" showInputMessage="1" showErrorMessage="1" xr:uid="{4E0E6209-2DBD-4E8D-A117-94DEA20CE5FC}">
          <x14:formula1>
            <xm:f>項目!A4:$JOS$983042</xm:f>
          </x14:formula1>
          <xm:sqref>JPB983047:JPB983070</xm:sqref>
        </x14:dataValidation>
        <x14:dataValidation type="list" allowBlank="1" showInputMessage="1" showErrorMessage="1" xr:uid="{A2816F97-2B89-4760-B415-ADD5345C7063}">
          <x14:formula1>
            <xm:f>項目!A4:$JYO$983042</xm:f>
          </x14:formula1>
          <xm:sqref>JYX983047:JYX983070</xm:sqref>
        </x14:dataValidation>
        <x14:dataValidation type="list" allowBlank="1" showInputMessage="1" showErrorMessage="1" xr:uid="{F4E4290C-BA95-42C2-9DD4-FCBAB12DDF8D}">
          <x14:formula1>
            <xm:f>項目!A4:$KIK$983042</xm:f>
          </x14:formula1>
          <xm:sqref>KIT983047:KIT983070</xm:sqref>
        </x14:dataValidation>
        <x14:dataValidation type="list" allowBlank="1" showInputMessage="1" showErrorMessage="1" xr:uid="{826C4CB2-52EE-4407-8D67-FA92BF65B3E7}">
          <x14:formula1>
            <xm:f>項目!A4:$KSG$983042</xm:f>
          </x14:formula1>
          <xm:sqref>KSP983047:KSP983070</xm:sqref>
        </x14:dataValidation>
        <x14:dataValidation type="list" allowBlank="1" showInputMessage="1" showErrorMessage="1" xr:uid="{5C1ED47A-9E37-45DC-896A-6257B42ED4F1}">
          <x14:formula1>
            <xm:f>項目!A4:$LCC$983042</xm:f>
          </x14:formula1>
          <xm:sqref>LCL983047:LCL983070</xm:sqref>
        </x14:dataValidation>
        <x14:dataValidation type="list" allowBlank="1" showInputMessage="1" showErrorMessage="1" xr:uid="{02E49A04-6DAD-422F-BE39-57F0F3019598}">
          <x14:formula1>
            <xm:f>項目!A4:$LLY$983042</xm:f>
          </x14:formula1>
          <xm:sqref>LMH983047:LMH983070</xm:sqref>
        </x14:dataValidation>
        <x14:dataValidation type="list" allowBlank="1" showInputMessage="1" showErrorMessage="1" xr:uid="{421EA74B-841F-463A-8266-34D6607E552D}">
          <x14:formula1>
            <xm:f>項目!A4:$LVU$983042</xm:f>
          </x14:formula1>
          <xm:sqref>LWD983047:LWD983070</xm:sqref>
        </x14:dataValidation>
        <x14:dataValidation type="list" allowBlank="1" showInputMessage="1" showErrorMessage="1" xr:uid="{F37179C8-FD52-4D14-8ADD-83A387A17168}">
          <x14:formula1>
            <xm:f>項目!A4:$MFQ$983042</xm:f>
          </x14:formula1>
          <xm:sqref>MFZ983047:MFZ983070</xm:sqref>
        </x14:dataValidation>
        <x14:dataValidation type="list" allowBlank="1" showInputMessage="1" showErrorMessage="1" xr:uid="{0C1BA8FA-CF69-437A-B53D-293A3AE04E5C}">
          <x14:formula1>
            <xm:f>項目!A4:$MPM$983042</xm:f>
          </x14:formula1>
          <xm:sqref>MPV983047:MPV983070</xm:sqref>
        </x14:dataValidation>
        <x14:dataValidation type="list" allowBlank="1" showInputMessage="1" showErrorMessage="1" xr:uid="{6C94316A-37B4-489C-9E44-989D5CA4DE2A}">
          <x14:formula1>
            <xm:f>項目!A4:$MZI$983042</xm:f>
          </x14:formula1>
          <xm:sqref>MZR983047:MZR983070</xm:sqref>
        </x14:dataValidation>
        <x14:dataValidation type="list" allowBlank="1" showInputMessage="1" showErrorMessage="1" xr:uid="{EDD5283A-9DA8-45E0-B34F-EDD9E96DBC03}">
          <x14:formula1>
            <xm:f>項目!A4:$NJE$983042</xm:f>
          </x14:formula1>
          <xm:sqref>NJN983047:NJN983070</xm:sqref>
        </x14:dataValidation>
        <x14:dataValidation type="list" allowBlank="1" showInputMessage="1" showErrorMessage="1" xr:uid="{CCBE2229-22BC-4FBB-BC8A-CCCD9B98508E}">
          <x14:formula1>
            <xm:f>項目!A4:$NTA$983042</xm:f>
          </x14:formula1>
          <xm:sqref>NTJ983047:NTJ983070</xm:sqref>
        </x14:dataValidation>
        <x14:dataValidation type="list" allowBlank="1" showInputMessage="1" showErrorMessage="1" xr:uid="{E44637EF-E24F-4622-A91D-57A4EA125389}">
          <x14:formula1>
            <xm:f>項目!A4:$OCW$983042</xm:f>
          </x14:formula1>
          <xm:sqref>ODF983047:ODF983070</xm:sqref>
        </x14:dataValidation>
        <x14:dataValidation type="list" allowBlank="1" showInputMessage="1" showErrorMessage="1" xr:uid="{8B269DB3-B8B6-4A86-92D7-7A2A885362AA}">
          <x14:formula1>
            <xm:f>項目!A4:$OMS$983042</xm:f>
          </x14:formula1>
          <xm:sqref>ONB983047:ONB983070</xm:sqref>
        </x14:dataValidation>
        <x14:dataValidation type="list" allowBlank="1" showInputMessage="1" showErrorMessage="1" xr:uid="{69D92C37-F06E-4ABA-9C53-FF217F58EE6D}">
          <x14:formula1>
            <xm:f>項目!A4:$OWO$983042</xm:f>
          </x14:formula1>
          <xm:sqref>OWX983047:OWX983070</xm:sqref>
        </x14:dataValidation>
        <x14:dataValidation type="list" allowBlank="1" showInputMessage="1" showErrorMessage="1" xr:uid="{907BAB6C-0BFD-4239-B37B-0C7F94A44FFF}">
          <x14:formula1>
            <xm:f>項目!A4:$PGK$983042</xm:f>
          </x14:formula1>
          <xm:sqref>PGT983047:PGT983070</xm:sqref>
        </x14:dataValidation>
        <x14:dataValidation type="list" allowBlank="1" showInputMessage="1" showErrorMessage="1" xr:uid="{0564213F-AB43-4E63-A179-FAC57E18505D}">
          <x14:formula1>
            <xm:f>項目!A4:$PQG$983042</xm:f>
          </x14:formula1>
          <xm:sqref>PQP983047:PQP983070</xm:sqref>
        </x14:dataValidation>
        <x14:dataValidation type="list" allowBlank="1" showInputMessage="1" showErrorMessage="1" xr:uid="{1705D2F6-9DC0-4546-AC37-4F3B99C6B11A}">
          <x14:formula1>
            <xm:f>項目!A4:$QAC$983042</xm:f>
          </x14:formula1>
          <xm:sqref>QAL983047:QAL983070</xm:sqref>
        </x14:dataValidation>
        <x14:dataValidation type="list" allowBlank="1" showInputMessage="1" showErrorMessage="1" xr:uid="{344BBACD-016C-47D8-9991-27202165F32F}">
          <x14:formula1>
            <xm:f>項目!A4:$QJY$983042</xm:f>
          </x14:formula1>
          <xm:sqref>QKH983047:QKH983070</xm:sqref>
        </x14:dataValidation>
        <x14:dataValidation type="list" allowBlank="1" showInputMessage="1" showErrorMessage="1" xr:uid="{9F86213B-5B90-4282-9F45-6D1F8A4DC167}">
          <x14:formula1>
            <xm:f>項目!A4:$QTU$983042</xm:f>
          </x14:formula1>
          <xm:sqref>QUD983047:QUD983070</xm:sqref>
        </x14:dataValidation>
        <x14:dataValidation type="list" allowBlank="1" showInputMessage="1" showErrorMessage="1" xr:uid="{D9E6FA8D-6B57-4509-9FA5-3CBAA3783AE8}">
          <x14:formula1>
            <xm:f>項目!A4:$RDQ$983042</xm:f>
          </x14:formula1>
          <xm:sqref>RDZ983047:RDZ983070</xm:sqref>
        </x14:dataValidation>
        <x14:dataValidation type="list" allowBlank="1" showInputMessage="1" showErrorMessage="1" xr:uid="{2DEAE5DC-0B8E-45ED-9C32-8047C7373331}">
          <x14:formula1>
            <xm:f>項目!A4:$RNM$983042</xm:f>
          </x14:formula1>
          <xm:sqref>RNV983047:RNV983070</xm:sqref>
        </x14:dataValidation>
        <x14:dataValidation type="list" allowBlank="1" showInputMessage="1" showErrorMessage="1" xr:uid="{1E372ACF-06E2-48A3-ABD1-479785993C96}">
          <x14:formula1>
            <xm:f>項目!A4:$RXI$983042</xm:f>
          </x14:formula1>
          <xm:sqref>RXR983047:RXR983070</xm:sqref>
        </x14:dataValidation>
        <x14:dataValidation type="list" allowBlank="1" showInputMessage="1" showErrorMessage="1" xr:uid="{68E508BD-7FCE-4B82-BE05-074D7039603D}">
          <x14:formula1>
            <xm:f>項目!A4:$SHE$983042</xm:f>
          </x14:formula1>
          <xm:sqref>SHN983047:SHN983070</xm:sqref>
        </x14:dataValidation>
        <x14:dataValidation type="list" allowBlank="1" showInputMessage="1" showErrorMessage="1" xr:uid="{DE8BD36F-EE3B-4D68-A9D8-1DBA40516BA3}">
          <x14:formula1>
            <xm:f>項目!A4:$SRA$983042</xm:f>
          </x14:formula1>
          <xm:sqref>SRJ983047:SRJ983070</xm:sqref>
        </x14:dataValidation>
        <x14:dataValidation type="list" allowBlank="1" showInputMessage="1" showErrorMessage="1" xr:uid="{EB36E340-69B3-41D4-A4B4-CBA5162C8266}">
          <x14:formula1>
            <xm:f>項目!A4:$TAW$983042</xm:f>
          </x14:formula1>
          <xm:sqref>TBF983047:TBF983070</xm:sqref>
        </x14:dataValidation>
        <x14:dataValidation type="list" allowBlank="1" showInputMessage="1" showErrorMessage="1" xr:uid="{837B494A-91E6-47AC-BBC9-38FD55591634}">
          <x14:formula1>
            <xm:f>項目!A4:$TKS$983042</xm:f>
          </x14:formula1>
          <xm:sqref>TLB983047:TLB983070</xm:sqref>
        </x14:dataValidation>
        <x14:dataValidation type="list" allowBlank="1" showInputMessage="1" showErrorMessage="1" xr:uid="{C19851AC-E1EA-4D4C-9AEA-EF3F09D58CD7}">
          <x14:formula1>
            <xm:f>項目!A4:$TUO$983042</xm:f>
          </x14:formula1>
          <xm:sqref>TUX983047:TUX983070</xm:sqref>
        </x14:dataValidation>
        <x14:dataValidation type="list" allowBlank="1" showInputMessage="1" showErrorMessage="1" xr:uid="{D1E422BB-03EF-4CEE-BCEA-8E9B7D4D34BC}">
          <x14:formula1>
            <xm:f>項目!A4:$UEK$983042</xm:f>
          </x14:formula1>
          <xm:sqref>UET983047:UET983070</xm:sqref>
        </x14:dataValidation>
        <x14:dataValidation type="list" allowBlank="1" showInputMessage="1" showErrorMessage="1" xr:uid="{6E15A879-E029-412A-8B5D-F26D969FD53E}">
          <x14:formula1>
            <xm:f>項目!A4:$UOG$983042</xm:f>
          </x14:formula1>
          <xm:sqref>UOP983047:UOP983070</xm:sqref>
        </x14:dataValidation>
        <x14:dataValidation type="list" allowBlank="1" showInputMessage="1" showErrorMessage="1" xr:uid="{F7906602-41A7-4970-B2F2-9706DA8DC9AF}">
          <x14:formula1>
            <xm:f>項目!A4:$UYC$983042</xm:f>
          </x14:formula1>
          <xm:sqref>UYL983047:UYL983070</xm:sqref>
        </x14:dataValidation>
        <x14:dataValidation type="list" allowBlank="1" showInputMessage="1" showErrorMessage="1" xr:uid="{5E4D9BB0-8C72-40F8-B65F-13341ECDDB80}">
          <x14:formula1>
            <xm:f>項目!A4:$VHY$983042</xm:f>
          </x14:formula1>
          <xm:sqref>VIH983047:VIH983070</xm:sqref>
        </x14:dataValidation>
        <x14:dataValidation type="list" allowBlank="1" showInputMessage="1" showErrorMessage="1" xr:uid="{91E5A5A8-F31E-49F6-B1CA-0CA88EDE81DC}">
          <x14:formula1>
            <xm:f>項目!A4:$VRU$983042</xm:f>
          </x14:formula1>
          <xm:sqref>VSD983047:VSD983070</xm:sqref>
        </x14:dataValidation>
        <x14:dataValidation type="list" allowBlank="1" showInputMessage="1" showErrorMessage="1" xr:uid="{A452B9EE-8649-49D3-9E35-A0D52D789ED8}">
          <x14:formula1>
            <xm:f>項目!A4:$WBQ$983042</xm:f>
          </x14:formula1>
          <xm:sqref>WBZ983047:WBZ983070</xm:sqref>
        </x14:dataValidation>
        <x14:dataValidation type="list" allowBlank="1" showInputMessage="1" showErrorMessage="1" xr:uid="{5041E3E9-A116-4AF8-9010-DE5574CDC4B9}">
          <x14:formula1>
            <xm:f>項目!A4:$WLM$983042</xm:f>
          </x14:formula1>
          <xm:sqref>WLV983047:WLV983070</xm:sqref>
        </x14:dataValidation>
        <x14:dataValidation type="list" allowBlank="1" showInputMessage="1" showErrorMessage="1" xr:uid="{5BFA4065-53BC-4100-A705-255F56163D3C}">
          <x14:formula1>
            <xm:f>項目!A4:$WVI$983042</xm:f>
          </x14:formula1>
          <xm:sqref>WVR983047:WVR983070</xm:sqref>
        </x14:dataValidation>
        <x14:dataValidation type="list" allowBlank="1" showInputMessage="1" showErrorMessage="1" xr:uid="{BDFFDFBE-0433-459D-AE2A-0C4D67E38B02}">
          <x14:formula1>
            <xm:f>項目!A4:$JA$65538</xm:f>
          </x14:formula1>
          <xm:sqref>JJ65543:JJ65566</xm:sqref>
        </x14:dataValidation>
        <x14:dataValidation type="list" allowBlank="1" showInputMessage="1" showErrorMessage="1" xr:uid="{1776B74C-F6CD-4A3B-BA9E-EE7B5E11652B}">
          <x14:formula1>
            <xm:f>項目!A4:$SW$65538</xm:f>
          </x14:formula1>
          <xm:sqref>TF65543:TF65566</xm:sqref>
        </x14:dataValidation>
        <x14:dataValidation type="list" allowBlank="1" showInputMessage="1" showErrorMessage="1" xr:uid="{B4079F0E-C962-4B7A-AEAA-8ED223AC1BA9}">
          <x14:formula1>
            <xm:f>項目!A4:$ACS$65538</xm:f>
          </x14:formula1>
          <xm:sqref>ADB65543:ADB65566</xm:sqref>
        </x14:dataValidation>
        <x14:dataValidation type="list" allowBlank="1" showInputMessage="1" showErrorMessage="1" xr:uid="{D792092A-1025-461B-8851-C9539571548F}">
          <x14:formula1>
            <xm:f>項目!A4:$AMO$65538</xm:f>
          </x14:formula1>
          <xm:sqref>AMX65543:AMX65566</xm:sqref>
        </x14:dataValidation>
        <x14:dataValidation type="list" allowBlank="1" showInputMessage="1" showErrorMessage="1" xr:uid="{79E98E58-7C85-4259-B25E-269B6DCAC44F}">
          <x14:formula1>
            <xm:f>項目!A4:$AWK$65538</xm:f>
          </x14:formula1>
          <xm:sqref>AWT65543:AWT65566</xm:sqref>
        </x14:dataValidation>
        <x14:dataValidation type="list" allowBlank="1" showInputMessage="1" showErrorMessage="1" xr:uid="{CEC96D30-D596-4A99-A0A0-EC00ACB385B3}">
          <x14:formula1>
            <xm:f>項目!A4:$BGG$65538</xm:f>
          </x14:formula1>
          <xm:sqref>BGP65543:BGP65566</xm:sqref>
        </x14:dataValidation>
        <x14:dataValidation type="list" allowBlank="1" showInputMessage="1" showErrorMessage="1" xr:uid="{E3EDE529-AE5B-4E51-B8B9-0E6F0BCF3FD3}">
          <x14:formula1>
            <xm:f>項目!A4:$BQC$65538</xm:f>
          </x14:formula1>
          <xm:sqref>BQL65543:BQL65566</xm:sqref>
        </x14:dataValidation>
        <x14:dataValidation type="list" allowBlank="1" showInputMessage="1" showErrorMessage="1" xr:uid="{246E964A-4496-401D-B6D2-067BFE88513C}">
          <x14:formula1>
            <xm:f>項目!A4:$BZY$65538</xm:f>
          </x14:formula1>
          <xm:sqref>CAH65543:CAH65566</xm:sqref>
        </x14:dataValidation>
        <x14:dataValidation type="list" allowBlank="1" showInputMessage="1" showErrorMessage="1" xr:uid="{A5EDF257-C937-4078-B456-B9D7E0A40F6C}">
          <x14:formula1>
            <xm:f>項目!A4:$CJU$65538</xm:f>
          </x14:formula1>
          <xm:sqref>CKD65543:CKD65566</xm:sqref>
        </x14:dataValidation>
        <x14:dataValidation type="list" allowBlank="1" showInputMessage="1" showErrorMessage="1" xr:uid="{C6158389-3D75-4D1A-9DE0-C68AF0117C9E}">
          <x14:formula1>
            <xm:f>項目!A4:$CTQ$65538</xm:f>
          </x14:formula1>
          <xm:sqref>CTZ65543:CTZ65566</xm:sqref>
        </x14:dataValidation>
        <x14:dataValidation type="list" allowBlank="1" showInputMessage="1" showErrorMessage="1" xr:uid="{1FAD9E16-BA0E-46AD-ABB4-1EA024C3A637}">
          <x14:formula1>
            <xm:f>項目!A4:$DDM$65538</xm:f>
          </x14:formula1>
          <xm:sqref>DDV65543:DDV65566</xm:sqref>
        </x14:dataValidation>
        <x14:dataValidation type="list" allowBlank="1" showInputMessage="1" showErrorMessage="1" xr:uid="{4ABCD8B5-652F-464C-92D3-4B4AA55DA0FE}">
          <x14:formula1>
            <xm:f>項目!A4:$DNI$65538</xm:f>
          </x14:formula1>
          <xm:sqref>DNR65543:DNR65566</xm:sqref>
        </x14:dataValidation>
        <x14:dataValidation type="list" allowBlank="1" showInputMessage="1" showErrorMessage="1" xr:uid="{0468BC0B-BA6C-4A2D-B87F-F13BE1164D8E}">
          <x14:formula1>
            <xm:f>項目!A4:$DXE$65538</xm:f>
          </x14:formula1>
          <xm:sqref>DXN65543:DXN65566</xm:sqref>
        </x14:dataValidation>
        <x14:dataValidation type="list" allowBlank="1" showInputMessage="1" showErrorMessage="1" xr:uid="{0456E9ED-581E-4A40-82A0-49C4F325DC77}">
          <x14:formula1>
            <xm:f>項目!A4:$EHA$65538</xm:f>
          </x14:formula1>
          <xm:sqref>EHJ65543:EHJ65566</xm:sqref>
        </x14:dataValidation>
        <x14:dataValidation type="list" allowBlank="1" showInputMessage="1" showErrorMessage="1" xr:uid="{31D72EB0-24E8-47C5-9A9A-D960B98C6FAD}">
          <x14:formula1>
            <xm:f>項目!A4:$EQW$65538</xm:f>
          </x14:formula1>
          <xm:sqref>ERF65543:ERF65566</xm:sqref>
        </x14:dataValidation>
        <x14:dataValidation type="list" allowBlank="1" showInputMessage="1" showErrorMessage="1" xr:uid="{4B1ED726-5B8A-46D3-BE36-F221D73F30F2}">
          <x14:formula1>
            <xm:f>項目!A4:$FAS$65538</xm:f>
          </x14:formula1>
          <xm:sqref>FBB65543:FBB65566</xm:sqref>
        </x14:dataValidation>
        <x14:dataValidation type="list" allowBlank="1" showInputMessage="1" showErrorMessage="1" xr:uid="{4B7C3AB4-4B1B-4E11-9E1D-618AD5221180}">
          <x14:formula1>
            <xm:f>項目!A4:$FKO$65538</xm:f>
          </x14:formula1>
          <xm:sqref>FKX65543:FKX65566</xm:sqref>
        </x14:dataValidation>
        <x14:dataValidation type="list" allowBlank="1" showInputMessage="1" showErrorMessage="1" xr:uid="{5A87BF35-CA29-45A9-ACC6-2EF94A1ED475}">
          <x14:formula1>
            <xm:f>項目!A4:$FUK$65538</xm:f>
          </x14:formula1>
          <xm:sqref>FUT65543:FUT65566</xm:sqref>
        </x14:dataValidation>
        <x14:dataValidation type="list" allowBlank="1" showInputMessage="1" showErrorMessage="1" xr:uid="{DD322ABD-6B18-4751-B88C-8724D675044F}">
          <x14:formula1>
            <xm:f>項目!A4:$GEG$65538</xm:f>
          </x14:formula1>
          <xm:sqref>GEP65543:GEP65566</xm:sqref>
        </x14:dataValidation>
        <x14:dataValidation type="list" allowBlank="1" showInputMessage="1" showErrorMessage="1" xr:uid="{810A4FE3-3E17-4C24-BA6B-F7B9EC99A8C2}">
          <x14:formula1>
            <xm:f>項目!A4:$GOC$65538</xm:f>
          </x14:formula1>
          <xm:sqref>GOL65543:GOL65566</xm:sqref>
        </x14:dataValidation>
        <x14:dataValidation type="list" allowBlank="1" showInputMessage="1" showErrorMessage="1" xr:uid="{C44C05CC-8B3B-4747-9A69-5813B901E486}">
          <x14:formula1>
            <xm:f>項目!A4:$GXY$65538</xm:f>
          </x14:formula1>
          <xm:sqref>GYH65543:GYH65566</xm:sqref>
        </x14:dataValidation>
        <x14:dataValidation type="list" allowBlank="1" showInputMessage="1" showErrorMessage="1" xr:uid="{3B5D8153-781C-409C-BCEB-922C0E6FC4CA}">
          <x14:formula1>
            <xm:f>項目!A4:$HHU$65538</xm:f>
          </x14:formula1>
          <xm:sqref>HID65543:HID65566</xm:sqref>
        </x14:dataValidation>
        <x14:dataValidation type="list" allowBlank="1" showInputMessage="1" showErrorMessage="1" xr:uid="{F4AFBC93-84EC-4DEB-80D2-2F98C4FD0683}">
          <x14:formula1>
            <xm:f>項目!A4:$HRQ$65538</xm:f>
          </x14:formula1>
          <xm:sqref>HRZ65543:HRZ65566</xm:sqref>
        </x14:dataValidation>
        <x14:dataValidation type="list" allowBlank="1" showInputMessage="1" showErrorMessage="1" xr:uid="{D8D82A7A-CBD7-404F-9522-03846CEF40DA}">
          <x14:formula1>
            <xm:f>項目!A4:$IBM$65538</xm:f>
          </x14:formula1>
          <xm:sqref>IBV65543:IBV65566</xm:sqref>
        </x14:dataValidation>
        <x14:dataValidation type="list" allowBlank="1" showInputMessage="1" showErrorMessage="1" xr:uid="{7159B1C4-B6A0-45D9-8216-CE78F9EEF0BC}">
          <x14:formula1>
            <xm:f>項目!A4:$ILI$65538</xm:f>
          </x14:formula1>
          <xm:sqref>ILR65543:ILR65566</xm:sqref>
        </x14:dataValidation>
        <x14:dataValidation type="list" allowBlank="1" showInputMessage="1" showErrorMessage="1" xr:uid="{90C89A8E-FDF5-49CE-A7FE-58D2886372C8}">
          <x14:formula1>
            <xm:f>項目!A4:$IVE$65538</xm:f>
          </x14:formula1>
          <xm:sqref>IVN65543:IVN65566</xm:sqref>
        </x14:dataValidation>
        <x14:dataValidation type="list" allowBlank="1" showInputMessage="1" showErrorMessage="1" xr:uid="{30FE4956-5DD2-48E5-9655-ADA488F4C732}">
          <x14:formula1>
            <xm:f>項目!A4:$JFA$65538</xm:f>
          </x14:formula1>
          <xm:sqref>JFJ65543:JFJ65566</xm:sqref>
        </x14:dataValidation>
        <x14:dataValidation type="list" allowBlank="1" showInputMessage="1" showErrorMessage="1" xr:uid="{00B7C5D9-DD6C-4F1F-984A-B71DBC04B3CB}">
          <x14:formula1>
            <xm:f>項目!A4:$JOW$65538</xm:f>
          </x14:formula1>
          <xm:sqref>JPF65543:JPF65566</xm:sqref>
        </x14:dataValidation>
        <x14:dataValidation type="list" allowBlank="1" showInputMessage="1" showErrorMessage="1" xr:uid="{1A29B593-1941-4DD5-8CAC-DE6853F71F86}">
          <x14:formula1>
            <xm:f>項目!A4:$JYS$65538</xm:f>
          </x14:formula1>
          <xm:sqref>JZB65543:JZB65566</xm:sqref>
        </x14:dataValidation>
        <x14:dataValidation type="list" allowBlank="1" showInputMessage="1" showErrorMessage="1" xr:uid="{9FA82C0D-8463-4410-ABEA-3E7E0F403A38}">
          <x14:formula1>
            <xm:f>項目!A4:$KIO$65538</xm:f>
          </x14:formula1>
          <xm:sqref>KIX65543:KIX65566</xm:sqref>
        </x14:dataValidation>
        <x14:dataValidation type="list" allowBlank="1" showInputMessage="1" showErrorMessage="1" xr:uid="{59F7623F-1C55-40FF-9715-420DB6D65AC4}">
          <x14:formula1>
            <xm:f>項目!A4:$KSK$65538</xm:f>
          </x14:formula1>
          <xm:sqref>KST65543:KST65566</xm:sqref>
        </x14:dataValidation>
        <x14:dataValidation type="list" allowBlank="1" showInputMessage="1" showErrorMessage="1" xr:uid="{7ABF8A2B-C8B4-45A1-AB2D-7AD11732CF61}">
          <x14:formula1>
            <xm:f>項目!A4:$LCG$65538</xm:f>
          </x14:formula1>
          <xm:sqref>LCP65543:LCP65566</xm:sqref>
        </x14:dataValidation>
        <x14:dataValidation type="list" allowBlank="1" showInputMessage="1" showErrorMessage="1" xr:uid="{375E32B6-E258-41FE-85C3-60CAD155EB07}">
          <x14:formula1>
            <xm:f>項目!A4:$LMC$65538</xm:f>
          </x14:formula1>
          <xm:sqref>LML65543:LML65566</xm:sqref>
        </x14:dataValidation>
        <x14:dataValidation type="list" allowBlank="1" showInputMessage="1" showErrorMessage="1" xr:uid="{BE0A4EC9-8911-480A-9DAB-9F8153654EDC}">
          <x14:formula1>
            <xm:f>項目!A4:$LVY$65538</xm:f>
          </x14:formula1>
          <xm:sqref>LWH65543:LWH65566</xm:sqref>
        </x14:dataValidation>
        <x14:dataValidation type="list" allowBlank="1" showInputMessage="1" showErrorMessage="1" xr:uid="{AACF9397-CC7D-4C52-ABEC-97E05A384A37}">
          <x14:formula1>
            <xm:f>項目!A4:$MFU$65538</xm:f>
          </x14:formula1>
          <xm:sqref>MGD65543:MGD65566</xm:sqref>
        </x14:dataValidation>
        <x14:dataValidation type="list" allowBlank="1" showInputMessage="1" showErrorMessage="1" xr:uid="{D45AFAA7-94A3-4884-B38C-AF1735978A1C}">
          <x14:formula1>
            <xm:f>項目!A4:$MPQ$65538</xm:f>
          </x14:formula1>
          <xm:sqref>MPZ65543:MPZ65566</xm:sqref>
        </x14:dataValidation>
        <x14:dataValidation type="list" allowBlank="1" showInputMessage="1" showErrorMessage="1" xr:uid="{391E9551-1E37-4D95-AF92-6C93FDD1657D}">
          <x14:formula1>
            <xm:f>項目!A4:$MZM$65538</xm:f>
          </x14:formula1>
          <xm:sqref>MZV65543:MZV65566</xm:sqref>
        </x14:dataValidation>
        <x14:dataValidation type="list" allowBlank="1" showInputMessage="1" showErrorMessage="1" xr:uid="{D8598956-F2BC-4E0E-AEB6-9D83E85F2DC5}">
          <x14:formula1>
            <xm:f>項目!A4:$NJI$65538</xm:f>
          </x14:formula1>
          <xm:sqref>NJR65543:NJR65566</xm:sqref>
        </x14:dataValidation>
        <x14:dataValidation type="list" allowBlank="1" showInputMessage="1" showErrorMessage="1" xr:uid="{5BAAC259-B8E6-4CB2-9931-04E00A7E07A1}">
          <x14:formula1>
            <xm:f>項目!A4:$NTE$65538</xm:f>
          </x14:formula1>
          <xm:sqref>NTN65543:NTN65566</xm:sqref>
        </x14:dataValidation>
        <x14:dataValidation type="list" allowBlank="1" showInputMessage="1" showErrorMessage="1" xr:uid="{015FF939-7C2F-4BB4-9F0A-336630EB3861}">
          <x14:formula1>
            <xm:f>項目!A4:$ODA$65538</xm:f>
          </x14:formula1>
          <xm:sqref>ODJ65543:ODJ65566</xm:sqref>
        </x14:dataValidation>
        <x14:dataValidation type="list" allowBlank="1" showInputMessage="1" showErrorMessage="1" xr:uid="{5FBA5D09-9FB5-4411-9EB3-87992FC52836}">
          <x14:formula1>
            <xm:f>項目!A4:$OMW$65538</xm:f>
          </x14:formula1>
          <xm:sqref>ONF65543:ONF65566</xm:sqref>
        </x14:dataValidation>
        <x14:dataValidation type="list" allowBlank="1" showInputMessage="1" showErrorMessage="1" xr:uid="{25EFBBAB-C11B-4938-9AFE-1D9095EA2798}">
          <x14:formula1>
            <xm:f>項目!A4:$OWS$65538</xm:f>
          </x14:formula1>
          <xm:sqref>OXB65543:OXB65566</xm:sqref>
        </x14:dataValidation>
        <x14:dataValidation type="list" allowBlank="1" showInputMessage="1" showErrorMessage="1" xr:uid="{6D11C169-DFF6-4F77-9E55-97A6CFF4D972}">
          <x14:formula1>
            <xm:f>項目!A4:$PGO$65538</xm:f>
          </x14:formula1>
          <xm:sqref>PGX65543:PGX65566</xm:sqref>
        </x14:dataValidation>
        <x14:dataValidation type="list" allowBlank="1" showInputMessage="1" showErrorMessage="1" xr:uid="{656F8C6A-AF3C-4D8D-B747-1A8B15D9943E}">
          <x14:formula1>
            <xm:f>項目!A4:$PQK$65538</xm:f>
          </x14:formula1>
          <xm:sqref>PQT65543:PQT65566</xm:sqref>
        </x14:dataValidation>
        <x14:dataValidation type="list" allowBlank="1" showInputMessage="1" showErrorMessage="1" xr:uid="{987039F2-795B-4089-A897-41FAFF33F97A}">
          <x14:formula1>
            <xm:f>項目!A4:$QAG$65538</xm:f>
          </x14:formula1>
          <xm:sqref>QAP65543:QAP65566</xm:sqref>
        </x14:dataValidation>
        <x14:dataValidation type="list" allowBlank="1" showInputMessage="1" showErrorMessage="1" xr:uid="{EE400B45-6131-4EAC-894B-D3056D84CFC8}">
          <x14:formula1>
            <xm:f>項目!A4:$QKC$65538</xm:f>
          </x14:formula1>
          <xm:sqref>QKL65543:QKL65566</xm:sqref>
        </x14:dataValidation>
        <x14:dataValidation type="list" allowBlank="1" showInputMessage="1" showErrorMessage="1" xr:uid="{F1DCB13D-31ED-47CE-BB26-A26C98C73DB2}">
          <x14:formula1>
            <xm:f>項目!A4:$QTY$65538</xm:f>
          </x14:formula1>
          <xm:sqref>QUH65543:QUH65566</xm:sqref>
        </x14:dataValidation>
        <x14:dataValidation type="list" allowBlank="1" showInputMessage="1" showErrorMessage="1" xr:uid="{0FA6FFC7-B135-4DA0-B51E-093A82C4EA1D}">
          <x14:formula1>
            <xm:f>項目!A4:$RDU$65538</xm:f>
          </x14:formula1>
          <xm:sqref>RED65543:RED65566</xm:sqref>
        </x14:dataValidation>
        <x14:dataValidation type="list" allowBlank="1" showInputMessage="1" showErrorMessage="1" xr:uid="{3886C073-1C38-44C1-9F96-02AA72AEBF64}">
          <x14:formula1>
            <xm:f>項目!A4:$RNQ$65538</xm:f>
          </x14:formula1>
          <xm:sqref>RNZ65543:RNZ65566</xm:sqref>
        </x14:dataValidation>
        <x14:dataValidation type="list" allowBlank="1" showInputMessage="1" showErrorMessage="1" xr:uid="{72FC3E44-7B48-4C75-BDDC-8DD4F2FA813F}">
          <x14:formula1>
            <xm:f>項目!A4:$RXM$65538</xm:f>
          </x14:formula1>
          <xm:sqref>RXV65543:RXV65566</xm:sqref>
        </x14:dataValidation>
        <x14:dataValidation type="list" allowBlank="1" showInputMessage="1" showErrorMessage="1" xr:uid="{2F4EBE01-D954-402A-996A-FD93CF91CE84}">
          <x14:formula1>
            <xm:f>項目!A4:$SHI$65538</xm:f>
          </x14:formula1>
          <xm:sqref>SHR65543:SHR65566</xm:sqref>
        </x14:dataValidation>
        <x14:dataValidation type="list" allowBlank="1" showInputMessage="1" showErrorMessage="1" xr:uid="{5D1787C2-6727-492E-9235-3B8F7E24EA1C}">
          <x14:formula1>
            <xm:f>項目!A4:$SRE$65538</xm:f>
          </x14:formula1>
          <xm:sqref>SRN65543:SRN65566</xm:sqref>
        </x14:dataValidation>
        <x14:dataValidation type="list" allowBlank="1" showInputMessage="1" showErrorMessage="1" xr:uid="{5F1E54CE-49A2-450B-9505-3AB9362530B9}">
          <x14:formula1>
            <xm:f>項目!A4:$TBA$65538</xm:f>
          </x14:formula1>
          <xm:sqref>TBJ65543:TBJ65566</xm:sqref>
        </x14:dataValidation>
        <x14:dataValidation type="list" allowBlank="1" showInputMessage="1" showErrorMessage="1" xr:uid="{6731A030-B1AE-4EF8-AAD3-424D5855DDAA}">
          <x14:formula1>
            <xm:f>項目!A4:$TKW$65538</xm:f>
          </x14:formula1>
          <xm:sqref>TLF65543:TLF65566</xm:sqref>
        </x14:dataValidation>
        <x14:dataValidation type="list" allowBlank="1" showInputMessage="1" showErrorMessage="1" xr:uid="{0EE9AC4C-C86D-4516-A320-CEA4B3242B16}">
          <x14:formula1>
            <xm:f>項目!A4:$TUS$65538</xm:f>
          </x14:formula1>
          <xm:sqref>TVB65543:TVB65566</xm:sqref>
        </x14:dataValidation>
        <x14:dataValidation type="list" allowBlank="1" showInputMessage="1" showErrorMessage="1" xr:uid="{2CBC9577-F982-4D62-AF84-6CAAF7D8CDC5}">
          <x14:formula1>
            <xm:f>項目!A4:$UEO$65538</xm:f>
          </x14:formula1>
          <xm:sqref>UEX65543:UEX65566</xm:sqref>
        </x14:dataValidation>
        <x14:dataValidation type="list" allowBlank="1" showInputMessage="1" showErrorMessage="1" xr:uid="{050AF76F-E886-4E57-AEB5-B04A33FBEE92}">
          <x14:formula1>
            <xm:f>項目!A4:$UOK$65538</xm:f>
          </x14:formula1>
          <xm:sqref>UOT65543:UOT65566</xm:sqref>
        </x14:dataValidation>
        <x14:dataValidation type="list" allowBlank="1" showInputMessage="1" showErrorMessage="1" xr:uid="{E8E86661-6C4C-4E5B-9CC4-121547A504D4}">
          <x14:formula1>
            <xm:f>項目!A4:$UYG$65538</xm:f>
          </x14:formula1>
          <xm:sqref>UYP65543:UYP65566</xm:sqref>
        </x14:dataValidation>
        <x14:dataValidation type="list" allowBlank="1" showInputMessage="1" showErrorMessage="1" xr:uid="{2E9E279E-B320-4936-88BF-7C1B1153BEFB}">
          <x14:formula1>
            <xm:f>項目!A4:$VIC$65538</xm:f>
          </x14:formula1>
          <xm:sqref>VIL65543:VIL65566</xm:sqref>
        </x14:dataValidation>
        <x14:dataValidation type="list" allowBlank="1" showInputMessage="1" showErrorMessage="1" xr:uid="{B3EEA116-DE50-40FB-AFA5-D648261D58FE}">
          <x14:formula1>
            <xm:f>項目!A4:$VRY$65538</xm:f>
          </x14:formula1>
          <xm:sqref>VSH65543:VSH65566</xm:sqref>
        </x14:dataValidation>
        <x14:dataValidation type="list" allowBlank="1" showInputMessage="1" showErrorMessage="1" xr:uid="{8F248641-21E2-4898-8492-C324380090BA}">
          <x14:formula1>
            <xm:f>項目!A4:$WBU$65538</xm:f>
          </x14:formula1>
          <xm:sqref>WCD65543:WCD65566</xm:sqref>
        </x14:dataValidation>
        <x14:dataValidation type="list" allowBlank="1" showInputMessage="1" showErrorMessage="1" xr:uid="{5192570C-D3EB-474E-AC5E-A1C4EB5C304D}">
          <x14:formula1>
            <xm:f>項目!A4:$WLQ$65538</xm:f>
          </x14:formula1>
          <xm:sqref>WLZ65543:WLZ65566</xm:sqref>
        </x14:dataValidation>
        <x14:dataValidation type="list" allowBlank="1" showInputMessage="1" showErrorMessage="1" xr:uid="{A175B519-0B9A-4326-8497-5F26B558C356}">
          <x14:formula1>
            <xm:f>項目!A4:$WVM$65538</xm:f>
          </x14:formula1>
          <xm:sqref>WVV65543:WVV65566</xm:sqref>
        </x14:dataValidation>
        <x14:dataValidation type="list" allowBlank="1" showInputMessage="1" showErrorMessage="1" xr:uid="{C04C3D24-1244-49BD-96E8-7B6D8C5AE015}">
          <x14:formula1>
            <xm:f>項目!A4:$JA$131074</xm:f>
          </x14:formula1>
          <xm:sqref>JJ131079:JJ131102</xm:sqref>
        </x14:dataValidation>
        <x14:dataValidation type="list" allowBlank="1" showInputMessage="1" showErrorMessage="1" xr:uid="{91594712-F70B-43D6-83F0-41DAE010E1C8}">
          <x14:formula1>
            <xm:f>項目!A4:$SW$131074</xm:f>
          </x14:formula1>
          <xm:sqref>TF131079:TF131102</xm:sqref>
        </x14:dataValidation>
        <x14:dataValidation type="list" allowBlank="1" showInputMessage="1" showErrorMessage="1" xr:uid="{DFBA20E7-BB24-43CA-9A47-85AFB0D98A06}">
          <x14:formula1>
            <xm:f>項目!A4:$ACS$131074</xm:f>
          </x14:formula1>
          <xm:sqref>ADB131079:ADB131102</xm:sqref>
        </x14:dataValidation>
        <x14:dataValidation type="list" allowBlank="1" showInputMessage="1" showErrorMessage="1" xr:uid="{00E99ABD-2EB3-4134-AFFE-6DE2EC03FA30}">
          <x14:formula1>
            <xm:f>項目!A4:$AMO$131074</xm:f>
          </x14:formula1>
          <xm:sqref>AMX131079:AMX131102</xm:sqref>
        </x14:dataValidation>
        <x14:dataValidation type="list" allowBlank="1" showInputMessage="1" showErrorMessage="1" xr:uid="{ECF57DAE-0520-4CBA-8F58-192AA351A8B5}">
          <x14:formula1>
            <xm:f>項目!A4:$AWK$131074</xm:f>
          </x14:formula1>
          <xm:sqref>AWT131079:AWT131102</xm:sqref>
        </x14:dataValidation>
        <x14:dataValidation type="list" allowBlank="1" showInputMessage="1" showErrorMessage="1" xr:uid="{C4A6A76C-CCDC-457B-B4F7-536B563BEB6A}">
          <x14:formula1>
            <xm:f>項目!A4:$BGG$131074</xm:f>
          </x14:formula1>
          <xm:sqref>BGP131079:BGP131102</xm:sqref>
        </x14:dataValidation>
        <x14:dataValidation type="list" allowBlank="1" showInputMessage="1" showErrorMessage="1" xr:uid="{802CFF0E-2DC1-4486-8D7B-66B3577F6EFF}">
          <x14:formula1>
            <xm:f>項目!A4:$BQC$131074</xm:f>
          </x14:formula1>
          <xm:sqref>BQL131079:BQL131102</xm:sqref>
        </x14:dataValidation>
        <x14:dataValidation type="list" allowBlank="1" showInputMessage="1" showErrorMessage="1" xr:uid="{5C4FF335-ADF9-4B00-BE7E-D63C7C61BBB1}">
          <x14:formula1>
            <xm:f>項目!A4:$BZY$131074</xm:f>
          </x14:formula1>
          <xm:sqref>CAH131079:CAH131102</xm:sqref>
        </x14:dataValidation>
        <x14:dataValidation type="list" allowBlank="1" showInputMessage="1" showErrorMessage="1" xr:uid="{660F1230-13E0-42A4-9781-2EA013C914D4}">
          <x14:formula1>
            <xm:f>項目!A4:$CJU$131074</xm:f>
          </x14:formula1>
          <xm:sqref>CKD131079:CKD131102</xm:sqref>
        </x14:dataValidation>
        <x14:dataValidation type="list" allowBlank="1" showInputMessage="1" showErrorMessage="1" xr:uid="{33B53531-6535-45FB-B8FB-0D0D34306E83}">
          <x14:formula1>
            <xm:f>項目!A4:$CTQ$131074</xm:f>
          </x14:formula1>
          <xm:sqref>CTZ131079:CTZ131102</xm:sqref>
        </x14:dataValidation>
        <x14:dataValidation type="list" allowBlank="1" showInputMessage="1" showErrorMessage="1" xr:uid="{5415AC00-A31D-40A2-9537-072A0AE8F695}">
          <x14:formula1>
            <xm:f>項目!A4:$DDM$131074</xm:f>
          </x14:formula1>
          <xm:sqref>DDV131079:DDV131102</xm:sqref>
        </x14:dataValidation>
        <x14:dataValidation type="list" allowBlank="1" showInputMessage="1" showErrorMessage="1" xr:uid="{1602791D-22E0-4088-8CAB-9EDC74532DB9}">
          <x14:formula1>
            <xm:f>項目!A4:$DNI$131074</xm:f>
          </x14:formula1>
          <xm:sqref>DNR131079:DNR131102</xm:sqref>
        </x14:dataValidation>
        <x14:dataValidation type="list" allowBlank="1" showInputMessage="1" showErrorMessage="1" xr:uid="{AAD33A1D-21E3-4166-9ACC-D3620385246B}">
          <x14:formula1>
            <xm:f>項目!A4:$DXE$131074</xm:f>
          </x14:formula1>
          <xm:sqref>DXN131079:DXN131102</xm:sqref>
        </x14:dataValidation>
        <x14:dataValidation type="list" allowBlank="1" showInputMessage="1" showErrorMessage="1" xr:uid="{AB6A49B5-CC36-4A35-BA9E-21BFF1F37F4E}">
          <x14:formula1>
            <xm:f>項目!A4:$EHA$131074</xm:f>
          </x14:formula1>
          <xm:sqref>EHJ131079:EHJ131102</xm:sqref>
        </x14:dataValidation>
        <x14:dataValidation type="list" allowBlank="1" showInputMessage="1" showErrorMessage="1" xr:uid="{DB11ECB0-A8B2-4656-8B99-28379FC05225}">
          <x14:formula1>
            <xm:f>項目!A4:$EQW$131074</xm:f>
          </x14:formula1>
          <xm:sqref>ERF131079:ERF131102</xm:sqref>
        </x14:dataValidation>
        <x14:dataValidation type="list" allowBlank="1" showInputMessage="1" showErrorMessage="1" xr:uid="{4E2CB1DE-29D0-4C51-8EDC-6ADE99E124C8}">
          <x14:formula1>
            <xm:f>項目!A4:$FAS$131074</xm:f>
          </x14:formula1>
          <xm:sqref>FBB131079:FBB131102</xm:sqref>
        </x14:dataValidation>
        <x14:dataValidation type="list" allowBlank="1" showInputMessage="1" showErrorMessage="1" xr:uid="{105BFD7A-1A67-4283-9016-3323C5C836F4}">
          <x14:formula1>
            <xm:f>項目!A4:$FKO$131074</xm:f>
          </x14:formula1>
          <xm:sqref>FKX131079:FKX131102</xm:sqref>
        </x14:dataValidation>
        <x14:dataValidation type="list" allowBlank="1" showInputMessage="1" showErrorMessage="1" xr:uid="{B805F482-EBDC-4A5E-8420-56AE7A1102E1}">
          <x14:formula1>
            <xm:f>項目!A4:$FUK$131074</xm:f>
          </x14:formula1>
          <xm:sqref>FUT131079:FUT131102</xm:sqref>
        </x14:dataValidation>
        <x14:dataValidation type="list" allowBlank="1" showInputMessage="1" showErrorMessage="1" xr:uid="{D937E8D7-A301-4ADD-9287-386270BDE9EB}">
          <x14:formula1>
            <xm:f>項目!A4:$GEG$131074</xm:f>
          </x14:formula1>
          <xm:sqref>GEP131079:GEP131102</xm:sqref>
        </x14:dataValidation>
        <x14:dataValidation type="list" allowBlank="1" showInputMessage="1" showErrorMessage="1" xr:uid="{C87CE43A-E9A0-41F7-B4CA-A8CAAB28F98E}">
          <x14:formula1>
            <xm:f>項目!A4:$GOC$131074</xm:f>
          </x14:formula1>
          <xm:sqref>GOL131079:GOL131102</xm:sqref>
        </x14:dataValidation>
        <x14:dataValidation type="list" allowBlank="1" showInputMessage="1" showErrorMessage="1" xr:uid="{AAF18A71-EBBA-480B-BCBD-C609A40AA542}">
          <x14:formula1>
            <xm:f>項目!A4:$GXY$131074</xm:f>
          </x14:formula1>
          <xm:sqref>GYH131079:GYH131102</xm:sqref>
        </x14:dataValidation>
        <x14:dataValidation type="list" allowBlank="1" showInputMessage="1" showErrorMessage="1" xr:uid="{F923E368-0888-4B05-9F18-7803DD964DDA}">
          <x14:formula1>
            <xm:f>項目!A4:$HHU$131074</xm:f>
          </x14:formula1>
          <xm:sqref>HID131079:HID131102</xm:sqref>
        </x14:dataValidation>
        <x14:dataValidation type="list" allowBlank="1" showInputMessage="1" showErrorMessage="1" xr:uid="{CE22E634-A350-478E-A801-FBFFE46489C5}">
          <x14:formula1>
            <xm:f>項目!A4:$HRQ$131074</xm:f>
          </x14:formula1>
          <xm:sqref>HRZ131079:HRZ131102</xm:sqref>
        </x14:dataValidation>
        <x14:dataValidation type="list" allowBlank="1" showInputMessage="1" showErrorMessage="1" xr:uid="{5F64191E-B607-4DE3-924F-B80664CE9195}">
          <x14:formula1>
            <xm:f>項目!A4:$IBM$131074</xm:f>
          </x14:formula1>
          <xm:sqref>IBV131079:IBV131102</xm:sqref>
        </x14:dataValidation>
        <x14:dataValidation type="list" allowBlank="1" showInputMessage="1" showErrorMessage="1" xr:uid="{DEA65EA8-857F-441E-ADF2-37E25EE1E1BB}">
          <x14:formula1>
            <xm:f>項目!A4:$ILI$131074</xm:f>
          </x14:formula1>
          <xm:sqref>ILR131079:ILR131102</xm:sqref>
        </x14:dataValidation>
        <x14:dataValidation type="list" allowBlank="1" showInputMessage="1" showErrorMessage="1" xr:uid="{82996A47-FD33-456E-8B57-9E4462D0A112}">
          <x14:formula1>
            <xm:f>項目!A4:$IVE$131074</xm:f>
          </x14:formula1>
          <xm:sqref>IVN131079:IVN131102</xm:sqref>
        </x14:dataValidation>
        <x14:dataValidation type="list" allowBlank="1" showInputMessage="1" showErrorMessage="1" xr:uid="{6F5F138B-381F-49D9-8C66-A2B46D2A6A87}">
          <x14:formula1>
            <xm:f>項目!A4:$JFA$131074</xm:f>
          </x14:formula1>
          <xm:sqref>JFJ131079:JFJ131102</xm:sqref>
        </x14:dataValidation>
        <x14:dataValidation type="list" allowBlank="1" showInputMessage="1" showErrorMessage="1" xr:uid="{11BCB098-2748-4053-869A-765A188CBC71}">
          <x14:formula1>
            <xm:f>項目!A4:$JOW$131074</xm:f>
          </x14:formula1>
          <xm:sqref>JPF131079:JPF131102</xm:sqref>
        </x14:dataValidation>
        <x14:dataValidation type="list" allowBlank="1" showInputMessage="1" showErrorMessage="1" xr:uid="{CD10A482-71AA-47DC-AC8A-ED1B4B8493E5}">
          <x14:formula1>
            <xm:f>項目!A4:$JYS$131074</xm:f>
          </x14:formula1>
          <xm:sqref>JZB131079:JZB131102</xm:sqref>
        </x14:dataValidation>
        <x14:dataValidation type="list" allowBlank="1" showInputMessage="1" showErrorMessage="1" xr:uid="{004DC461-4E55-4FFD-A82B-3A56FE9F39AF}">
          <x14:formula1>
            <xm:f>項目!A4:$KIO$131074</xm:f>
          </x14:formula1>
          <xm:sqref>KIX131079:KIX131102</xm:sqref>
        </x14:dataValidation>
        <x14:dataValidation type="list" allowBlank="1" showInputMessage="1" showErrorMessage="1" xr:uid="{0EF39A76-1C5D-4227-8903-392E83A99143}">
          <x14:formula1>
            <xm:f>項目!A4:$KSK$131074</xm:f>
          </x14:formula1>
          <xm:sqref>KST131079:KST131102</xm:sqref>
        </x14:dataValidation>
        <x14:dataValidation type="list" allowBlank="1" showInputMessage="1" showErrorMessage="1" xr:uid="{31680D6B-1546-495B-AA4F-2CBB0AEFB259}">
          <x14:formula1>
            <xm:f>項目!A4:$LCG$131074</xm:f>
          </x14:formula1>
          <xm:sqref>LCP131079:LCP131102</xm:sqref>
        </x14:dataValidation>
        <x14:dataValidation type="list" allowBlank="1" showInputMessage="1" showErrorMessage="1" xr:uid="{0445C3C7-3B09-46CB-A469-DD1F97C4E8D8}">
          <x14:formula1>
            <xm:f>項目!A4:$LMC$131074</xm:f>
          </x14:formula1>
          <xm:sqref>LML131079:LML131102</xm:sqref>
        </x14:dataValidation>
        <x14:dataValidation type="list" allowBlank="1" showInputMessage="1" showErrorMessage="1" xr:uid="{5F456417-DEFE-4EF5-A942-2ECB42E2519C}">
          <x14:formula1>
            <xm:f>項目!A4:$LVY$131074</xm:f>
          </x14:formula1>
          <xm:sqref>LWH131079:LWH131102</xm:sqref>
        </x14:dataValidation>
        <x14:dataValidation type="list" allowBlank="1" showInputMessage="1" showErrorMessage="1" xr:uid="{736DB98E-FD33-4E1E-82E6-F78262E4ADAF}">
          <x14:formula1>
            <xm:f>項目!A4:$MFU$131074</xm:f>
          </x14:formula1>
          <xm:sqref>MGD131079:MGD131102</xm:sqref>
        </x14:dataValidation>
        <x14:dataValidation type="list" allowBlank="1" showInputMessage="1" showErrorMessage="1" xr:uid="{A01842F2-0CE6-491C-8A86-A725DC02775A}">
          <x14:formula1>
            <xm:f>項目!A4:$MPQ$131074</xm:f>
          </x14:formula1>
          <xm:sqref>MPZ131079:MPZ131102</xm:sqref>
        </x14:dataValidation>
        <x14:dataValidation type="list" allowBlank="1" showInputMessage="1" showErrorMessage="1" xr:uid="{71E39D5C-E682-4815-AF30-BA7D2C643802}">
          <x14:formula1>
            <xm:f>項目!A4:$MZM$131074</xm:f>
          </x14:formula1>
          <xm:sqref>MZV131079:MZV131102</xm:sqref>
        </x14:dataValidation>
        <x14:dataValidation type="list" allowBlank="1" showInputMessage="1" showErrorMessage="1" xr:uid="{7D70AE25-F872-4A08-8458-BC9F0D4F28A7}">
          <x14:formula1>
            <xm:f>項目!A4:$NJI$131074</xm:f>
          </x14:formula1>
          <xm:sqref>NJR131079:NJR131102</xm:sqref>
        </x14:dataValidation>
        <x14:dataValidation type="list" allowBlank="1" showInputMessage="1" showErrorMessage="1" xr:uid="{228DF4C3-8719-48EF-87FF-1BDAC41288F6}">
          <x14:formula1>
            <xm:f>項目!A4:$NTE$131074</xm:f>
          </x14:formula1>
          <xm:sqref>NTN131079:NTN131102</xm:sqref>
        </x14:dataValidation>
        <x14:dataValidation type="list" allowBlank="1" showInputMessage="1" showErrorMessage="1" xr:uid="{54CF7431-36C9-48B8-8D1B-CC54BBA6F9DF}">
          <x14:formula1>
            <xm:f>項目!A4:$ODA$131074</xm:f>
          </x14:formula1>
          <xm:sqref>ODJ131079:ODJ131102</xm:sqref>
        </x14:dataValidation>
        <x14:dataValidation type="list" allowBlank="1" showInputMessage="1" showErrorMessage="1" xr:uid="{757857A3-07F1-4E38-9B80-320DD3BCB396}">
          <x14:formula1>
            <xm:f>項目!A4:$OMW$131074</xm:f>
          </x14:formula1>
          <xm:sqref>ONF131079:ONF131102</xm:sqref>
        </x14:dataValidation>
        <x14:dataValidation type="list" allowBlank="1" showInputMessage="1" showErrorMessage="1" xr:uid="{7707A73B-4D20-4052-8133-02AADD8BB3F6}">
          <x14:formula1>
            <xm:f>項目!A4:$OWS$131074</xm:f>
          </x14:formula1>
          <xm:sqref>OXB131079:OXB131102</xm:sqref>
        </x14:dataValidation>
        <x14:dataValidation type="list" allowBlank="1" showInputMessage="1" showErrorMessage="1" xr:uid="{B71B76FC-C24F-4DA8-B935-B278E4EE19EA}">
          <x14:formula1>
            <xm:f>項目!A4:$PGO$131074</xm:f>
          </x14:formula1>
          <xm:sqref>PGX131079:PGX131102</xm:sqref>
        </x14:dataValidation>
        <x14:dataValidation type="list" allowBlank="1" showInputMessage="1" showErrorMessage="1" xr:uid="{C8437182-11DD-4B73-B3B8-F43E7BD0ADCE}">
          <x14:formula1>
            <xm:f>項目!A4:$PQK$131074</xm:f>
          </x14:formula1>
          <xm:sqref>PQT131079:PQT131102</xm:sqref>
        </x14:dataValidation>
        <x14:dataValidation type="list" allowBlank="1" showInputMessage="1" showErrorMessage="1" xr:uid="{24A0ACBC-F482-490D-9EE6-1FC5FB16B416}">
          <x14:formula1>
            <xm:f>項目!A4:$QAG$131074</xm:f>
          </x14:formula1>
          <xm:sqref>QAP131079:QAP131102</xm:sqref>
        </x14:dataValidation>
        <x14:dataValidation type="list" allowBlank="1" showInputMessage="1" showErrorMessage="1" xr:uid="{1DC1535D-0C99-4978-A30F-E9A2226B84B3}">
          <x14:formula1>
            <xm:f>項目!A4:$QKC$131074</xm:f>
          </x14:formula1>
          <xm:sqref>QKL131079:QKL131102</xm:sqref>
        </x14:dataValidation>
        <x14:dataValidation type="list" allowBlank="1" showInputMessage="1" showErrorMessage="1" xr:uid="{B74681A2-740F-4997-8DA4-4D48DDEDB656}">
          <x14:formula1>
            <xm:f>項目!A4:$QTY$131074</xm:f>
          </x14:formula1>
          <xm:sqref>QUH131079:QUH131102</xm:sqref>
        </x14:dataValidation>
        <x14:dataValidation type="list" allowBlank="1" showInputMessage="1" showErrorMessage="1" xr:uid="{656E57A3-AC07-46B4-8CB0-6A6D4D5D8309}">
          <x14:formula1>
            <xm:f>項目!A4:$RDU$131074</xm:f>
          </x14:formula1>
          <xm:sqref>RED131079:RED131102</xm:sqref>
        </x14:dataValidation>
        <x14:dataValidation type="list" allowBlank="1" showInputMessage="1" showErrorMessage="1" xr:uid="{486F4E78-5816-4111-9E27-66C4465B84C8}">
          <x14:formula1>
            <xm:f>項目!A4:$RNQ$131074</xm:f>
          </x14:formula1>
          <xm:sqref>RNZ131079:RNZ131102</xm:sqref>
        </x14:dataValidation>
        <x14:dataValidation type="list" allowBlank="1" showInputMessage="1" showErrorMessage="1" xr:uid="{AD9AA2DC-23E0-4466-AC83-0D00BBF83338}">
          <x14:formula1>
            <xm:f>項目!A4:$RXM$131074</xm:f>
          </x14:formula1>
          <xm:sqref>RXV131079:RXV131102</xm:sqref>
        </x14:dataValidation>
        <x14:dataValidation type="list" allowBlank="1" showInputMessage="1" showErrorMessage="1" xr:uid="{A71D792A-F22B-4F91-8FC3-B81EB1E18697}">
          <x14:formula1>
            <xm:f>項目!A4:$SHI$131074</xm:f>
          </x14:formula1>
          <xm:sqref>SHR131079:SHR131102</xm:sqref>
        </x14:dataValidation>
        <x14:dataValidation type="list" allowBlank="1" showInputMessage="1" showErrorMessage="1" xr:uid="{393BBD5C-D6C1-4C64-BE2F-7413F8C6BB17}">
          <x14:formula1>
            <xm:f>項目!A4:$SRE$131074</xm:f>
          </x14:formula1>
          <xm:sqref>SRN131079:SRN131102</xm:sqref>
        </x14:dataValidation>
        <x14:dataValidation type="list" allowBlank="1" showInputMessage="1" showErrorMessage="1" xr:uid="{5E9BE8CD-C914-49CF-92B3-5C722C1C1B50}">
          <x14:formula1>
            <xm:f>項目!A4:$TBA$131074</xm:f>
          </x14:formula1>
          <xm:sqref>TBJ131079:TBJ131102</xm:sqref>
        </x14:dataValidation>
        <x14:dataValidation type="list" allowBlank="1" showInputMessage="1" showErrorMessage="1" xr:uid="{1480F930-7ABD-4AA1-8375-D680647D0998}">
          <x14:formula1>
            <xm:f>項目!A4:$TKW$131074</xm:f>
          </x14:formula1>
          <xm:sqref>TLF131079:TLF131102</xm:sqref>
        </x14:dataValidation>
        <x14:dataValidation type="list" allowBlank="1" showInputMessage="1" showErrorMessage="1" xr:uid="{23211E99-5B52-4CF7-B553-1EF53C9A2FB4}">
          <x14:formula1>
            <xm:f>項目!A4:$TUS$131074</xm:f>
          </x14:formula1>
          <xm:sqref>TVB131079:TVB131102</xm:sqref>
        </x14:dataValidation>
        <x14:dataValidation type="list" allowBlank="1" showInputMessage="1" showErrorMessage="1" xr:uid="{4D5906F9-16C8-467E-BF0B-3D86A27A5C8F}">
          <x14:formula1>
            <xm:f>項目!A4:$UEO$131074</xm:f>
          </x14:formula1>
          <xm:sqref>UEX131079:UEX131102</xm:sqref>
        </x14:dataValidation>
        <x14:dataValidation type="list" allowBlank="1" showInputMessage="1" showErrorMessage="1" xr:uid="{DA3D41F1-3EDA-450E-9B00-22E0D1D4DB1D}">
          <x14:formula1>
            <xm:f>項目!A4:$UOK$131074</xm:f>
          </x14:formula1>
          <xm:sqref>UOT131079:UOT131102</xm:sqref>
        </x14:dataValidation>
        <x14:dataValidation type="list" allowBlank="1" showInputMessage="1" showErrorMessage="1" xr:uid="{6622FD6F-AB4E-44A3-A247-AF38D523D23C}">
          <x14:formula1>
            <xm:f>項目!A4:$UYG$131074</xm:f>
          </x14:formula1>
          <xm:sqref>UYP131079:UYP131102</xm:sqref>
        </x14:dataValidation>
        <x14:dataValidation type="list" allowBlank="1" showInputMessage="1" showErrorMessage="1" xr:uid="{AAE6682C-6D6B-46A8-A8E4-242904CA4920}">
          <x14:formula1>
            <xm:f>項目!A4:$VIC$131074</xm:f>
          </x14:formula1>
          <xm:sqref>VIL131079:VIL131102</xm:sqref>
        </x14:dataValidation>
        <x14:dataValidation type="list" allowBlank="1" showInputMessage="1" showErrorMessage="1" xr:uid="{73E72459-D6E7-4366-8B6F-835CF90E0C82}">
          <x14:formula1>
            <xm:f>項目!A4:$VRY$131074</xm:f>
          </x14:formula1>
          <xm:sqref>VSH131079:VSH131102</xm:sqref>
        </x14:dataValidation>
        <x14:dataValidation type="list" allowBlank="1" showInputMessage="1" showErrorMessage="1" xr:uid="{9B9D30F7-4359-4B17-A39C-CD28B72D8B70}">
          <x14:formula1>
            <xm:f>項目!A4:$WBU$131074</xm:f>
          </x14:formula1>
          <xm:sqref>WCD131079:WCD131102</xm:sqref>
        </x14:dataValidation>
        <x14:dataValidation type="list" allowBlank="1" showInputMessage="1" showErrorMessage="1" xr:uid="{DE074074-4388-4F58-9626-2C723EA11A89}">
          <x14:formula1>
            <xm:f>項目!A4:$WLQ$131074</xm:f>
          </x14:formula1>
          <xm:sqref>WLZ131079:WLZ131102</xm:sqref>
        </x14:dataValidation>
        <x14:dataValidation type="list" allowBlank="1" showInputMessage="1" showErrorMessage="1" xr:uid="{46A212C7-10F2-474E-91F3-904513CD90E6}">
          <x14:formula1>
            <xm:f>項目!A4:$WVM$131074</xm:f>
          </x14:formula1>
          <xm:sqref>WVV131079:WVV131102</xm:sqref>
        </x14:dataValidation>
        <x14:dataValidation type="list" allowBlank="1" showInputMessage="1" showErrorMessage="1" xr:uid="{5B71FDC8-111F-4C3A-BEB1-E6C3AAE807C4}">
          <x14:formula1>
            <xm:f>項目!A4:$JA$196610</xm:f>
          </x14:formula1>
          <xm:sqref>JJ196615:JJ196638</xm:sqref>
        </x14:dataValidation>
        <x14:dataValidation type="list" allowBlank="1" showInputMessage="1" showErrorMessage="1" xr:uid="{6921ABD2-739E-46E1-BDE0-3C2E09045D0E}">
          <x14:formula1>
            <xm:f>項目!A4:$SW$196610</xm:f>
          </x14:formula1>
          <xm:sqref>TF196615:TF196638</xm:sqref>
        </x14:dataValidation>
        <x14:dataValidation type="list" allowBlank="1" showInputMessage="1" showErrorMessage="1" xr:uid="{C42BA6AC-B15A-4F31-BEDF-590ADE90E230}">
          <x14:formula1>
            <xm:f>項目!A4:$ACS$196610</xm:f>
          </x14:formula1>
          <xm:sqref>ADB196615:ADB196638</xm:sqref>
        </x14:dataValidation>
        <x14:dataValidation type="list" allowBlank="1" showInputMessage="1" showErrorMessage="1" xr:uid="{71EBFF55-13C9-4B89-8D9B-7BFB4B6C2524}">
          <x14:formula1>
            <xm:f>項目!A4:$AMO$196610</xm:f>
          </x14:formula1>
          <xm:sqref>AMX196615:AMX196638</xm:sqref>
        </x14:dataValidation>
        <x14:dataValidation type="list" allowBlank="1" showInputMessage="1" showErrorMessage="1" xr:uid="{3BAD3B97-F4AB-4D29-AA03-F05F66D25BB5}">
          <x14:formula1>
            <xm:f>項目!A4:$AWK$196610</xm:f>
          </x14:formula1>
          <xm:sqref>AWT196615:AWT196638</xm:sqref>
        </x14:dataValidation>
        <x14:dataValidation type="list" allowBlank="1" showInputMessage="1" showErrorMessage="1" xr:uid="{907EB74B-2881-4888-AD68-7E382FD167ED}">
          <x14:formula1>
            <xm:f>項目!A4:$BGG$196610</xm:f>
          </x14:formula1>
          <xm:sqref>BGP196615:BGP196638</xm:sqref>
        </x14:dataValidation>
        <x14:dataValidation type="list" allowBlank="1" showInputMessage="1" showErrorMessage="1" xr:uid="{F5889064-E151-497D-963B-A5473598075A}">
          <x14:formula1>
            <xm:f>項目!A4:$BQC$196610</xm:f>
          </x14:formula1>
          <xm:sqref>BQL196615:BQL196638</xm:sqref>
        </x14:dataValidation>
        <x14:dataValidation type="list" allowBlank="1" showInputMessage="1" showErrorMessage="1" xr:uid="{3CDE9B58-BC3E-4312-8E7C-E8C52976CBE1}">
          <x14:formula1>
            <xm:f>項目!A4:$BZY$196610</xm:f>
          </x14:formula1>
          <xm:sqref>CAH196615:CAH196638</xm:sqref>
        </x14:dataValidation>
        <x14:dataValidation type="list" allowBlank="1" showInputMessage="1" showErrorMessage="1" xr:uid="{CC3C6F72-3F01-43EE-8632-8D293ED9E82D}">
          <x14:formula1>
            <xm:f>項目!A4:$CJU$196610</xm:f>
          </x14:formula1>
          <xm:sqref>CKD196615:CKD196638</xm:sqref>
        </x14:dataValidation>
        <x14:dataValidation type="list" allowBlank="1" showInputMessage="1" showErrorMessage="1" xr:uid="{52059E18-1D1D-4F05-A85C-4FDDEEAB6BF1}">
          <x14:formula1>
            <xm:f>項目!A4:$CTQ$196610</xm:f>
          </x14:formula1>
          <xm:sqref>CTZ196615:CTZ196638</xm:sqref>
        </x14:dataValidation>
        <x14:dataValidation type="list" allowBlank="1" showInputMessage="1" showErrorMessage="1" xr:uid="{1FBC37FD-4D48-40D0-AB26-919DB346FEA5}">
          <x14:formula1>
            <xm:f>項目!A4:$DDM$196610</xm:f>
          </x14:formula1>
          <xm:sqref>DDV196615:DDV196638</xm:sqref>
        </x14:dataValidation>
        <x14:dataValidation type="list" allowBlank="1" showInputMessage="1" showErrorMessage="1" xr:uid="{DD63414E-630B-4C45-AF92-9AA74AEF7D15}">
          <x14:formula1>
            <xm:f>項目!A4:$DNI$196610</xm:f>
          </x14:formula1>
          <xm:sqref>DNR196615:DNR196638</xm:sqref>
        </x14:dataValidation>
        <x14:dataValidation type="list" allowBlank="1" showInputMessage="1" showErrorMessage="1" xr:uid="{8C7AD39A-E857-4D51-A7E7-A5E996812C46}">
          <x14:formula1>
            <xm:f>項目!A4:$DXE$196610</xm:f>
          </x14:formula1>
          <xm:sqref>DXN196615:DXN196638</xm:sqref>
        </x14:dataValidation>
        <x14:dataValidation type="list" allowBlank="1" showInputMessage="1" showErrorMessage="1" xr:uid="{52B4BEFD-5017-4103-8BB7-FDC08A78B05E}">
          <x14:formula1>
            <xm:f>項目!A4:$EHA$196610</xm:f>
          </x14:formula1>
          <xm:sqref>EHJ196615:EHJ196638</xm:sqref>
        </x14:dataValidation>
        <x14:dataValidation type="list" allowBlank="1" showInputMessage="1" showErrorMessage="1" xr:uid="{F6154C04-B176-4F7F-ACF0-7D1A62125D59}">
          <x14:formula1>
            <xm:f>項目!A4:$EQW$196610</xm:f>
          </x14:formula1>
          <xm:sqref>ERF196615:ERF196638</xm:sqref>
        </x14:dataValidation>
        <x14:dataValidation type="list" allowBlank="1" showInputMessage="1" showErrorMessage="1" xr:uid="{9AAEBC7E-2E75-4D94-A9D7-2671F5BF3CCB}">
          <x14:formula1>
            <xm:f>項目!A4:$FAS$196610</xm:f>
          </x14:formula1>
          <xm:sqref>FBB196615:FBB196638</xm:sqref>
        </x14:dataValidation>
        <x14:dataValidation type="list" allowBlank="1" showInputMessage="1" showErrorMessage="1" xr:uid="{077F083D-2379-4244-B7EB-3E25529BC242}">
          <x14:formula1>
            <xm:f>項目!A4:$FKO$196610</xm:f>
          </x14:formula1>
          <xm:sqref>FKX196615:FKX196638</xm:sqref>
        </x14:dataValidation>
        <x14:dataValidation type="list" allowBlank="1" showInputMessage="1" showErrorMessage="1" xr:uid="{3A3E0F17-1EE2-43FD-B16F-0D878DFAEBDA}">
          <x14:formula1>
            <xm:f>項目!A4:$FUK$196610</xm:f>
          </x14:formula1>
          <xm:sqref>FUT196615:FUT196638</xm:sqref>
        </x14:dataValidation>
        <x14:dataValidation type="list" allowBlank="1" showInputMessage="1" showErrorMessage="1" xr:uid="{D755B7D7-53E1-4C99-897F-092241599678}">
          <x14:formula1>
            <xm:f>項目!A4:$GEG$196610</xm:f>
          </x14:formula1>
          <xm:sqref>GEP196615:GEP196638</xm:sqref>
        </x14:dataValidation>
        <x14:dataValidation type="list" allowBlank="1" showInputMessage="1" showErrorMessage="1" xr:uid="{7D8432A0-6D61-40A8-97DA-6A02275C33F2}">
          <x14:formula1>
            <xm:f>項目!A4:$GOC$196610</xm:f>
          </x14:formula1>
          <xm:sqref>GOL196615:GOL196638</xm:sqref>
        </x14:dataValidation>
        <x14:dataValidation type="list" allowBlank="1" showInputMessage="1" showErrorMessage="1" xr:uid="{87AC1A5D-D42A-4C04-88DC-9DC4BBF8A0E0}">
          <x14:formula1>
            <xm:f>項目!A4:$GXY$196610</xm:f>
          </x14:formula1>
          <xm:sqref>GYH196615:GYH196638</xm:sqref>
        </x14:dataValidation>
        <x14:dataValidation type="list" allowBlank="1" showInputMessage="1" showErrorMessage="1" xr:uid="{9BA156F3-C272-4247-8D1D-600E6B20CD38}">
          <x14:formula1>
            <xm:f>項目!A4:$HHU$196610</xm:f>
          </x14:formula1>
          <xm:sqref>HID196615:HID196638</xm:sqref>
        </x14:dataValidation>
        <x14:dataValidation type="list" allowBlank="1" showInputMessage="1" showErrorMessage="1" xr:uid="{6F43054F-FC5E-452B-82BB-01B3FC1E602E}">
          <x14:formula1>
            <xm:f>項目!A4:$HRQ$196610</xm:f>
          </x14:formula1>
          <xm:sqref>HRZ196615:HRZ196638</xm:sqref>
        </x14:dataValidation>
        <x14:dataValidation type="list" allowBlank="1" showInputMessage="1" showErrorMessage="1" xr:uid="{18711F02-47FC-496B-A5F6-81E14A0899C8}">
          <x14:formula1>
            <xm:f>項目!A4:$IBM$196610</xm:f>
          </x14:formula1>
          <xm:sqref>IBV196615:IBV196638</xm:sqref>
        </x14:dataValidation>
        <x14:dataValidation type="list" allowBlank="1" showInputMessage="1" showErrorMessage="1" xr:uid="{A09C4452-6CE2-4776-95A8-AA3E05DF0C91}">
          <x14:formula1>
            <xm:f>項目!A4:$ILI$196610</xm:f>
          </x14:formula1>
          <xm:sqref>ILR196615:ILR196638</xm:sqref>
        </x14:dataValidation>
        <x14:dataValidation type="list" allowBlank="1" showInputMessage="1" showErrorMessage="1" xr:uid="{8D47849B-A04E-4AE7-A5FE-05BDEB340884}">
          <x14:formula1>
            <xm:f>項目!A4:$IVE$196610</xm:f>
          </x14:formula1>
          <xm:sqref>IVN196615:IVN196638</xm:sqref>
        </x14:dataValidation>
        <x14:dataValidation type="list" allowBlank="1" showInputMessage="1" showErrorMessage="1" xr:uid="{5E99130B-3674-4961-A67C-BCA9D27A6571}">
          <x14:formula1>
            <xm:f>項目!A4:$JFA$196610</xm:f>
          </x14:formula1>
          <xm:sqref>JFJ196615:JFJ196638</xm:sqref>
        </x14:dataValidation>
        <x14:dataValidation type="list" allowBlank="1" showInputMessage="1" showErrorMessage="1" xr:uid="{6809DF1A-8553-4849-A19C-D07A90A23426}">
          <x14:formula1>
            <xm:f>項目!A4:$JOW$196610</xm:f>
          </x14:formula1>
          <xm:sqref>JPF196615:JPF196638</xm:sqref>
        </x14:dataValidation>
        <x14:dataValidation type="list" allowBlank="1" showInputMessage="1" showErrorMessage="1" xr:uid="{6F3F5002-B5C4-41DE-AF32-1549870EFA67}">
          <x14:formula1>
            <xm:f>項目!A4:$JYS$196610</xm:f>
          </x14:formula1>
          <xm:sqref>JZB196615:JZB196638</xm:sqref>
        </x14:dataValidation>
        <x14:dataValidation type="list" allowBlank="1" showInputMessage="1" showErrorMessage="1" xr:uid="{705302D9-C315-462D-813A-72ACFA26986B}">
          <x14:formula1>
            <xm:f>項目!A4:$KIO$196610</xm:f>
          </x14:formula1>
          <xm:sqref>KIX196615:KIX196638</xm:sqref>
        </x14:dataValidation>
        <x14:dataValidation type="list" allowBlank="1" showInputMessage="1" showErrorMessage="1" xr:uid="{193EEDE1-C659-40B1-9FE7-075A02EC6CE6}">
          <x14:formula1>
            <xm:f>項目!A4:$KSK$196610</xm:f>
          </x14:formula1>
          <xm:sqref>KST196615:KST196638</xm:sqref>
        </x14:dataValidation>
        <x14:dataValidation type="list" allowBlank="1" showInputMessage="1" showErrorMessage="1" xr:uid="{2F758308-70E0-4028-8C74-F4C2D54D0A48}">
          <x14:formula1>
            <xm:f>項目!A4:$LCG$196610</xm:f>
          </x14:formula1>
          <xm:sqref>LCP196615:LCP196638</xm:sqref>
        </x14:dataValidation>
        <x14:dataValidation type="list" allowBlank="1" showInputMessage="1" showErrorMessage="1" xr:uid="{E7CB7080-16E5-460F-88DC-268AFEDFA008}">
          <x14:formula1>
            <xm:f>項目!A4:$LMC$196610</xm:f>
          </x14:formula1>
          <xm:sqref>LML196615:LML196638</xm:sqref>
        </x14:dataValidation>
        <x14:dataValidation type="list" allowBlank="1" showInputMessage="1" showErrorMessage="1" xr:uid="{F77A0216-9021-40BE-9202-8FA9BB80C884}">
          <x14:formula1>
            <xm:f>項目!A4:$LVY$196610</xm:f>
          </x14:formula1>
          <xm:sqref>LWH196615:LWH196638</xm:sqref>
        </x14:dataValidation>
        <x14:dataValidation type="list" allowBlank="1" showInputMessage="1" showErrorMessage="1" xr:uid="{51891214-288A-4438-9C78-264B53D8DA1D}">
          <x14:formula1>
            <xm:f>項目!A4:$MFU$196610</xm:f>
          </x14:formula1>
          <xm:sqref>MGD196615:MGD196638</xm:sqref>
        </x14:dataValidation>
        <x14:dataValidation type="list" allowBlank="1" showInputMessage="1" showErrorMessage="1" xr:uid="{74509360-7AA6-466A-9BE9-CABB27910BAA}">
          <x14:formula1>
            <xm:f>項目!A4:$MPQ$196610</xm:f>
          </x14:formula1>
          <xm:sqref>MPZ196615:MPZ196638</xm:sqref>
        </x14:dataValidation>
        <x14:dataValidation type="list" allowBlank="1" showInputMessage="1" showErrorMessage="1" xr:uid="{6AF09F24-DDC3-4C02-B1EC-7B9803EEAB22}">
          <x14:formula1>
            <xm:f>項目!A4:$MZM$196610</xm:f>
          </x14:formula1>
          <xm:sqref>MZV196615:MZV196638</xm:sqref>
        </x14:dataValidation>
        <x14:dataValidation type="list" allowBlank="1" showInputMessage="1" showErrorMessage="1" xr:uid="{B1E2EA75-9C78-4410-B3ED-C067DC06D89E}">
          <x14:formula1>
            <xm:f>項目!A4:$NJI$196610</xm:f>
          </x14:formula1>
          <xm:sqref>NJR196615:NJR196638</xm:sqref>
        </x14:dataValidation>
        <x14:dataValidation type="list" allowBlank="1" showInputMessage="1" showErrorMessage="1" xr:uid="{C88E2B53-DFDF-42AC-9141-1822BEC77CAF}">
          <x14:formula1>
            <xm:f>項目!A4:$NTE$196610</xm:f>
          </x14:formula1>
          <xm:sqref>NTN196615:NTN196638</xm:sqref>
        </x14:dataValidation>
        <x14:dataValidation type="list" allowBlank="1" showInputMessage="1" showErrorMessage="1" xr:uid="{2F5FFCFB-4F56-448D-9EEF-CA4591833C21}">
          <x14:formula1>
            <xm:f>項目!A4:$ODA$196610</xm:f>
          </x14:formula1>
          <xm:sqref>ODJ196615:ODJ196638</xm:sqref>
        </x14:dataValidation>
        <x14:dataValidation type="list" allowBlank="1" showInputMessage="1" showErrorMessage="1" xr:uid="{DE8D81B3-0AB5-4D72-B292-0A96CEE6753C}">
          <x14:formula1>
            <xm:f>項目!A4:$OMW$196610</xm:f>
          </x14:formula1>
          <xm:sqref>ONF196615:ONF196638</xm:sqref>
        </x14:dataValidation>
        <x14:dataValidation type="list" allowBlank="1" showInputMessage="1" showErrorMessage="1" xr:uid="{B63BB779-A981-45D6-8B70-1BD2496C3C2A}">
          <x14:formula1>
            <xm:f>項目!A4:$OWS$196610</xm:f>
          </x14:formula1>
          <xm:sqref>OXB196615:OXB196638</xm:sqref>
        </x14:dataValidation>
        <x14:dataValidation type="list" allowBlank="1" showInputMessage="1" showErrorMessage="1" xr:uid="{F4911CDB-473E-4453-ADCF-9694A545D5A9}">
          <x14:formula1>
            <xm:f>項目!A4:$PGO$196610</xm:f>
          </x14:formula1>
          <xm:sqref>PGX196615:PGX196638</xm:sqref>
        </x14:dataValidation>
        <x14:dataValidation type="list" allowBlank="1" showInputMessage="1" showErrorMessage="1" xr:uid="{E778DCD8-B5CF-45D7-A0F8-04DC7E83BE90}">
          <x14:formula1>
            <xm:f>項目!A4:$PQK$196610</xm:f>
          </x14:formula1>
          <xm:sqref>PQT196615:PQT196638</xm:sqref>
        </x14:dataValidation>
        <x14:dataValidation type="list" allowBlank="1" showInputMessage="1" showErrorMessage="1" xr:uid="{FDB096E4-F4D4-463F-8C56-CA9355F29C22}">
          <x14:formula1>
            <xm:f>項目!A4:$QAG$196610</xm:f>
          </x14:formula1>
          <xm:sqref>QAP196615:QAP196638</xm:sqref>
        </x14:dataValidation>
        <x14:dataValidation type="list" allowBlank="1" showInputMessage="1" showErrorMessage="1" xr:uid="{897B3196-66FD-49D8-8C7F-A64D66A9E511}">
          <x14:formula1>
            <xm:f>項目!A4:$QKC$196610</xm:f>
          </x14:formula1>
          <xm:sqref>QKL196615:QKL196638</xm:sqref>
        </x14:dataValidation>
        <x14:dataValidation type="list" allowBlank="1" showInputMessage="1" showErrorMessage="1" xr:uid="{9D1BD735-813A-4307-BAF4-122D4C30AE66}">
          <x14:formula1>
            <xm:f>項目!A4:$QTY$196610</xm:f>
          </x14:formula1>
          <xm:sqref>QUH196615:QUH196638</xm:sqref>
        </x14:dataValidation>
        <x14:dataValidation type="list" allowBlank="1" showInputMessage="1" showErrorMessage="1" xr:uid="{888F4B3E-D5E3-40F3-9DCB-2FE49272EFC2}">
          <x14:formula1>
            <xm:f>項目!A4:$RDU$196610</xm:f>
          </x14:formula1>
          <xm:sqref>RED196615:RED196638</xm:sqref>
        </x14:dataValidation>
        <x14:dataValidation type="list" allowBlank="1" showInputMessage="1" showErrorMessage="1" xr:uid="{DC0E8718-CCCD-4637-9C82-7EC9662DC1FD}">
          <x14:formula1>
            <xm:f>項目!A4:$RNQ$196610</xm:f>
          </x14:formula1>
          <xm:sqref>RNZ196615:RNZ196638</xm:sqref>
        </x14:dataValidation>
        <x14:dataValidation type="list" allowBlank="1" showInputMessage="1" showErrorMessage="1" xr:uid="{DDBD3945-9139-4BEA-8116-0D6D424A2C95}">
          <x14:formula1>
            <xm:f>項目!A4:$RXM$196610</xm:f>
          </x14:formula1>
          <xm:sqref>RXV196615:RXV196638</xm:sqref>
        </x14:dataValidation>
        <x14:dataValidation type="list" allowBlank="1" showInputMessage="1" showErrorMessage="1" xr:uid="{5AF56CDA-B76D-4648-BFDC-FB6A6E32BE3E}">
          <x14:formula1>
            <xm:f>項目!A4:$SHI$196610</xm:f>
          </x14:formula1>
          <xm:sqref>SHR196615:SHR196638</xm:sqref>
        </x14:dataValidation>
        <x14:dataValidation type="list" allowBlank="1" showInputMessage="1" showErrorMessage="1" xr:uid="{01F84678-1409-4658-B681-F051936421E3}">
          <x14:formula1>
            <xm:f>項目!A4:$SRE$196610</xm:f>
          </x14:formula1>
          <xm:sqref>SRN196615:SRN196638</xm:sqref>
        </x14:dataValidation>
        <x14:dataValidation type="list" allowBlank="1" showInputMessage="1" showErrorMessage="1" xr:uid="{01B7F003-9E9E-4878-A611-6E5361828AAB}">
          <x14:formula1>
            <xm:f>項目!A4:$TBA$196610</xm:f>
          </x14:formula1>
          <xm:sqref>TBJ196615:TBJ196638</xm:sqref>
        </x14:dataValidation>
        <x14:dataValidation type="list" allowBlank="1" showInputMessage="1" showErrorMessage="1" xr:uid="{2A3573F3-516A-45F4-9FEA-246FC64588DB}">
          <x14:formula1>
            <xm:f>項目!A4:$TKW$196610</xm:f>
          </x14:formula1>
          <xm:sqref>TLF196615:TLF196638</xm:sqref>
        </x14:dataValidation>
        <x14:dataValidation type="list" allowBlank="1" showInputMessage="1" showErrorMessage="1" xr:uid="{33F528A6-596D-4CF7-A31A-280C2CCC6926}">
          <x14:formula1>
            <xm:f>項目!A4:$TUS$196610</xm:f>
          </x14:formula1>
          <xm:sqref>TVB196615:TVB196638</xm:sqref>
        </x14:dataValidation>
        <x14:dataValidation type="list" allowBlank="1" showInputMessage="1" showErrorMessage="1" xr:uid="{A9A62020-8274-466E-82E3-0C56C602DBE7}">
          <x14:formula1>
            <xm:f>項目!A4:$UEO$196610</xm:f>
          </x14:formula1>
          <xm:sqref>UEX196615:UEX196638</xm:sqref>
        </x14:dataValidation>
        <x14:dataValidation type="list" allowBlank="1" showInputMessage="1" showErrorMessage="1" xr:uid="{51EE9DBB-4F62-4C14-A814-25313FD3A31D}">
          <x14:formula1>
            <xm:f>項目!A4:$UOK$196610</xm:f>
          </x14:formula1>
          <xm:sqref>UOT196615:UOT196638</xm:sqref>
        </x14:dataValidation>
        <x14:dataValidation type="list" allowBlank="1" showInputMessage="1" showErrorMessage="1" xr:uid="{A3084968-55EE-4C1D-B5D4-54A2FD5806AC}">
          <x14:formula1>
            <xm:f>項目!A4:$UYG$196610</xm:f>
          </x14:formula1>
          <xm:sqref>UYP196615:UYP196638</xm:sqref>
        </x14:dataValidation>
        <x14:dataValidation type="list" allowBlank="1" showInputMessage="1" showErrorMessage="1" xr:uid="{8E52C44B-85B0-41A2-984D-F3ED4DA52CB7}">
          <x14:formula1>
            <xm:f>項目!A4:$VIC$196610</xm:f>
          </x14:formula1>
          <xm:sqref>VIL196615:VIL196638</xm:sqref>
        </x14:dataValidation>
        <x14:dataValidation type="list" allowBlank="1" showInputMessage="1" showErrorMessage="1" xr:uid="{5AD6F516-C5F0-4568-A809-68CA4F62F392}">
          <x14:formula1>
            <xm:f>項目!A4:$VRY$196610</xm:f>
          </x14:formula1>
          <xm:sqref>VSH196615:VSH196638</xm:sqref>
        </x14:dataValidation>
        <x14:dataValidation type="list" allowBlank="1" showInputMessage="1" showErrorMessage="1" xr:uid="{D1246DE1-A394-46B2-9EC7-C95157262C83}">
          <x14:formula1>
            <xm:f>項目!A4:$WBU$196610</xm:f>
          </x14:formula1>
          <xm:sqref>WCD196615:WCD196638</xm:sqref>
        </x14:dataValidation>
        <x14:dataValidation type="list" allowBlank="1" showInputMessage="1" showErrorMessage="1" xr:uid="{C925B8F7-9679-41AB-9A7B-5C83071D7FB4}">
          <x14:formula1>
            <xm:f>項目!A4:$WLQ$196610</xm:f>
          </x14:formula1>
          <xm:sqref>WLZ196615:WLZ196638</xm:sqref>
        </x14:dataValidation>
        <x14:dataValidation type="list" allowBlank="1" showInputMessage="1" showErrorMessage="1" xr:uid="{3EBB32F7-EF48-4FBC-8251-24D40E7A9203}">
          <x14:formula1>
            <xm:f>項目!A4:$WVM$196610</xm:f>
          </x14:formula1>
          <xm:sqref>WVV196615:WVV196638</xm:sqref>
        </x14:dataValidation>
        <x14:dataValidation type="list" allowBlank="1" showInputMessage="1" showErrorMessage="1" xr:uid="{BBFF8739-42F6-4778-84FB-3952BB08E8C6}">
          <x14:formula1>
            <xm:f>項目!A4:$JA$262146</xm:f>
          </x14:formula1>
          <xm:sqref>JJ262151:JJ262174</xm:sqref>
        </x14:dataValidation>
        <x14:dataValidation type="list" allowBlank="1" showInputMessage="1" showErrorMessage="1" xr:uid="{DF38584E-5C29-4775-A09F-024C86DA3F8F}">
          <x14:formula1>
            <xm:f>項目!A4:$SW$262146</xm:f>
          </x14:formula1>
          <xm:sqref>TF262151:TF262174</xm:sqref>
        </x14:dataValidation>
        <x14:dataValidation type="list" allowBlank="1" showInputMessage="1" showErrorMessage="1" xr:uid="{7382CE34-BE63-4B2F-B125-3B9C2284C7BD}">
          <x14:formula1>
            <xm:f>項目!A4:$ACS$262146</xm:f>
          </x14:formula1>
          <xm:sqref>ADB262151:ADB262174</xm:sqref>
        </x14:dataValidation>
        <x14:dataValidation type="list" allowBlank="1" showInputMessage="1" showErrorMessage="1" xr:uid="{4F2386C4-7F57-420E-8546-7D559F542D51}">
          <x14:formula1>
            <xm:f>項目!A4:$AMO$262146</xm:f>
          </x14:formula1>
          <xm:sqref>AMX262151:AMX262174</xm:sqref>
        </x14:dataValidation>
        <x14:dataValidation type="list" allowBlank="1" showInputMessage="1" showErrorMessage="1" xr:uid="{78C87F62-11D4-46EA-A0C9-B5C66807AF0C}">
          <x14:formula1>
            <xm:f>項目!A4:$AWK$262146</xm:f>
          </x14:formula1>
          <xm:sqref>AWT262151:AWT262174</xm:sqref>
        </x14:dataValidation>
        <x14:dataValidation type="list" allowBlank="1" showInputMessage="1" showErrorMessage="1" xr:uid="{A1AC6E5D-1F16-4356-8864-5996B809B900}">
          <x14:formula1>
            <xm:f>項目!A4:$BGG$262146</xm:f>
          </x14:formula1>
          <xm:sqref>BGP262151:BGP262174</xm:sqref>
        </x14:dataValidation>
        <x14:dataValidation type="list" allowBlank="1" showInputMessage="1" showErrorMessage="1" xr:uid="{4C3FA50D-A94C-4DC2-A40E-2BECCF71AA05}">
          <x14:formula1>
            <xm:f>項目!A4:$BQC$262146</xm:f>
          </x14:formula1>
          <xm:sqref>BQL262151:BQL262174</xm:sqref>
        </x14:dataValidation>
        <x14:dataValidation type="list" allowBlank="1" showInputMessage="1" showErrorMessage="1" xr:uid="{4C5473C0-412B-47D0-B1EA-FCF068B9D740}">
          <x14:formula1>
            <xm:f>項目!A4:$BZY$262146</xm:f>
          </x14:formula1>
          <xm:sqref>CAH262151:CAH262174</xm:sqref>
        </x14:dataValidation>
        <x14:dataValidation type="list" allowBlank="1" showInputMessage="1" showErrorMessage="1" xr:uid="{F4A05CCF-DC8D-43FF-BA2E-F84B011017D0}">
          <x14:formula1>
            <xm:f>項目!A4:$CJU$262146</xm:f>
          </x14:formula1>
          <xm:sqref>CKD262151:CKD262174</xm:sqref>
        </x14:dataValidation>
        <x14:dataValidation type="list" allowBlank="1" showInputMessage="1" showErrorMessage="1" xr:uid="{DA3AD1AF-A462-4123-998D-EFFDE99CDEE1}">
          <x14:formula1>
            <xm:f>項目!A4:$CTQ$262146</xm:f>
          </x14:formula1>
          <xm:sqref>CTZ262151:CTZ262174</xm:sqref>
        </x14:dataValidation>
        <x14:dataValidation type="list" allowBlank="1" showInputMessage="1" showErrorMessage="1" xr:uid="{E8674AE5-76A4-420A-864D-3E90D3D0D652}">
          <x14:formula1>
            <xm:f>項目!A4:$DDM$262146</xm:f>
          </x14:formula1>
          <xm:sqref>DDV262151:DDV262174</xm:sqref>
        </x14:dataValidation>
        <x14:dataValidation type="list" allowBlank="1" showInputMessage="1" showErrorMessage="1" xr:uid="{6C4708EB-C4D1-40F4-AA95-6D567A008DD6}">
          <x14:formula1>
            <xm:f>項目!A4:$DNI$262146</xm:f>
          </x14:formula1>
          <xm:sqref>DNR262151:DNR262174</xm:sqref>
        </x14:dataValidation>
        <x14:dataValidation type="list" allowBlank="1" showInputMessage="1" showErrorMessage="1" xr:uid="{12F39296-6C30-4949-B305-0E6293214F33}">
          <x14:formula1>
            <xm:f>項目!A4:$DXE$262146</xm:f>
          </x14:formula1>
          <xm:sqref>DXN262151:DXN262174</xm:sqref>
        </x14:dataValidation>
        <x14:dataValidation type="list" allowBlank="1" showInputMessage="1" showErrorMessage="1" xr:uid="{B87D2708-6934-445C-986F-7CA550905772}">
          <x14:formula1>
            <xm:f>項目!A4:$EHA$262146</xm:f>
          </x14:formula1>
          <xm:sqref>EHJ262151:EHJ262174</xm:sqref>
        </x14:dataValidation>
        <x14:dataValidation type="list" allowBlank="1" showInputMessage="1" showErrorMessage="1" xr:uid="{A6A5907A-0810-454F-A129-1CC6DFFC58E8}">
          <x14:formula1>
            <xm:f>項目!A4:$EQW$262146</xm:f>
          </x14:formula1>
          <xm:sqref>ERF262151:ERF262174</xm:sqref>
        </x14:dataValidation>
        <x14:dataValidation type="list" allowBlank="1" showInputMessage="1" showErrorMessage="1" xr:uid="{DA1BCC26-D243-4DF2-AE1E-E961D481251F}">
          <x14:formula1>
            <xm:f>項目!A4:$FAS$262146</xm:f>
          </x14:formula1>
          <xm:sqref>FBB262151:FBB262174</xm:sqref>
        </x14:dataValidation>
        <x14:dataValidation type="list" allowBlank="1" showInputMessage="1" showErrorMessage="1" xr:uid="{64E9E3F1-37C8-4084-BAEA-E5BC01B3FA98}">
          <x14:formula1>
            <xm:f>項目!A4:$FKO$262146</xm:f>
          </x14:formula1>
          <xm:sqref>FKX262151:FKX262174</xm:sqref>
        </x14:dataValidation>
        <x14:dataValidation type="list" allowBlank="1" showInputMessage="1" showErrorMessage="1" xr:uid="{84ED7E75-67F4-4851-B87B-A20C66DC35DD}">
          <x14:formula1>
            <xm:f>項目!A4:$FUK$262146</xm:f>
          </x14:formula1>
          <xm:sqref>FUT262151:FUT262174</xm:sqref>
        </x14:dataValidation>
        <x14:dataValidation type="list" allowBlank="1" showInputMessage="1" showErrorMessage="1" xr:uid="{A3DED224-3164-49C1-8049-964C17E0729A}">
          <x14:formula1>
            <xm:f>項目!A4:$GEG$262146</xm:f>
          </x14:formula1>
          <xm:sqref>GEP262151:GEP262174</xm:sqref>
        </x14:dataValidation>
        <x14:dataValidation type="list" allowBlank="1" showInputMessage="1" showErrorMessage="1" xr:uid="{B741729D-374B-4E15-B971-D3A1BBD12F76}">
          <x14:formula1>
            <xm:f>項目!A4:$GOC$262146</xm:f>
          </x14:formula1>
          <xm:sqref>GOL262151:GOL262174</xm:sqref>
        </x14:dataValidation>
        <x14:dataValidation type="list" allowBlank="1" showInputMessage="1" showErrorMessage="1" xr:uid="{E588E29A-B4EB-4C4B-A122-88A33519D3CB}">
          <x14:formula1>
            <xm:f>項目!A4:$GXY$262146</xm:f>
          </x14:formula1>
          <xm:sqref>GYH262151:GYH262174</xm:sqref>
        </x14:dataValidation>
        <x14:dataValidation type="list" allowBlank="1" showInputMessage="1" showErrorMessage="1" xr:uid="{BC059F54-9316-4E7B-93C5-AB1996B516A5}">
          <x14:formula1>
            <xm:f>項目!A4:$HHU$262146</xm:f>
          </x14:formula1>
          <xm:sqref>HID262151:HID262174</xm:sqref>
        </x14:dataValidation>
        <x14:dataValidation type="list" allowBlank="1" showInputMessage="1" showErrorMessage="1" xr:uid="{F66A850E-6890-4959-8ED8-554319DA1784}">
          <x14:formula1>
            <xm:f>項目!A4:$HRQ$262146</xm:f>
          </x14:formula1>
          <xm:sqref>HRZ262151:HRZ262174</xm:sqref>
        </x14:dataValidation>
        <x14:dataValidation type="list" allowBlank="1" showInputMessage="1" showErrorMessage="1" xr:uid="{B7B78991-3E91-455D-BCBF-DAC83043F69D}">
          <x14:formula1>
            <xm:f>項目!A4:$IBM$262146</xm:f>
          </x14:formula1>
          <xm:sqref>IBV262151:IBV262174</xm:sqref>
        </x14:dataValidation>
        <x14:dataValidation type="list" allowBlank="1" showInputMessage="1" showErrorMessage="1" xr:uid="{B7324517-F9E3-471E-9B44-1AD3C97F3694}">
          <x14:formula1>
            <xm:f>項目!A4:$ILI$262146</xm:f>
          </x14:formula1>
          <xm:sqref>ILR262151:ILR262174</xm:sqref>
        </x14:dataValidation>
        <x14:dataValidation type="list" allowBlank="1" showInputMessage="1" showErrorMessage="1" xr:uid="{94887700-0370-4ECE-888D-12A427211836}">
          <x14:formula1>
            <xm:f>項目!A4:$IVE$262146</xm:f>
          </x14:formula1>
          <xm:sqref>IVN262151:IVN262174</xm:sqref>
        </x14:dataValidation>
        <x14:dataValidation type="list" allowBlank="1" showInputMessage="1" showErrorMessage="1" xr:uid="{72795BEC-6F8F-4711-B367-7424701375F8}">
          <x14:formula1>
            <xm:f>項目!A4:$JFA$262146</xm:f>
          </x14:formula1>
          <xm:sqref>JFJ262151:JFJ262174</xm:sqref>
        </x14:dataValidation>
        <x14:dataValidation type="list" allowBlank="1" showInputMessage="1" showErrorMessage="1" xr:uid="{9B3DA51F-5245-4A8E-993B-DF670B4BA818}">
          <x14:formula1>
            <xm:f>項目!A4:$JOW$262146</xm:f>
          </x14:formula1>
          <xm:sqref>JPF262151:JPF262174</xm:sqref>
        </x14:dataValidation>
        <x14:dataValidation type="list" allowBlank="1" showInputMessage="1" showErrorMessage="1" xr:uid="{1DDAD83C-9774-489A-AE75-27A58D4D8260}">
          <x14:formula1>
            <xm:f>項目!A4:$JYS$262146</xm:f>
          </x14:formula1>
          <xm:sqref>JZB262151:JZB262174</xm:sqref>
        </x14:dataValidation>
        <x14:dataValidation type="list" allowBlank="1" showInputMessage="1" showErrorMessage="1" xr:uid="{E37E6EB1-8BEB-4E99-AAB9-BCCD61E89F65}">
          <x14:formula1>
            <xm:f>項目!A4:$KIO$262146</xm:f>
          </x14:formula1>
          <xm:sqref>KIX262151:KIX262174</xm:sqref>
        </x14:dataValidation>
        <x14:dataValidation type="list" allowBlank="1" showInputMessage="1" showErrorMessage="1" xr:uid="{AE33227D-5C16-49EA-BF49-9CD4BC004B98}">
          <x14:formula1>
            <xm:f>項目!A4:$KSK$262146</xm:f>
          </x14:formula1>
          <xm:sqref>KST262151:KST262174</xm:sqref>
        </x14:dataValidation>
        <x14:dataValidation type="list" allowBlank="1" showInputMessage="1" showErrorMessage="1" xr:uid="{D6DA552B-B13F-474B-AF6C-A94B2BB51AB1}">
          <x14:formula1>
            <xm:f>項目!A4:$LCG$262146</xm:f>
          </x14:formula1>
          <xm:sqref>LCP262151:LCP262174</xm:sqref>
        </x14:dataValidation>
        <x14:dataValidation type="list" allowBlank="1" showInputMessage="1" showErrorMessage="1" xr:uid="{6845C4FD-53A2-4B14-A375-F656C88EE6F6}">
          <x14:formula1>
            <xm:f>項目!A4:$LMC$262146</xm:f>
          </x14:formula1>
          <xm:sqref>LML262151:LML262174</xm:sqref>
        </x14:dataValidation>
        <x14:dataValidation type="list" allowBlank="1" showInputMessage="1" showErrorMessage="1" xr:uid="{0A02D270-CD3E-4029-B6D1-16BECFD2796B}">
          <x14:formula1>
            <xm:f>項目!A4:$LVY$262146</xm:f>
          </x14:formula1>
          <xm:sqref>LWH262151:LWH262174</xm:sqref>
        </x14:dataValidation>
        <x14:dataValidation type="list" allowBlank="1" showInputMessage="1" showErrorMessage="1" xr:uid="{7DAE5EAF-D410-4640-B683-A30FAA906D77}">
          <x14:formula1>
            <xm:f>項目!A4:$MFU$262146</xm:f>
          </x14:formula1>
          <xm:sqref>MGD262151:MGD262174</xm:sqref>
        </x14:dataValidation>
        <x14:dataValidation type="list" allowBlank="1" showInputMessage="1" showErrorMessage="1" xr:uid="{AAFB1136-C771-4A83-A248-319EFB993339}">
          <x14:formula1>
            <xm:f>項目!A4:$MPQ$262146</xm:f>
          </x14:formula1>
          <xm:sqref>MPZ262151:MPZ262174</xm:sqref>
        </x14:dataValidation>
        <x14:dataValidation type="list" allowBlank="1" showInputMessage="1" showErrorMessage="1" xr:uid="{A4C43BE1-F22D-4DE7-9EFA-7027E1540DAD}">
          <x14:formula1>
            <xm:f>項目!A4:$MZM$262146</xm:f>
          </x14:formula1>
          <xm:sqref>MZV262151:MZV262174</xm:sqref>
        </x14:dataValidation>
        <x14:dataValidation type="list" allowBlank="1" showInputMessage="1" showErrorMessage="1" xr:uid="{82B04162-94B7-4B9D-AF1D-ACF38511B626}">
          <x14:formula1>
            <xm:f>項目!A4:$NJI$262146</xm:f>
          </x14:formula1>
          <xm:sqref>NJR262151:NJR262174</xm:sqref>
        </x14:dataValidation>
        <x14:dataValidation type="list" allowBlank="1" showInputMessage="1" showErrorMessage="1" xr:uid="{0B85B39E-9B9A-4FBF-A707-D7F64D5FCC7B}">
          <x14:formula1>
            <xm:f>項目!A4:$NTE$262146</xm:f>
          </x14:formula1>
          <xm:sqref>NTN262151:NTN262174</xm:sqref>
        </x14:dataValidation>
        <x14:dataValidation type="list" allowBlank="1" showInputMessage="1" showErrorMessage="1" xr:uid="{65EDE686-8DD0-4980-9816-6FF755C79121}">
          <x14:formula1>
            <xm:f>項目!A4:$ODA$262146</xm:f>
          </x14:formula1>
          <xm:sqref>ODJ262151:ODJ262174</xm:sqref>
        </x14:dataValidation>
        <x14:dataValidation type="list" allowBlank="1" showInputMessage="1" showErrorMessage="1" xr:uid="{0310C0E6-C8FB-4A56-B61C-D81EE4D5FBFE}">
          <x14:formula1>
            <xm:f>項目!A4:$OMW$262146</xm:f>
          </x14:formula1>
          <xm:sqref>ONF262151:ONF262174</xm:sqref>
        </x14:dataValidation>
        <x14:dataValidation type="list" allowBlank="1" showInputMessage="1" showErrorMessage="1" xr:uid="{73E29C92-C80D-4602-91EC-4EE40775D78A}">
          <x14:formula1>
            <xm:f>項目!A4:$OWS$262146</xm:f>
          </x14:formula1>
          <xm:sqref>OXB262151:OXB262174</xm:sqref>
        </x14:dataValidation>
        <x14:dataValidation type="list" allowBlank="1" showInputMessage="1" showErrorMessage="1" xr:uid="{462E811B-57BE-4A59-A9B1-02336B2CFA59}">
          <x14:formula1>
            <xm:f>項目!A4:$PGO$262146</xm:f>
          </x14:formula1>
          <xm:sqref>PGX262151:PGX262174</xm:sqref>
        </x14:dataValidation>
        <x14:dataValidation type="list" allowBlank="1" showInputMessage="1" showErrorMessage="1" xr:uid="{00B83B42-9B61-43F7-BF07-3D1F01FF195F}">
          <x14:formula1>
            <xm:f>項目!A4:$PQK$262146</xm:f>
          </x14:formula1>
          <xm:sqref>PQT262151:PQT262174</xm:sqref>
        </x14:dataValidation>
        <x14:dataValidation type="list" allowBlank="1" showInputMessage="1" showErrorMessage="1" xr:uid="{3F5D872E-CFAF-41B5-8AAE-265F6C79D01F}">
          <x14:formula1>
            <xm:f>項目!A4:$QAG$262146</xm:f>
          </x14:formula1>
          <xm:sqref>QAP262151:QAP262174</xm:sqref>
        </x14:dataValidation>
        <x14:dataValidation type="list" allowBlank="1" showInputMessage="1" showErrorMessage="1" xr:uid="{9BEAB05C-DB46-4B2F-B0F9-F5A3B688C14D}">
          <x14:formula1>
            <xm:f>項目!A4:$QKC$262146</xm:f>
          </x14:formula1>
          <xm:sqref>QKL262151:QKL262174</xm:sqref>
        </x14:dataValidation>
        <x14:dataValidation type="list" allowBlank="1" showInputMessage="1" showErrorMessage="1" xr:uid="{2E83D059-334A-49F8-A71C-E6BA98DC4826}">
          <x14:formula1>
            <xm:f>項目!A4:$QTY$262146</xm:f>
          </x14:formula1>
          <xm:sqref>QUH262151:QUH262174</xm:sqref>
        </x14:dataValidation>
        <x14:dataValidation type="list" allowBlank="1" showInputMessage="1" showErrorMessage="1" xr:uid="{CEF1CA5B-2212-4A45-B7B5-AD0E6BF7CBDD}">
          <x14:formula1>
            <xm:f>項目!A4:$RDU$262146</xm:f>
          </x14:formula1>
          <xm:sqref>RED262151:RED262174</xm:sqref>
        </x14:dataValidation>
        <x14:dataValidation type="list" allowBlank="1" showInputMessage="1" showErrorMessage="1" xr:uid="{0129EFAA-AB62-4C83-834E-49967C72FF58}">
          <x14:formula1>
            <xm:f>項目!A4:$RNQ$262146</xm:f>
          </x14:formula1>
          <xm:sqref>RNZ262151:RNZ262174</xm:sqref>
        </x14:dataValidation>
        <x14:dataValidation type="list" allowBlank="1" showInputMessage="1" showErrorMessage="1" xr:uid="{49279A9F-4897-4F47-906F-B3F5AF15883C}">
          <x14:formula1>
            <xm:f>項目!A4:$RXM$262146</xm:f>
          </x14:formula1>
          <xm:sqref>RXV262151:RXV262174</xm:sqref>
        </x14:dataValidation>
        <x14:dataValidation type="list" allowBlank="1" showInputMessage="1" showErrorMessage="1" xr:uid="{168594A7-9917-4032-82FF-74455E9A7BDB}">
          <x14:formula1>
            <xm:f>項目!A4:$SHI$262146</xm:f>
          </x14:formula1>
          <xm:sqref>SHR262151:SHR262174</xm:sqref>
        </x14:dataValidation>
        <x14:dataValidation type="list" allowBlank="1" showInputMessage="1" showErrorMessage="1" xr:uid="{2BE04367-9B45-46AD-BA2A-C83AF8EF0A0B}">
          <x14:formula1>
            <xm:f>項目!A4:$SRE$262146</xm:f>
          </x14:formula1>
          <xm:sqref>SRN262151:SRN262174</xm:sqref>
        </x14:dataValidation>
        <x14:dataValidation type="list" allowBlank="1" showInputMessage="1" showErrorMessage="1" xr:uid="{312D5F4F-9AA6-4377-BBE3-970E0D653951}">
          <x14:formula1>
            <xm:f>項目!A4:$TBA$262146</xm:f>
          </x14:formula1>
          <xm:sqref>TBJ262151:TBJ262174</xm:sqref>
        </x14:dataValidation>
        <x14:dataValidation type="list" allowBlank="1" showInputMessage="1" showErrorMessage="1" xr:uid="{F49E312C-BE71-4F79-92FB-3FDADF829121}">
          <x14:formula1>
            <xm:f>項目!A4:$TKW$262146</xm:f>
          </x14:formula1>
          <xm:sqref>TLF262151:TLF262174</xm:sqref>
        </x14:dataValidation>
        <x14:dataValidation type="list" allowBlank="1" showInputMessage="1" showErrorMessage="1" xr:uid="{C8370925-E9CE-48C3-A172-E919D543EF61}">
          <x14:formula1>
            <xm:f>項目!A4:$TUS$262146</xm:f>
          </x14:formula1>
          <xm:sqref>TVB262151:TVB262174</xm:sqref>
        </x14:dataValidation>
        <x14:dataValidation type="list" allowBlank="1" showInputMessage="1" showErrorMessage="1" xr:uid="{82AF861B-C868-48B6-9A3A-0EA80F26CDCC}">
          <x14:formula1>
            <xm:f>項目!A4:$UEO$262146</xm:f>
          </x14:formula1>
          <xm:sqref>UEX262151:UEX262174</xm:sqref>
        </x14:dataValidation>
        <x14:dataValidation type="list" allowBlank="1" showInputMessage="1" showErrorMessage="1" xr:uid="{CA230ADA-2EAE-499A-A48A-1CACAA1C60AA}">
          <x14:formula1>
            <xm:f>項目!A4:$UOK$262146</xm:f>
          </x14:formula1>
          <xm:sqref>UOT262151:UOT262174</xm:sqref>
        </x14:dataValidation>
        <x14:dataValidation type="list" allowBlank="1" showInputMessage="1" showErrorMessage="1" xr:uid="{E39588D2-C0E4-4DD0-A41D-6AD5BAD5D9FF}">
          <x14:formula1>
            <xm:f>項目!A4:$UYG$262146</xm:f>
          </x14:formula1>
          <xm:sqref>UYP262151:UYP262174</xm:sqref>
        </x14:dataValidation>
        <x14:dataValidation type="list" allowBlank="1" showInputMessage="1" showErrorMessage="1" xr:uid="{D57685CE-617A-433F-BF70-4031878DD454}">
          <x14:formula1>
            <xm:f>項目!A4:$VIC$262146</xm:f>
          </x14:formula1>
          <xm:sqref>VIL262151:VIL262174</xm:sqref>
        </x14:dataValidation>
        <x14:dataValidation type="list" allowBlank="1" showInputMessage="1" showErrorMessage="1" xr:uid="{83E1F953-5CAC-41AB-9955-5F582EAB53AD}">
          <x14:formula1>
            <xm:f>項目!A4:$VRY$262146</xm:f>
          </x14:formula1>
          <xm:sqref>VSH262151:VSH262174</xm:sqref>
        </x14:dataValidation>
        <x14:dataValidation type="list" allowBlank="1" showInputMessage="1" showErrorMessage="1" xr:uid="{3629C582-9154-4689-8A85-6C06F61ACB8D}">
          <x14:formula1>
            <xm:f>項目!A4:$WBU$262146</xm:f>
          </x14:formula1>
          <xm:sqref>WCD262151:WCD262174</xm:sqref>
        </x14:dataValidation>
        <x14:dataValidation type="list" allowBlank="1" showInputMessage="1" showErrorMessage="1" xr:uid="{B7003791-2719-4146-8E66-A4938DFE3E4D}">
          <x14:formula1>
            <xm:f>項目!A4:$WLQ$262146</xm:f>
          </x14:formula1>
          <xm:sqref>WLZ262151:WLZ262174</xm:sqref>
        </x14:dataValidation>
        <x14:dataValidation type="list" allowBlank="1" showInputMessage="1" showErrorMessage="1" xr:uid="{8856AC73-43E7-4E64-ABC1-6FE5E8663452}">
          <x14:formula1>
            <xm:f>項目!A4:$WVM$262146</xm:f>
          </x14:formula1>
          <xm:sqref>WVV262151:WVV262174</xm:sqref>
        </x14:dataValidation>
        <x14:dataValidation type="list" allowBlank="1" showInputMessage="1" showErrorMessage="1" xr:uid="{4632C791-B21D-45FF-9466-5DE48E98C78A}">
          <x14:formula1>
            <xm:f>項目!A4:$JA$327682</xm:f>
          </x14:formula1>
          <xm:sqref>JJ327687:JJ327710</xm:sqref>
        </x14:dataValidation>
        <x14:dataValidation type="list" allowBlank="1" showInputMessage="1" showErrorMessage="1" xr:uid="{8596E047-E3A7-4D3A-95D9-AD532AA55E65}">
          <x14:formula1>
            <xm:f>項目!A4:$SW$327682</xm:f>
          </x14:formula1>
          <xm:sqref>TF327687:TF327710</xm:sqref>
        </x14:dataValidation>
        <x14:dataValidation type="list" allowBlank="1" showInputMessage="1" showErrorMessage="1" xr:uid="{5F35EC51-CCB8-4C3C-A039-834C3A13BB4A}">
          <x14:formula1>
            <xm:f>項目!A4:$ACS$327682</xm:f>
          </x14:formula1>
          <xm:sqref>ADB327687:ADB327710</xm:sqref>
        </x14:dataValidation>
        <x14:dataValidation type="list" allowBlank="1" showInputMessage="1" showErrorMessage="1" xr:uid="{9E80010B-4653-4903-B3DE-F53975F0CEC1}">
          <x14:formula1>
            <xm:f>項目!A4:$AMO$327682</xm:f>
          </x14:formula1>
          <xm:sqref>AMX327687:AMX327710</xm:sqref>
        </x14:dataValidation>
        <x14:dataValidation type="list" allowBlank="1" showInputMessage="1" showErrorMessage="1" xr:uid="{AE84A398-8B6F-413B-AE2D-09D69B2B8890}">
          <x14:formula1>
            <xm:f>項目!A4:$AWK$327682</xm:f>
          </x14:formula1>
          <xm:sqref>AWT327687:AWT327710</xm:sqref>
        </x14:dataValidation>
        <x14:dataValidation type="list" allowBlank="1" showInputMessage="1" showErrorMessage="1" xr:uid="{3E9F376F-E89D-4288-8B0A-E29E78F5C106}">
          <x14:formula1>
            <xm:f>項目!A4:$BGG$327682</xm:f>
          </x14:formula1>
          <xm:sqref>BGP327687:BGP327710</xm:sqref>
        </x14:dataValidation>
        <x14:dataValidation type="list" allowBlank="1" showInputMessage="1" showErrorMessage="1" xr:uid="{CD897A07-CBB5-432D-92FE-17EEB1243990}">
          <x14:formula1>
            <xm:f>項目!A4:$BQC$327682</xm:f>
          </x14:formula1>
          <xm:sqref>BQL327687:BQL327710</xm:sqref>
        </x14:dataValidation>
        <x14:dataValidation type="list" allowBlank="1" showInputMessage="1" showErrorMessage="1" xr:uid="{10FC7DF5-9A79-4CA4-AC68-C32F46746C0E}">
          <x14:formula1>
            <xm:f>項目!A4:$BZY$327682</xm:f>
          </x14:formula1>
          <xm:sqref>CAH327687:CAH327710</xm:sqref>
        </x14:dataValidation>
        <x14:dataValidation type="list" allowBlank="1" showInputMessage="1" showErrorMessage="1" xr:uid="{5BD8DDAE-886A-46E3-9F2C-B1D65CA0746C}">
          <x14:formula1>
            <xm:f>項目!A4:$CJU$327682</xm:f>
          </x14:formula1>
          <xm:sqref>CKD327687:CKD327710</xm:sqref>
        </x14:dataValidation>
        <x14:dataValidation type="list" allowBlank="1" showInputMessage="1" showErrorMessage="1" xr:uid="{8B8629E2-16D0-483E-9CCD-D3D457248029}">
          <x14:formula1>
            <xm:f>項目!A4:$CTQ$327682</xm:f>
          </x14:formula1>
          <xm:sqref>CTZ327687:CTZ327710</xm:sqref>
        </x14:dataValidation>
        <x14:dataValidation type="list" allowBlank="1" showInputMessage="1" showErrorMessage="1" xr:uid="{5350CE08-7E71-4ACE-B94C-51B9BB75098D}">
          <x14:formula1>
            <xm:f>項目!A4:$DDM$327682</xm:f>
          </x14:formula1>
          <xm:sqref>DDV327687:DDV327710</xm:sqref>
        </x14:dataValidation>
        <x14:dataValidation type="list" allowBlank="1" showInputMessage="1" showErrorMessage="1" xr:uid="{EA19A361-8256-42CC-9492-D5D88CDCAA5D}">
          <x14:formula1>
            <xm:f>項目!A4:$DNI$327682</xm:f>
          </x14:formula1>
          <xm:sqref>DNR327687:DNR327710</xm:sqref>
        </x14:dataValidation>
        <x14:dataValidation type="list" allowBlank="1" showInputMessage="1" showErrorMessage="1" xr:uid="{4D489D88-4F34-40E7-9F3B-87534C7FFEB2}">
          <x14:formula1>
            <xm:f>項目!A4:$DXE$327682</xm:f>
          </x14:formula1>
          <xm:sqref>DXN327687:DXN327710</xm:sqref>
        </x14:dataValidation>
        <x14:dataValidation type="list" allowBlank="1" showInputMessage="1" showErrorMessage="1" xr:uid="{B2E25835-BEEF-4130-A501-6729421BDFA1}">
          <x14:formula1>
            <xm:f>項目!A4:$EHA$327682</xm:f>
          </x14:formula1>
          <xm:sqref>EHJ327687:EHJ327710</xm:sqref>
        </x14:dataValidation>
        <x14:dataValidation type="list" allowBlank="1" showInputMessage="1" showErrorMessage="1" xr:uid="{2D4E601B-001B-4F6A-BF9D-AFAB38463ED0}">
          <x14:formula1>
            <xm:f>項目!A4:$EQW$327682</xm:f>
          </x14:formula1>
          <xm:sqref>ERF327687:ERF327710</xm:sqref>
        </x14:dataValidation>
        <x14:dataValidation type="list" allowBlank="1" showInputMessage="1" showErrorMessage="1" xr:uid="{7E1227AD-197B-41BC-8C04-D718C6BDA137}">
          <x14:formula1>
            <xm:f>項目!A4:$FAS$327682</xm:f>
          </x14:formula1>
          <xm:sqref>FBB327687:FBB327710</xm:sqref>
        </x14:dataValidation>
        <x14:dataValidation type="list" allowBlank="1" showInputMessage="1" showErrorMessage="1" xr:uid="{A96670F8-45B5-4373-A841-FD33BEB7B702}">
          <x14:formula1>
            <xm:f>項目!A4:$FKO$327682</xm:f>
          </x14:formula1>
          <xm:sqref>FKX327687:FKX327710</xm:sqref>
        </x14:dataValidation>
        <x14:dataValidation type="list" allowBlank="1" showInputMessage="1" showErrorMessage="1" xr:uid="{EC669CC9-0F11-4181-9047-CBFD6E9FECB2}">
          <x14:formula1>
            <xm:f>項目!A4:$FUK$327682</xm:f>
          </x14:formula1>
          <xm:sqref>FUT327687:FUT327710</xm:sqref>
        </x14:dataValidation>
        <x14:dataValidation type="list" allowBlank="1" showInputMessage="1" showErrorMessage="1" xr:uid="{13E13DC5-4B0F-4225-AD93-155709EE7773}">
          <x14:formula1>
            <xm:f>項目!A4:$GEG$327682</xm:f>
          </x14:formula1>
          <xm:sqref>GEP327687:GEP327710</xm:sqref>
        </x14:dataValidation>
        <x14:dataValidation type="list" allowBlank="1" showInputMessage="1" showErrorMessage="1" xr:uid="{49A193E3-BC46-4053-B9AD-60B756D27F4D}">
          <x14:formula1>
            <xm:f>項目!A4:$GOC$327682</xm:f>
          </x14:formula1>
          <xm:sqref>GOL327687:GOL327710</xm:sqref>
        </x14:dataValidation>
        <x14:dataValidation type="list" allowBlank="1" showInputMessage="1" showErrorMessage="1" xr:uid="{B785ECE5-0625-496F-AD3A-C47E2C7D0441}">
          <x14:formula1>
            <xm:f>項目!A4:$GXY$327682</xm:f>
          </x14:formula1>
          <xm:sqref>GYH327687:GYH327710</xm:sqref>
        </x14:dataValidation>
        <x14:dataValidation type="list" allowBlank="1" showInputMessage="1" showErrorMessage="1" xr:uid="{D036A8BB-3103-4245-AC8C-FA215BC7ACE7}">
          <x14:formula1>
            <xm:f>項目!A4:$HHU$327682</xm:f>
          </x14:formula1>
          <xm:sqref>HID327687:HID327710</xm:sqref>
        </x14:dataValidation>
        <x14:dataValidation type="list" allowBlank="1" showInputMessage="1" showErrorMessage="1" xr:uid="{E85938FB-DF26-4AAE-A27D-B37E6D86C1CB}">
          <x14:formula1>
            <xm:f>項目!A4:$HRQ$327682</xm:f>
          </x14:formula1>
          <xm:sqref>HRZ327687:HRZ327710</xm:sqref>
        </x14:dataValidation>
        <x14:dataValidation type="list" allowBlank="1" showInputMessage="1" showErrorMessage="1" xr:uid="{C3F11729-8897-4AD6-BFF8-BF83BB76B936}">
          <x14:formula1>
            <xm:f>項目!A4:$IBM$327682</xm:f>
          </x14:formula1>
          <xm:sqref>IBV327687:IBV327710</xm:sqref>
        </x14:dataValidation>
        <x14:dataValidation type="list" allowBlank="1" showInputMessage="1" showErrorMessage="1" xr:uid="{4D58691E-67D2-4571-81DF-A5EF849E9C79}">
          <x14:formula1>
            <xm:f>項目!A4:$ILI$327682</xm:f>
          </x14:formula1>
          <xm:sqref>ILR327687:ILR327710</xm:sqref>
        </x14:dataValidation>
        <x14:dataValidation type="list" allowBlank="1" showInputMessage="1" showErrorMessage="1" xr:uid="{AA1EE297-E2E0-4F32-94AB-389D47AC106C}">
          <x14:formula1>
            <xm:f>項目!A4:$IVE$327682</xm:f>
          </x14:formula1>
          <xm:sqref>IVN327687:IVN327710</xm:sqref>
        </x14:dataValidation>
        <x14:dataValidation type="list" allowBlank="1" showInputMessage="1" showErrorMessage="1" xr:uid="{4B29D5C0-A04F-4380-932C-374855384C93}">
          <x14:formula1>
            <xm:f>項目!A4:$JFA$327682</xm:f>
          </x14:formula1>
          <xm:sqref>JFJ327687:JFJ327710</xm:sqref>
        </x14:dataValidation>
        <x14:dataValidation type="list" allowBlank="1" showInputMessage="1" showErrorMessage="1" xr:uid="{38F426BB-C936-4C45-8E62-724FA38543D7}">
          <x14:formula1>
            <xm:f>項目!A4:$JOW$327682</xm:f>
          </x14:formula1>
          <xm:sqref>JPF327687:JPF327710</xm:sqref>
        </x14:dataValidation>
        <x14:dataValidation type="list" allowBlank="1" showInputMessage="1" showErrorMessage="1" xr:uid="{8BE71721-B246-46A7-B25F-2EE8A8635D25}">
          <x14:formula1>
            <xm:f>項目!A4:$JYS$327682</xm:f>
          </x14:formula1>
          <xm:sqref>JZB327687:JZB327710</xm:sqref>
        </x14:dataValidation>
        <x14:dataValidation type="list" allowBlank="1" showInputMessage="1" showErrorMessage="1" xr:uid="{24E9CFAC-C51B-4517-BC88-3CA8EEF4C4E1}">
          <x14:formula1>
            <xm:f>項目!A4:$KIO$327682</xm:f>
          </x14:formula1>
          <xm:sqref>KIX327687:KIX327710</xm:sqref>
        </x14:dataValidation>
        <x14:dataValidation type="list" allowBlank="1" showInputMessage="1" showErrorMessage="1" xr:uid="{4D3CCB19-3CD9-487D-AAA6-C674DA825C2A}">
          <x14:formula1>
            <xm:f>項目!A4:$KSK$327682</xm:f>
          </x14:formula1>
          <xm:sqref>KST327687:KST327710</xm:sqref>
        </x14:dataValidation>
        <x14:dataValidation type="list" allowBlank="1" showInputMessage="1" showErrorMessage="1" xr:uid="{E28AE869-7777-4E8F-AD4D-9BB690FFA1D6}">
          <x14:formula1>
            <xm:f>項目!A4:$LCG$327682</xm:f>
          </x14:formula1>
          <xm:sqref>LCP327687:LCP327710</xm:sqref>
        </x14:dataValidation>
        <x14:dataValidation type="list" allowBlank="1" showInputMessage="1" showErrorMessage="1" xr:uid="{D94B2D1C-3DB9-49BD-AEDA-1AAB366E60D1}">
          <x14:formula1>
            <xm:f>項目!A4:$LMC$327682</xm:f>
          </x14:formula1>
          <xm:sqref>LML327687:LML327710</xm:sqref>
        </x14:dataValidation>
        <x14:dataValidation type="list" allowBlank="1" showInputMessage="1" showErrorMessage="1" xr:uid="{708ACC81-7F0D-40A3-9E46-AE5F5F1A45EF}">
          <x14:formula1>
            <xm:f>項目!A4:$LVY$327682</xm:f>
          </x14:formula1>
          <xm:sqref>LWH327687:LWH327710</xm:sqref>
        </x14:dataValidation>
        <x14:dataValidation type="list" allowBlank="1" showInputMessage="1" showErrorMessage="1" xr:uid="{19CC8A72-E470-4FC4-B82D-1D194946F30E}">
          <x14:formula1>
            <xm:f>項目!A4:$MFU$327682</xm:f>
          </x14:formula1>
          <xm:sqref>MGD327687:MGD327710</xm:sqref>
        </x14:dataValidation>
        <x14:dataValidation type="list" allowBlank="1" showInputMessage="1" showErrorMessage="1" xr:uid="{D0CE1037-4210-4F55-B71F-F66382DDB300}">
          <x14:formula1>
            <xm:f>項目!A4:$MPQ$327682</xm:f>
          </x14:formula1>
          <xm:sqref>MPZ327687:MPZ327710</xm:sqref>
        </x14:dataValidation>
        <x14:dataValidation type="list" allowBlank="1" showInputMessage="1" showErrorMessage="1" xr:uid="{10860219-2CA0-4E76-88FA-2635267D2D3B}">
          <x14:formula1>
            <xm:f>項目!A4:$MZM$327682</xm:f>
          </x14:formula1>
          <xm:sqref>MZV327687:MZV327710</xm:sqref>
        </x14:dataValidation>
        <x14:dataValidation type="list" allowBlank="1" showInputMessage="1" showErrorMessage="1" xr:uid="{88E70210-4859-41B5-89D6-9B25481492A0}">
          <x14:formula1>
            <xm:f>項目!A4:$NJI$327682</xm:f>
          </x14:formula1>
          <xm:sqref>NJR327687:NJR327710</xm:sqref>
        </x14:dataValidation>
        <x14:dataValidation type="list" allowBlank="1" showInputMessage="1" showErrorMessage="1" xr:uid="{E739E493-8615-4A7B-ABA4-D52745EA336E}">
          <x14:formula1>
            <xm:f>項目!A4:$NTE$327682</xm:f>
          </x14:formula1>
          <xm:sqref>NTN327687:NTN327710</xm:sqref>
        </x14:dataValidation>
        <x14:dataValidation type="list" allowBlank="1" showInputMessage="1" showErrorMessage="1" xr:uid="{1C0D2D52-73CC-4EAD-87F5-52C56B2D5C34}">
          <x14:formula1>
            <xm:f>項目!A4:$ODA$327682</xm:f>
          </x14:formula1>
          <xm:sqref>ODJ327687:ODJ327710</xm:sqref>
        </x14:dataValidation>
        <x14:dataValidation type="list" allowBlank="1" showInputMessage="1" showErrorMessage="1" xr:uid="{15CB6B4A-8E72-406B-90B0-00FF6CFF7E53}">
          <x14:formula1>
            <xm:f>項目!A4:$OMW$327682</xm:f>
          </x14:formula1>
          <xm:sqref>ONF327687:ONF327710</xm:sqref>
        </x14:dataValidation>
        <x14:dataValidation type="list" allowBlank="1" showInputMessage="1" showErrorMessage="1" xr:uid="{A5E86EC5-BD2A-42D3-A986-463AC6A76A80}">
          <x14:formula1>
            <xm:f>項目!A4:$OWS$327682</xm:f>
          </x14:formula1>
          <xm:sqref>OXB327687:OXB327710</xm:sqref>
        </x14:dataValidation>
        <x14:dataValidation type="list" allowBlank="1" showInputMessage="1" showErrorMessage="1" xr:uid="{D18EFE33-2176-4267-8F45-C0B0F439FDA2}">
          <x14:formula1>
            <xm:f>項目!A4:$PGO$327682</xm:f>
          </x14:formula1>
          <xm:sqref>PGX327687:PGX327710</xm:sqref>
        </x14:dataValidation>
        <x14:dataValidation type="list" allowBlank="1" showInputMessage="1" showErrorMessage="1" xr:uid="{71ADBB86-7115-4B95-87AA-4D6D0EC5B50F}">
          <x14:formula1>
            <xm:f>項目!A4:$PQK$327682</xm:f>
          </x14:formula1>
          <xm:sqref>PQT327687:PQT327710</xm:sqref>
        </x14:dataValidation>
        <x14:dataValidation type="list" allowBlank="1" showInputMessage="1" showErrorMessage="1" xr:uid="{299EB20B-6CF8-4122-88B5-70171A4FD014}">
          <x14:formula1>
            <xm:f>項目!A4:$QAG$327682</xm:f>
          </x14:formula1>
          <xm:sqref>QAP327687:QAP327710</xm:sqref>
        </x14:dataValidation>
        <x14:dataValidation type="list" allowBlank="1" showInputMessage="1" showErrorMessage="1" xr:uid="{0740A705-218C-41C3-A0B6-5C1C32D5A27E}">
          <x14:formula1>
            <xm:f>項目!A4:$QKC$327682</xm:f>
          </x14:formula1>
          <xm:sqref>QKL327687:QKL327710</xm:sqref>
        </x14:dataValidation>
        <x14:dataValidation type="list" allowBlank="1" showInputMessage="1" showErrorMessage="1" xr:uid="{8D8B263D-EECF-45DF-9961-7FDBB5CDC91E}">
          <x14:formula1>
            <xm:f>項目!A4:$QTY$327682</xm:f>
          </x14:formula1>
          <xm:sqref>QUH327687:QUH327710</xm:sqref>
        </x14:dataValidation>
        <x14:dataValidation type="list" allowBlank="1" showInputMessage="1" showErrorMessage="1" xr:uid="{221E9F81-5E09-42B6-BE44-4BDAD7DF5E31}">
          <x14:formula1>
            <xm:f>項目!A4:$RDU$327682</xm:f>
          </x14:formula1>
          <xm:sqref>RED327687:RED327710</xm:sqref>
        </x14:dataValidation>
        <x14:dataValidation type="list" allowBlank="1" showInputMessage="1" showErrorMessage="1" xr:uid="{8AF900BC-2EBE-4D22-9DBE-1F1B024EB0DE}">
          <x14:formula1>
            <xm:f>項目!A4:$RNQ$327682</xm:f>
          </x14:formula1>
          <xm:sqref>RNZ327687:RNZ327710</xm:sqref>
        </x14:dataValidation>
        <x14:dataValidation type="list" allowBlank="1" showInputMessage="1" showErrorMessage="1" xr:uid="{D42979B8-256D-4535-82BA-FE9744A6AA9D}">
          <x14:formula1>
            <xm:f>項目!A4:$RXM$327682</xm:f>
          </x14:formula1>
          <xm:sqref>RXV327687:RXV327710</xm:sqref>
        </x14:dataValidation>
        <x14:dataValidation type="list" allowBlank="1" showInputMessage="1" showErrorMessage="1" xr:uid="{46C151A2-8660-43B5-ACBC-7AF016E39072}">
          <x14:formula1>
            <xm:f>項目!A4:$SHI$327682</xm:f>
          </x14:formula1>
          <xm:sqref>SHR327687:SHR327710</xm:sqref>
        </x14:dataValidation>
        <x14:dataValidation type="list" allowBlank="1" showInputMessage="1" showErrorMessage="1" xr:uid="{14F50758-61F3-4FA7-8EBF-BD6BCC0EF686}">
          <x14:formula1>
            <xm:f>項目!A4:$SRE$327682</xm:f>
          </x14:formula1>
          <xm:sqref>SRN327687:SRN327710</xm:sqref>
        </x14:dataValidation>
        <x14:dataValidation type="list" allowBlank="1" showInputMessage="1" showErrorMessage="1" xr:uid="{5BC3A3B9-A42D-46DE-93AE-6E85352FD875}">
          <x14:formula1>
            <xm:f>項目!A4:$TBA$327682</xm:f>
          </x14:formula1>
          <xm:sqref>TBJ327687:TBJ327710</xm:sqref>
        </x14:dataValidation>
        <x14:dataValidation type="list" allowBlank="1" showInputMessage="1" showErrorMessage="1" xr:uid="{BCF2DB90-AAC3-4C45-BF84-6A925905EF45}">
          <x14:formula1>
            <xm:f>項目!A4:$TKW$327682</xm:f>
          </x14:formula1>
          <xm:sqref>TLF327687:TLF327710</xm:sqref>
        </x14:dataValidation>
        <x14:dataValidation type="list" allowBlank="1" showInputMessage="1" showErrorMessage="1" xr:uid="{FFB586EC-D7C3-4926-A7F4-FA6D327B1549}">
          <x14:formula1>
            <xm:f>項目!A4:$TUS$327682</xm:f>
          </x14:formula1>
          <xm:sqref>TVB327687:TVB327710</xm:sqref>
        </x14:dataValidation>
        <x14:dataValidation type="list" allowBlank="1" showInputMessage="1" showErrorMessage="1" xr:uid="{8CC6C54A-7CD8-4B1C-A672-374FA6677603}">
          <x14:formula1>
            <xm:f>項目!A4:$UEO$327682</xm:f>
          </x14:formula1>
          <xm:sqref>UEX327687:UEX327710</xm:sqref>
        </x14:dataValidation>
        <x14:dataValidation type="list" allowBlank="1" showInputMessage="1" showErrorMessage="1" xr:uid="{13FE327A-47C3-4CA6-9487-08D887801AEB}">
          <x14:formula1>
            <xm:f>項目!A4:$UOK$327682</xm:f>
          </x14:formula1>
          <xm:sqref>UOT327687:UOT327710</xm:sqref>
        </x14:dataValidation>
        <x14:dataValidation type="list" allowBlank="1" showInputMessage="1" showErrorMessage="1" xr:uid="{A3BCB694-C536-4375-8E5E-D20AB062DFCE}">
          <x14:formula1>
            <xm:f>項目!A4:$UYG$327682</xm:f>
          </x14:formula1>
          <xm:sqref>UYP327687:UYP327710</xm:sqref>
        </x14:dataValidation>
        <x14:dataValidation type="list" allowBlank="1" showInputMessage="1" showErrorMessage="1" xr:uid="{E8399AC3-CF20-4D10-B856-E910AFFFA248}">
          <x14:formula1>
            <xm:f>項目!A4:$VIC$327682</xm:f>
          </x14:formula1>
          <xm:sqref>VIL327687:VIL327710</xm:sqref>
        </x14:dataValidation>
        <x14:dataValidation type="list" allowBlank="1" showInputMessage="1" showErrorMessage="1" xr:uid="{CAFAA76F-49DE-407C-A52C-5FB7402F55DA}">
          <x14:formula1>
            <xm:f>項目!A4:$VRY$327682</xm:f>
          </x14:formula1>
          <xm:sqref>VSH327687:VSH327710</xm:sqref>
        </x14:dataValidation>
        <x14:dataValidation type="list" allowBlank="1" showInputMessage="1" showErrorMessage="1" xr:uid="{AD4B52F5-F0A7-49C1-A352-C6C661A975EA}">
          <x14:formula1>
            <xm:f>項目!A4:$WBU$327682</xm:f>
          </x14:formula1>
          <xm:sqref>WCD327687:WCD327710</xm:sqref>
        </x14:dataValidation>
        <x14:dataValidation type="list" allowBlank="1" showInputMessage="1" showErrorMessage="1" xr:uid="{12C81E05-DE87-4471-BAB0-4F35B23753CF}">
          <x14:formula1>
            <xm:f>項目!A4:$WLQ$327682</xm:f>
          </x14:formula1>
          <xm:sqref>WLZ327687:WLZ327710</xm:sqref>
        </x14:dataValidation>
        <x14:dataValidation type="list" allowBlank="1" showInputMessage="1" showErrorMessage="1" xr:uid="{A651DAB3-385A-4159-A123-D4AA4EA50FBF}">
          <x14:formula1>
            <xm:f>項目!A4:$WVM$327682</xm:f>
          </x14:formula1>
          <xm:sqref>WVV327687:WVV327710</xm:sqref>
        </x14:dataValidation>
        <x14:dataValidation type="list" allowBlank="1" showInputMessage="1" showErrorMessage="1" xr:uid="{9AD631D4-BD16-4B87-9B70-7FED92FF635B}">
          <x14:formula1>
            <xm:f>項目!A4:$JA$393218</xm:f>
          </x14:formula1>
          <xm:sqref>JJ393223:JJ393246</xm:sqref>
        </x14:dataValidation>
        <x14:dataValidation type="list" allowBlank="1" showInputMessage="1" showErrorMessage="1" xr:uid="{A55C1B56-5710-4046-934B-BA7D017FB2CA}">
          <x14:formula1>
            <xm:f>項目!A4:$SW$393218</xm:f>
          </x14:formula1>
          <xm:sqref>TF393223:TF393246</xm:sqref>
        </x14:dataValidation>
        <x14:dataValidation type="list" allowBlank="1" showInputMessage="1" showErrorMessage="1" xr:uid="{CC7EA1F0-5C21-438C-8FEE-93B8CB821AC6}">
          <x14:formula1>
            <xm:f>項目!A4:$ACS$393218</xm:f>
          </x14:formula1>
          <xm:sqref>ADB393223:ADB393246</xm:sqref>
        </x14:dataValidation>
        <x14:dataValidation type="list" allowBlank="1" showInputMessage="1" showErrorMessage="1" xr:uid="{080A1DD3-508D-4B8D-B2E2-F4414730EEEB}">
          <x14:formula1>
            <xm:f>項目!A4:$AMO$393218</xm:f>
          </x14:formula1>
          <xm:sqref>AMX393223:AMX393246</xm:sqref>
        </x14:dataValidation>
        <x14:dataValidation type="list" allowBlank="1" showInputMessage="1" showErrorMessage="1" xr:uid="{4FC59AC9-2531-4F68-97B2-36BB5906CB3F}">
          <x14:formula1>
            <xm:f>項目!A4:$AWK$393218</xm:f>
          </x14:formula1>
          <xm:sqref>AWT393223:AWT393246</xm:sqref>
        </x14:dataValidation>
        <x14:dataValidation type="list" allowBlank="1" showInputMessage="1" showErrorMessage="1" xr:uid="{42F4AF9D-0991-4F16-B8F0-4E7666689988}">
          <x14:formula1>
            <xm:f>項目!A4:$BGG$393218</xm:f>
          </x14:formula1>
          <xm:sqref>BGP393223:BGP393246</xm:sqref>
        </x14:dataValidation>
        <x14:dataValidation type="list" allowBlank="1" showInputMessage="1" showErrorMessage="1" xr:uid="{7FAD45D4-6AB6-4AF9-978E-DF4D03087731}">
          <x14:formula1>
            <xm:f>項目!A4:$BQC$393218</xm:f>
          </x14:formula1>
          <xm:sqref>BQL393223:BQL393246</xm:sqref>
        </x14:dataValidation>
        <x14:dataValidation type="list" allowBlank="1" showInputMessage="1" showErrorMessage="1" xr:uid="{ED9BE9AC-57EC-47E4-B70E-2901A99A776B}">
          <x14:formula1>
            <xm:f>項目!A4:$BZY$393218</xm:f>
          </x14:formula1>
          <xm:sqref>CAH393223:CAH393246</xm:sqref>
        </x14:dataValidation>
        <x14:dataValidation type="list" allowBlank="1" showInputMessage="1" showErrorMessage="1" xr:uid="{F140E4DE-0A38-41C5-834E-0C42DB74A97D}">
          <x14:formula1>
            <xm:f>項目!A4:$CJU$393218</xm:f>
          </x14:formula1>
          <xm:sqref>CKD393223:CKD393246</xm:sqref>
        </x14:dataValidation>
        <x14:dataValidation type="list" allowBlank="1" showInputMessage="1" showErrorMessage="1" xr:uid="{15BE5E1A-AA13-4E87-BE10-201B34D30CCA}">
          <x14:formula1>
            <xm:f>項目!A4:$CTQ$393218</xm:f>
          </x14:formula1>
          <xm:sqref>CTZ393223:CTZ393246</xm:sqref>
        </x14:dataValidation>
        <x14:dataValidation type="list" allowBlank="1" showInputMessage="1" showErrorMessage="1" xr:uid="{CDED6C9D-9238-4C67-8F71-034C4C586C39}">
          <x14:formula1>
            <xm:f>項目!A4:$DDM$393218</xm:f>
          </x14:formula1>
          <xm:sqref>DDV393223:DDV393246</xm:sqref>
        </x14:dataValidation>
        <x14:dataValidation type="list" allowBlank="1" showInputMessage="1" showErrorMessage="1" xr:uid="{9CB6B67A-9336-4353-BC58-A04417495D3E}">
          <x14:formula1>
            <xm:f>項目!A4:$DNI$393218</xm:f>
          </x14:formula1>
          <xm:sqref>DNR393223:DNR393246</xm:sqref>
        </x14:dataValidation>
        <x14:dataValidation type="list" allowBlank="1" showInputMessage="1" showErrorMessage="1" xr:uid="{9F5E3A77-9585-4C64-BAE3-E0C8DA11E903}">
          <x14:formula1>
            <xm:f>項目!A4:$DXE$393218</xm:f>
          </x14:formula1>
          <xm:sqref>DXN393223:DXN393246</xm:sqref>
        </x14:dataValidation>
        <x14:dataValidation type="list" allowBlank="1" showInputMessage="1" showErrorMessage="1" xr:uid="{E2EAF5D9-D49F-4EEE-B4DD-E0BD4F8861E2}">
          <x14:formula1>
            <xm:f>項目!A4:$EHA$393218</xm:f>
          </x14:formula1>
          <xm:sqref>EHJ393223:EHJ393246</xm:sqref>
        </x14:dataValidation>
        <x14:dataValidation type="list" allowBlank="1" showInputMessage="1" showErrorMessage="1" xr:uid="{870820EF-B020-4604-B9E7-F39A1993BF2A}">
          <x14:formula1>
            <xm:f>項目!A4:$EQW$393218</xm:f>
          </x14:formula1>
          <xm:sqref>ERF393223:ERF393246</xm:sqref>
        </x14:dataValidation>
        <x14:dataValidation type="list" allowBlank="1" showInputMessage="1" showErrorMessage="1" xr:uid="{A8F09CEF-C6CC-4706-8229-FCE5533BAFD2}">
          <x14:formula1>
            <xm:f>項目!A4:$FAS$393218</xm:f>
          </x14:formula1>
          <xm:sqref>FBB393223:FBB393246</xm:sqref>
        </x14:dataValidation>
        <x14:dataValidation type="list" allowBlank="1" showInputMessage="1" showErrorMessage="1" xr:uid="{F3FA814D-DD7A-4472-B75A-369BAA48F05D}">
          <x14:formula1>
            <xm:f>項目!A4:$FKO$393218</xm:f>
          </x14:formula1>
          <xm:sqref>FKX393223:FKX393246</xm:sqref>
        </x14:dataValidation>
        <x14:dataValidation type="list" allowBlank="1" showInputMessage="1" showErrorMessage="1" xr:uid="{78FB728D-8E5D-464E-8004-52FCF5C14361}">
          <x14:formula1>
            <xm:f>項目!A4:$FUK$393218</xm:f>
          </x14:formula1>
          <xm:sqref>FUT393223:FUT393246</xm:sqref>
        </x14:dataValidation>
        <x14:dataValidation type="list" allowBlank="1" showInputMessage="1" showErrorMessage="1" xr:uid="{DE5CA64A-2A55-4AF7-A982-3B92539547D0}">
          <x14:formula1>
            <xm:f>項目!A4:$GEG$393218</xm:f>
          </x14:formula1>
          <xm:sqref>GEP393223:GEP393246</xm:sqref>
        </x14:dataValidation>
        <x14:dataValidation type="list" allowBlank="1" showInputMessage="1" showErrorMessage="1" xr:uid="{7B159672-8CB6-4B90-AA1B-19DA89ACD35B}">
          <x14:formula1>
            <xm:f>項目!A4:$GOC$393218</xm:f>
          </x14:formula1>
          <xm:sqref>GOL393223:GOL393246</xm:sqref>
        </x14:dataValidation>
        <x14:dataValidation type="list" allowBlank="1" showInputMessage="1" showErrorMessage="1" xr:uid="{08460931-8F49-4434-9B68-3A271AACF748}">
          <x14:formula1>
            <xm:f>項目!A4:$GXY$393218</xm:f>
          </x14:formula1>
          <xm:sqref>GYH393223:GYH393246</xm:sqref>
        </x14:dataValidation>
        <x14:dataValidation type="list" allowBlank="1" showInputMessage="1" showErrorMessage="1" xr:uid="{6A6A63E0-0233-4BC2-8352-F9E51F1BB925}">
          <x14:formula1>
            <xm:f>項目!A4:$HHU$393218</xm:f>
          </x14:formula1>
          <xm:sqref>HID393223:HID393246</xm:sqref>
        </x14:dataValidation>
        <x14:dataValidation type="list" allowBlank="1" showInputMessage="1" showErrorMessage="1" xr:uid="{59D97CF1-206A-4921-92D7-385DF66FEC15}">
          <x14:formula1>
            <xm:f>項目!A4:$HRQ$393218</xm:f>
          </x14:formula1>
          <xm:sqref>HRZ393223:HRZ393246</xm:sqref>
        </x14:dataValidation>
        <x14:dataValidation type="list" allowBlank="1" showInputMessage="1" showErrorMessage="1" xr:uid="{4F8CB50F-6F5E-4D89-8697-C0F9B42A4A10}">
          <x14:formula1>
            <xm:f>項目!A4:$IBM$393218</xm:f>
          </x14:formula1>
          <xm:sqref>IBV393223:IBV393246</xm:sqref>
        </x14:dataValidation>
        <x14:dataValidation type="list" allowBlank="1" showInputMessage="1" showErrorMessage="1" xr:uid="{654F9A82-64E7-4B21-AD94-B12351C47F9E}">
          <x14:formula1>
            <xm:f>項目!A4:$ILI$393218</xm:f>
          </x14:formula1>
          <xm:sqref>ILR393223:ILR393246</xm:sqref>
        </x14:dataValidation>
        <x14:dataValidation type="list" allowBlank="1" showInputMessage="1" showErrorMessage="1" xr:uid="{FB002D1A-5AE9-4029-8A30-CFC025C8B2CF}">
          <x14:formula1>
            <xm:f>項目!A4:$IVE$393218</xm:f>
          </x14:formula1>
          <xm:sqref>IVN393223:IVN393246</xm:sqref>
        </x14:dataValidation>
        <x14:dataValidation type="list" allowBlank="1" showInputMessage="1" showErrorMessage="1" xr:uid="{8D7E6CEA-E058-4FDB-9824-7BF44A2F5CCB}">
          <x14:formula1>
            <xm:f>項目!A4:$JFA$393218</xm:f>
          </x14:formula1>
          <xm:sqref>JFJ393223:JFJ393246</xm:sqref>
        </x14:dataValidation>
        <x14:dataValidation type="list" allowBlank="1" showInputMessage="1" showErrorMessage="1" xr:uid="{3CE4338F-E047-4101-8794-E8132407A150}">
          <x14:formula1>
            <xm:f>項目!A4:$JOW$393218</xm:f>
          </x14:formula1>
          <xm:sqref>JPF393223:JPF393246</xm:sqref>
        </x14:dataValidation>
        <x14:dataValidation type="list" allowBlank="1" showInputMessage="1" showErrorMessage="1" xr:uid="{E998BBF3-3DC3-4F6B-8042-44B6CAEF93BA}">
          <x14:formula1>
            <xm:f>項目!A4:$JYS$393218</xm:f>
          </x14:formula1>
          <xm:sqref>JZB393223:JZB393246</xm:sqref>
        </x14:dataValidation>
        <x14:dataValidation type="list" allowBlank="1" showInputMessage="1" showErrorMessage="1" xr:uid="{DDBB4534-6BDA-4187-9E6E-36F5351E3515}">
          <x14:formula1>
            <xm:f>項目!A4:$KIO$393218</xm:f>
          </x14:formula1>
          <xm:sqref>KIX393223:KIX393246</xm:sqref>
        </x14:dataValidation>
        <x14:dataValidation type="list" allowBlank="1" showInputMessage="1" showErrorMessage="1" xr:uid="{D37AB827-0875-47BC-AD44-9FA524D75ECF}">
          <x14:formula1>
            <xm:f>項目!A4:$KSK$393218</xm:f>
          </x14:formula1>
          <xm:sqref>KST393223:KST393246</xm:sqref>
        </x14:dataValidation>
        <x14:dataValidation type="list" allowBlank="1" showInputMessage="1" showErrorMessage="1" xr:uid="{B699F022-D26B-457F-9BB2-04002233AEE9}">
          <x14:formula1>
            <xm:f>項目!A4:$LCG$393218</xm:f>
          </x14:formula1>
          <xm:sqref>LCP393223:LCP393246</xm:sqref>
        </x14:dataValidation>
        <x14:dataValidation type="list" allowBlank="1" showInputMessage="1" showErrorMessage="1" xr:uid="{5DD57474-F4BB-4BF0-A53F-71A6F9071A42}">
          <x14:formula1>
            <xm:f>項目!A4:$LMC$393218</xm:f>
          </x14:formula1>
          <xm:sqref>LML393223:LML393246</xm:sqref>
        </x14:dataValidation>
        <x14:dataValidation type="list" allowBlank="1" showInputMessage="1" showErrorMessage="1" xr:uid="{6B42466C-076D-4CA3-82D1-B588335039EF}">
          <x14:formula1>
            <xm:f>項目!A4:$LVY$393218</xm:f>
          </x14:formula1>
          <xm:sqref>LWH393223:LWH393246</xm:sqref>
        </x14:dataValidation>
        <x14:dataValidation type="list" allowBlank="1" showInputMessage="1" showErrorMessage="1" xr:uid="{7F779FA1-4FE0-4363-B77C-C2ED86970428}">
          <x14:formula1>
            <xm:f>項目!A4:$MFU$393218</xm:f>
          </x14:formula1>
          <xm:sqref>MGD393223:MGD393246</xm:sqref>
        </x14:dataValidation>
        <x14:dataValidation type="list" allowBlank="1" showInputMessage="1" showErrorMessage="1" xr:uid="{3E1F95E8-A17F-431D-B985-B2AD7C35381D}">
          <x14:formula1>
            <xm:f>項目!A4:$MPQ$393218</xm:f>
          </x14:formula1>
          <xm:sqref>MPZ393223:MPZ393246</xm:sqref>
        </x14:dataValidation>
        <x14:dataValidation type="list" allowBlank="1" showInputMessage="1" showErrorMessage="1" xr:uid="{06CA1391-E327-47D9-90F9-0AB1AC58B32E}">
          <x14:formula1>
            <xm:f>項目!A4:$MZM$393218</xm:f>
          </x14:formula1>
          <xm:sqref>MZV393223:MZV393246</xm:sqref>
        </x14:dataValidation>
        <x14:dataValidation type="list" allowBlank="1" showInputMessage="1" showErrorMessage="1" xr:uid="{41157D53-CD69-413C-803C-310F76924E9B}">
          <x14:formula1>
            <xm:f>項目!A4:$NJI$393218</xm:f>
          </x14:formula1>
          <xm:sqref>NJR393223:NJR393246</xm:sqref>
        </x14:dataValidation>
        <x14:dataValidation type="list" allowBlank="1" showInputMessage="1" showErrorMessage="1" xr:uid="{8895684E-C527-4B4F-A2CE-488CA86C1363}">
          <x14:formula1>
            <xm:f>項目!A4:$NTE$393218</xm:f>
          </x14:formula1>
          <xm:sqref>NTN393223:NTN393246</xm:sqref>
        </x14:dataValidation>
        <x14:dataValidation type="list" allowBlank="1" showInputMessage="1" showErrorMessage="1" xr:uid="{4C4EAD30-6F5B-48F1-8C70-A2CCA2102943}">
          <x14:formula1>
            <xm:f>項目!A4:$ODA$393218</xm:f>
          </x14:formula1>
          <xm:sqref>ODJ393223:ODJ393246</xm:sqref>
        </x14:dataValidation>
        <x14:dataValidation type="list" allowBlank="1" showInputMessage="1" showErrorMessage="1" xr:uid="{F57D2FFE-96DC-44BA-B90A-CB62488CA3F0}">
          <x14:formula1>
            <xm:f>項目!A4:$OMW$393218</xm:f>
          </x14:formula1>
          <xm:sqref>ONF393223:ONF393246</xm:sqref>
        </x14:dataValidation>
        <x14:dataValidation type="list" allowBlank="1" showInputMessage="1" showErrorMessage="1" xr:uid="{823ADC4B-48C7-4114-B03A-7FFB83AF0AAD}">
          <x14:formula1>
            <xm:f>項目!A4:$OWS$393218</xm:f>
          </x14:formula1>
          <xm:sqref>OXB393223:OXB393246</xm:sqref>
        </x14:dataValidation>
        <x14:dataValidation type="list" allowBlank="1" showInputMessage="1" showErrorMessage="1" xr:uid="{379811CF-3B6D-4937-9EB5-289E015EBFDA}">
          <x14:formula1>
            <xm:f>項目!A4:$PGO$393218</xm:f>
          </x14:formula1>
          <xm:sqref>PGX393223:PGX393246</xm:sqref>
        </x14:dataValidation>
        <x14:dataValidation type="list" allowBlank="1" showInputMessage="1" showErrorMessage="1" xr:uid="{5DBB1AE6-D73F-485B-80B5-AEA8AA270D8D}">
          <x14:formula1>
            <xm:f>項目!A4:$PQK$393218</xm:f>
          </x14:formula1>
          <xm:sqref>PQT393223:PQT393246</xm:sqref>
        </x14:dataValidation>
        <x14:dataValidation type="list" allowBlank="1" showInputMessage="1" showErrorMessage="1" xr:uid="{2DDE084F-8EB8-4727-9C04-A7ADC4F9E4AF}">
          <x14:formula1>
            <xm:f>項目!A4:$QAG$393218</xm:f>
          </x14:formula1>
          <xm:sqref>QAP393223:QAP393246</xm:sqref>
        </x14:dataValidation>
        <x14:dataValidation type="list" allowBlank="1" showInputMessage="1" showErrorMessage="1" xr:uid="{E36674C3-3E3F-4278-9615-FEC2A9AD7095}">
          <x14:formula1>
            <xm:f>項目!A4:$QKC$393218</xm:f>
          </x14:formula1>
          <xm:sqref>QKL393223:QKL393246</xm:sqref>
        </x14:dataValidation>
        <x14:dataValidation type="list" allowBlank="1" showInputMessage="1" showErrorMessage="1" xr:uid="{883C79B6-7ED9-4277-AF2E-810EA63A20A9}">
          <x14:formula1>
            <xm:f>項目!A4:$QTY$393218</xm:f>
          </x14:formula1>
          <xm:sqref>QUH393223:QUH393246</xm:sqref>
        </x14:dataValidation>
        <x14:dataValidation type="list" allowBlank="1" showInputMessage="1" showErrorMessage="1" xr:uid="{2C4CBDC3-96F1-4984-9940-74236EFFD60E}">
          <x14:formula1>
            <xm:f>項目!A4:$RDU$393218</xm:f>
          </x14:formula1>
          <xm:sqref>RED393223:RED393246</xm:sqref>
        </x14:dataValidation>
        <x14:dataValidation type="list" allowBlank="1" showInputMessage="1" showErrorMessage="1" xr:uid="{24B7262C-51ED-44BE-ABCA-22BE4925D992}">
          <x14:formula1>
            <xm:f>項目!A4:$RNQ$393218</xm:f>
          </x14:formula1>
          <xm:sqref>RNZ393223:RNZ393246</xm:sqref>
        </x14:dataValidation>
        <x14:dataValidation type="list" allowBlank="1" showInputMessage="1" showErrorMessage="1" xr:uid="{41A994B9-6D98-4A35-9126-05C48AEC6873}">
          <x14:formula1>
            <xm:f>項目!A4:$RXM$393218</xm:f>
          </x14:formula1>
          <xm:sqref>RXV393223:RXV393246</xm:sqref>
        </x14:dataValidation>
        <x14:dataValidation type="list" allowBlank="1" showInputMessage="1" showErrorMessage="1" xr:uid="{21381EFA-EF94-4A93-8AC1-8A88BE927D02}">
          <x14:formula1>
            <xm:f>項目!A4:$SHI$393218</xm:f>
          </x14:formula1>
          <xm:sqref>SHR393223:SHR393246</xm:sqref>
        </x14:dataValidation>
        <x14:dataValidation type="list" allowBlank="1" showInputMessage="1" showErrorMessage="1" xr:uid="{E01C05A8-8C3E-44D7-9B31-22E691F89E1B}">
          <x14:formula1>
            <xm:f>項目!A4:$SRE$393218</xm:f>
          </x14:formula1>
          <xm:sqref>SRN393223:SRN393246</xm:sqref>
        </x14:dataValidation>
        <x14:dataValidation type="list" allowBlank="1" showInputMessage="1" showErrorMessage="1" xr:uid="{F00D033B-6C45-4ED9-86E2-EF48C08DB00F}">
          <x14:formula1>
            <xm:f>項目!A4:$TBA$393218</xm:f>
          </x14:formula1>
          <xm:sqref>TBJ393223:TBJ393246</xm:sqref>
        </x14:dataValidation>
        <x14:dataValidation type="list" allowBlank="1" showInputMessage="1" showErrorMessage="1" xr:uid="{C7C5D169-83C7-4227-B755-70F53498EC1B}">
          <x14:formula1>
            <xm:f>項目!A4:$TKW$393218</xm:f>
          </x14:formula1>
          <xm:sqref>TLF393223:TLF393246</xm:sqref>
        </x14:dataValidation>
        <x14:dataValidation type="list" allowBlank="1" showInputMessage="1" showErrorMessage="1" xr:uid="{8774A389-4B95-47CA-ABB8-4F37B8B645AB}">
          <x14:formula1>
            <xm:f>項目!A4:$TUS$393218</xm:f>
          </x14:formula1>
          <xm:sqref>TVB393223:TVB393246</xm:sqref>
        </x14:dataValidation>
        <x14:dataValidation type="list" allowBlank="1" showInputMessage="1" showErrorMessage="1" xr:uid="{70540CB4-6736-4234-8A88-4E9BC5696564}">
          <x14:formula1>
            <xm:f>項目!A4:$UEO$393218</xm:f>
          </x14:formula1>
          <xm:sqref>UEX393223:UEX393246</xm:sqref>
        </x14:dataValidation>
        <x14:dataValidation type="list" allowBlank="1" showInputMessage="1" showErrorMessage="1" xr:uid="{9B104DBF-D5A7-419E-A421-C044A6DCE60A}">
          <x14:formula1>
            <xm:f>項目!A4:$UOK$393218</xm:f>
          </x14:formula1>
          <xm:sqref>UOT393223:UOT393246</xm:sqref>
        </x14:dataValidation>
        <x14:dataValidation type="list" allowBlank="1" showInputMessage="1" showErrorMessage="1" xr:uid="{6E499F08-1384-43C4-A2CC-5C9356FA06E2}">
          <x14:formula1>
            <xm:f>項目!A4:$UYG$393218</xm:f>
          </x14:formula1>
          <xm:sqref>UYP393223:UYP393246</xm:sqref>
        </x14:dataValidation>
        <x14:dataValidation type="list" allowBlank="1" showInputMessage="1" showErrorMessage="1" xr:uid="{ADF6A689-D1B8-4842-8C0C-EB9BAE9201C1}">
          <x14:formula1>
            <xm:f>項目!A4:$VIC$393218</xm:f>
          </x14:formula1>
          <xm:sqref>VIL393223:VIL393246</xm:sqref>
        </x14:dataValidation>
        <x14:dataValidation type="list" allowBlank="1" showInputMessage="1" showErrorMessage="1" xr:uid="{F8228A11-BF92-4677-A420-A6203FA82BBB}">
          <x14:formula1>
            <xm:f>項目!A4:$VRY$393218</xm:f>
          </x14:formula1>
          <xm:sqref>VSH393223:VSH393246</xm:sqref>
        </x14:dataValidation>
        <x14:dataValidation type="list" allowBlank="1" showInputMessage="1" showErrorMessage="1" xr:uid="{C68BDE5B-E99E-4B69-978D-B70749BABF62}">
          <x14:formula1>
            <xm:f>項目!A4:$WBU$393218</xm:f>
          </x14:formula1>
          <xm:sqref>WCD393223:WCD393246</xm:sqref>
        </x14:dataValidation>
        <x14:dataValidation type="list" allowBlank="1" showInputMessage="1" showErrorMessage="1" xr:uid="{5227AAF4-9F30-4153-8810-CA4DAFA11810}">
          <x14:formula1>
            <xm:f>項目!A4:$WLQ$393218</xm:f>
          </x14:formula1>
          <xm:sqref>WLZ393223:WLZ393246</xm:sqref>
        </x14:dataValidation>
        <x14:dataValidation type="list" allowBlank="1" showInputMessage="1" showErrorMessage="1" xr:uid="{0F4F82A1-33E7-4A50-BFE5-BED4A6F835EE}">
          <x14:formula1>
            <xm:f>項目!A4:$WVM$393218</xm:f>
          </x14:formula1>
          <xm:sqref>WVV393223:WVV393246</xm:sqref>
        </x14:dataValidation>
        <x14:dataValidation type="list" allowBlank="1" showInputMessage="1" showErrorMessage="1" xr:uid="{E51B9AE9-6D55-4BC3-8B9A-E310AD2F35FF}">
          <x14:formula1>
            <xm:f>項目!A4:$JA$458754</xm:f>
          </x14:formula1>
          <xm:sqref>JJ458759:JJ458782</xm:sqref>
        </x14:dataValidation>
        <x14:dataValidation type="list" allowBlank="1" showInputMessage="1" showErrorMessage="1" xr:uid="{25DC0DA6-F926-405D-9E03-7BB2019B738F}">
          <x14:formula1>
            <xm:f>項目!A4:$SW$458754</xm:f>
          </x14:formula1>
          <xm:sqref>TF458759:TF458782</xm:sqref>
        </x14:dataValidation>
        <x14:dataValidation type="list" allowBlank="1" showInputMessage="1" showErrorMessage="1" xr:uid="{FDE47D9D-ACF6-487B-AC27-8DF38C4D8DBA}">
          <x14:formula1>
            <xm:f>項目!A4:$ACS$458754</xm:f>
          </x14:formula1>
          <xm:sqref>ADB458759:ADB458782</xm:sqref>
        </x14:dataValidation>
        <x14:dataValidation type="list" allowBlank="1" showInputMessage="1" showErrorMessage="1" xr:uid="{644C402F-D3B8-4EB6-A11C-27168E7C19A7}">
          <x14:formula1>
            <xm:f>項目!A4:$AMO$458754</xm:f>
          </x14:formula1>
          <xm:sqref>AMX458759:AMX458782</xm:sqref>
        </x14:dataValidation>
        <x14:dataValidation type="list" allowBlank="1" showInputMessage="1" showErrorMessage="1" xr:uid="{959F1D85-EAB6-4D9F-BE08-2C4C32A8D900}">
          <x14:formula1>
            <xm:f>項目!A4:$AWK$458754</xm:f>
          </x14:formula1>
          <xm:sqref>AWT458759:AWT458782</xm:sqref>
        </x14:dataValidation>
        <x14:dataValidation type="list" allowBlank="1" showInputMessage="1" showErrorMessage="1" xr:uid="{D27A0D95-35CB-4F02-AD10-FDB87A2DF986}">
          <x14:formula1>
            <xm:f>項目!A4:$BGG$458754</xm:f>
          </x14:formula1>
          <xm:sqref>BGP458759:BGP458782</xm:sqref>
        </x14:dataValidation>
        <x14:dataValidation type="list" allowBlank="1" showInputMessage="1" showErrorMessage="1" xr:uid="{2A9F0409-706A-4EFD-9680-293B7A8F6B55}">
          <x14:formula1>
            <xm:f>項目!A4:$BQC$458754</xm:f>
          </x14:formula1>
          <xm:sqref>BQL458759:BQL458782</xm:sqref>
        </x14:dataValidation>
        <x14:dataValidation type="list" allowBlank="1" showInputMessage="1" showErrorMessage="1" xr:uid="{4A4745EB-7AC2-4224-81F2-EBBF7320B1D4}">
          <x14:formula1>
            <xm:f>項目!A4:$BZY$458754</xm:f>
          </x14:formula1>
          <xm:sqref>CAH458759:CAH458782</xm:sqref>
        </x14:dataValidation>
        <x14:dataValidation type="list" allowBlank="1" showInputMessage="1" showErrorMessage="1" xr:uid="{765B48D9-08D3-439B-BF8C-4093468491EF}">
          <x14:formula1>
            <xm:f>項目!A4:$CJU$458754</xm:f>
          </x14:formula1>
          <xm:sqref>CKD458759:CKD458782</xm:sqref>
        </x14:dataValidation>
        <x14:dataValidation type="list" allowBlank="1" showInputMessage="1" showErrorMessage="1" xr:uid="{3F771393-042D-408C-8148-67C24A47D2E5}">
          <x14:formula1>
            <xm:f>項目!A4:$CTQ$458754</xm:f>
          </x14:formula1>
          <xm:sqref>CTZ458759:CTZ458782</xm:sqref>
        </x14:dataValidation>
        <x14:dataValidation type="list" allowBlank="1" showInputMessage="1" showErrorMessage="1" xr:uid="{95F18431-E5E7-4866-BA7D-3391317287B6}">
          <x14:formula1>
            <xm:f>項目!A4:$DDM$458754</xm:f>
          </x14:formula1>
          <xm:sqref>DDV458759:DDV458782</xm:sqref>
        </x14:dataValidation>
        <x14:dataValidation type="list" allowBlank="1" showInputMessage="1" showErrorMessage="1" xr:uid="{9788F305-08DF-48B9-B91B-E2F506678456}">
          <x14:formula1>
            <xm:f>項目!A4:$DNI$458754</xm:f>
          </x14:formula1>
          <xm:sqref>DNR458759:DNR458782</xm:sqref>
        </x14:dataValidation>
        <x14:dataValidation type="list" allowBlank="1" showInputMessage="1" showErrorMessage="1" xr:uid="{B044B945-7AAE-4996-8F9E-6A69D73C096A}">
          <x14:formula1>
            <xm:f>項目!A4:$DXE$458754</xm:f>
          </x14:formula1>
          <xm:sqref>DXN458759:DXN458782</xm:sqref>
        </x14:dataValidation>
        <x14:dataValidation type="list" allowBlank="1" showInputMessage="1" showErrorMessage="1" xr:uid="{57B4AD0C-62F1-46A8-A137-62A3A87C3AE1}">
          <x14:formula1>
            <xm:f>項目!A4:$EHA$458754</xm:f>
          </x14:formula1>
          <xm:sqref>EHJ458759:EHJ458782</xm:sqref>
        </x14:dataValidation>
        <x14:dataValidation type="list" allowBlank="1" showInputMessage="1" showErrorMessage="1" xr:uid="{31A7EB81-0075-456B-9341-736A841BA0D5}">
          <x14:formula1>
            <xm:f>項目!A4:$EQW$458754</xm:f>
          </x14:formula1>
          <xm:sqref>ERF458759:ERF458782</xm:sqref>
        </x14:dataValidation>
        <x14:dataValidation type="list" allowBlank="1" showInputMessage="1" showErrorMessage="1" xr:uid="{D068BB94-5AEE-4DEF-AB32-1400C0E6683B}">
          <x14:formula1>
            <xm:f>項目!A4:$FAS$458754</xm:f>
          </x14:formula1>
          <xm:sqref>FBB458759:FBB458782</xm:sqref>
        </x14:dataValidation>
        <x14:dataValidation type="list" allowBlank="1" showInputMessage="1" showErrorMessage="1" xr:uid="{D12273EB-1714-4F9C-B204-720154C8D46E}">
          <x14:formula1>
            <xm:f>項目!A4:$FKO$458754</xm:f>
          </x14:formula1>
          <xm:sqref>FKX458759:FKX458782</xm:sqref>
        </x14:dataValidation>
        <x14:dataValidation type="list" allowBlank="1" showInputMessage="1" showErrorMessage="1" xr:uid="{67C1CBAF-30E7-4F71-97CF-DBD935F456E5}">
          <x14:formula1>
            <xm:f>項目!A4:$FUK$458754</xm:f>
          </x14:formula1>
          <xm:sqref>FUT458759:FUT458782</xm:sqref>
        </x14:dataValidation>
        <x14:dataValidation type="list" allowBlank="1" showInputMessage="1" showErrorMessage="1" xr:uid="{B9B8B4AA-264A-447D-8332-ED2932EB27A3}">
          <x14:formula1>
            <xm:f>項目!A4:$GEG$458754</xm:f>
          </x14:formula1>
          <xm:sqref>GEP458759:GEP458782</xm:sqref>
        </x14:dataValidation>
        <x14:dataValidation type="list" allowBlank="1" showInputMessage="1" showErrorMessage="1" xr:uid="{33EF054B-5E50-4495-91C2-7D237487FF26}">
          <x14:formula1>
            <xm:f>項目!A4:$GOC$458754</xm:f>
          </x14:formula1>
          <xm:sqref>GOL458759:GOL458782</xm:sqref>
        </x14:dataValidation>
        <x14:dataValidation type="list" allowBlank="1" showInputMessage="1" showErrorMessage="1" xr:uid="{BA879632-1956-41B0-AF53-EB2A841E26FC}">
          <x14:formula1>
            <xm:f>項目!A4:$GXY$458754</xm:f>
          </x14:formula1>
          <xm:sqref>GYH458759:GYH458782</xm:sqref>
        </x14:dataValidation>
        <x14:dataValidation type="list" allowBlank="1" showInputMessage="1" showErrorMessage="1" xr:uid="{C9EC9710-D4A7-4DE2-A5B5-B0F83E894191}">
          <x14:formula1>
            <xm:f>項目!A4:$HHU$458754</xm:f>
          </x14:formula1>
          <xm:sqref>HID458759:HID458782</xm:sqref>
        </x14:dataValidation>
        <x14:dataValidation type="list" allowBlank="1" showInputMessage="1" showErrorMessage="1" xr:uid="{F9276993-B962-4D53-86A3-5B34592F5D4A}">
          <x14:formula1>
            <xm:f>項目!A4:$HRQ$458754</xm:f>
          </x14:formula1>
          <xm:sqref>HRZ458759:HRZ458782</xm:sqref>
        </x14:dataValidation>
        <x14:dataValidation type="list" allowBlank="1" showInputMessage="1" showErrorMessage="1" xr:uid="{6D7621DB-5D0D-429F-8033-051776F8E7CD}">
          <x14:formula1>
            <xm:f>項目!A4:$IBM$458754</xm:f>
          </x14:formula1>
          <xm:sqref>IBV458759:IBV458782</xm:sqref>
        </x14:dataValidation>
        <x14:dataValidation type="list" allowBlank="1" showInputMessage="1" showErrorMessage="1" xr:uid="{B9281A14-108E-43DC-A357-4DE16291B71E}">
          <x14:formula1>
            <xm:f>項目!A4:$ILI$458754</xm:f>
          </x14:formula1>
          <xm:sqref>ILR458759:ILR458782</xm:sqref>
        </x14:dataValidation>
        <x14:dataValidation type="list" allowBlank="1" showInputMessage="1" showErrorMessage="1" xr:uid="{F4A53BF7-D199-491B-89B9-88202736C8BF}">
          <x14:formula1>
            <xm:f>項目!A4:$IVE$458754</xm:f>
          </x14:formula1>
          <xm:sqref>IVN458759:IVN458782</xm:sqref>
        </x14:dataValidation>
        <x14:dataValidation type="list" allowBlank="1" showInputMessage="1" showErrorMessage="1" xr:uid="{F14FCBDF-9202-4781-BAEA-3643BEF76430}">
          <x14:formula1>
            <xm:f>項目!A4:$JFA$458754</xm:f>
          </x14:formula1>
          <xm:sqref>JFJ458759:JFJ458782</xm:sqref>
        </x14:dataValidation>
        <x14:dataValidation type="list" allowBlank="1" showInputMessage="1" showErrorMessage="1" xr:uid="{B490A7DE-8223-47E1-B6AC-1300F7BC231C}">
          <x14:formula1>
            <xm:f>項目!A4:$JOW$458754</xm:f>
          </x14:formula1>
          <xm:sqref>JPF458759:JPF458782</xm:sqref>
        </x14:dataValidation>
        <x14:dataValidation type="list" allowBlank="1" showInputMessage="1" showErrorMessage="1" xr:uid="{66B9482D-7CED-4E98-89B0-B66110CE7EAC}">
          <x14:formula1>
            <xm:f>項目!A4:$JYS$458754</xm:f>
          </x14:formula1>
          <xm:sqref>JZB458759:JZB458782</xm:sqref>
        </x14:dataValidation>
        <x14:dataValidation type="list" allowBlank="1" showInputMessage="1" showErrorMessage="1" xr:uid="{6868B7C1-2644-4835-A06D-55CDFD70E210}">
          <x14:formula1>
            <xm:f>項目!A4:$KIO$458754</xm:f>
          </x14:formula1>
          <xm:sqref>KIX458759:KIX458782</xm:sqref>
        </x14:dataValidation>
        <x14:dataValidation type="list" allowBlank="1" showInputMessage="1" showErrorMessage="1" xr:uid="{B259AC67-C945-4C4D-8063-6BA931971E7B}">
          <x14:formula1>
            <xm:f>項目!A4:$KSK$458754</xm:f>
          </x14:formula1>
          <xm:sqref>KST458759:KST458782</xm:sqref>
        </x14:dataValidation>
        <x14:dataValidation type="list" allowBlank="1" showInputMessage="1" showErrorMessage="1" xr:uid="{72288E14-07AF-4620-A879-52C206D493EC}">
          <x14:formula1>
            <xm:f>項目!A4:$LCG$458754</xm:f>
          </x14:formula1>
          <xm:sqref>LCP458759:LCP458782</xm:sqref>
        </x14:dataValidation>
        <x14:dataValidation type="list" allowBlank="1" showInputMessage="1" showErrorMessage="1" xr:uid="{A0D3541B-968D-4F8C-916D-BB08B1790C87}">
          <x14:formula1>
            <xm:f>項目!A4:$LMC$458754</xm:f>
          </x14:formula1>
          <xm:sqref>LML458759:LML458782</xm:sqref>
        </x14:dataValidation>
        <x14:dataValidation type="list" allowBlank="1" showInputMessage="1" showErrorMessage="1" xr:uid="{C01764D1-3EB3-41E8-B949-CC6311568EA9}">
          <x14:formula1>
            <xm:f>項目!A4:$LVY$458754</xm:f>
          </x14:formula1>
          <xm:sqref>LWH458759:LWH458782</xm:sqref>
        </x14:dataValidation>
        <x14:dataValidation type="list" allowBlank="1" showInputMessage="1" showErrorMessage="1" xr:uid="{0F278CF0-6252-457F-B059-33B52C04A940}">
          <x14:formula1>
            <xm:f>項目!A4:$MFU$458754</xm:f>
          </x14:formula1>
          <xm:sqref>MGD458759:MGD458782</xm:sqref>
        </x14:dataValidation>
        <x14:dataValidation type="list" allowBlank="1" showInputMessage="1" showErrorMessage="1" xr:uid="{357B3662-88EE-4C74-9CF3-0899F28F27EB}">
          <x14:formula1>
            <xm:f>項目!A4:$MPQ$458754</xm:f>
          </x14:formula1>
          <xm:sqref>MPZ458759:MPZ458782</xm:sqref>
        </x14:dataValidation>
        <x14:dataValidation type="list" allowBlank="1" showInputMessage="1" showErrorMessage="1" xr:uid="{9EFEF4DC-29B6-44D8-B54D-F381A947C24B}">
          <x14:formula1>
            <xm:f>項目!A4:$MZM$458754</xm:f>
          </x14:formula1>
          <xm:sqref>MZV458759:MZV458782</xm:sqref>
        </x14:dataValidation>
        <x14:dataValidation type="list" allowBlank="1" showInputMessage="1" showErrorMessage="1" xr:uid="{7351EC25-B920-4167-AB82-12ABABEA8554}">
          <x14:formula1>
            <xm:f>項目!A4:$NJI$458754</xm:f>
          </x14:formula1>
          <xm:sqref>NJR458759:NJR458782</xm:sqref>
        </x14:dataValidation>
        <x14:dataValidation type="list" allowBlank="1" showInputMessage="1" showErrorMessage="1" xr:uid="{FF945782-7898-4306-A98C-DD1C91423D56}">
          <x14:formula1>
            <xm:f>項目!A4:$NTE$458754</xm:f>
          </x14:formula1>
          <xm:sqref>NTN458759:NTN458782</xm:sqref>
        </x14:dataValidation>
        <x14:dataValidation type="list" allowBlank="1" showInputMessage="1" showErrorMessage="1" xr:uid="{2A4425D9-E1D4-472B-9D45-1F56DD2029F3}">
          <x14:formula1>
            <xm:f>項目!A4:$ODA$458754</xm:f>
          </x14:formula1>
          <xm:sqref>ODJ458759:ODJ458782</xm:sqref>
        </x14:dataValidation>
        <x14:dataValidation type="list" allowBlank="1" showInputMessage="1" showErrorMessage="1" xr:uid="{285E33EC-5759-469D-82A0-B664D593C197}">
          <x14:formula1>
            <xm:f>項目!A4:$OMW$458754</xm:f>
          </x14:formula1>
          <xm:sqref>ONF458759:ONF458782</xm:sqref>
        </x14:dataValidation>
        <x14:dataValidation type="list" allowBlank="1" showInputMessage="1" showErrorMessage="1" xr:uid="{999F5B68-4BCC-42E1-9C5C-5E9EAD548F47}">
          <x14:formula1>
            <xm:f>項目!A4:$OWS$458754</xm:f>
          </x14:formula1>
          <xm:sqref>OXB458759:OXB458782</xm:sqref>
        </x14:dataValidation>
        <x14:dataValidation type="list" allowBlank="1" showInputMessage="1" showErrorMessage="1" xr:uid="{B74D8967-2741-4C72-86DF-D3A709B99C4A}">
          <x14:formula1>
            <xm:f>項目!A4:$PGO$458754</xm:f>
          </x14:formula1>
          <xm:sqref>PGX458759:PGX458782</xm:sqref>
        </x14:dataValidation>
        <x14:dataValidation type="list" allowBlank="1" showInputMessage="1" showErrorMessage="1" xr:uid="{71D56384-7540-4820-82F6-83CB02266EC7}">
          <x14:formula1>
            <xm:f>項目!A4:$PQK$458754</xm:f>
          </x14:formula1>
          <xm:sqref>PQT458759:PQT458782</xm:sqref>
        </x14:dataValidation>
        <x14:dataValidation type="list" allowBlank="1" showInputMessage="1" showErrorMessage="1" xr:uid="{7B3D8615-117B-43E0-92FD-408BA22B161F}">
          <x14:formula1>
            <xm:f>項目!A4:$QAG$458754</xm:f>
          </x14:formula1>
          <xm:sqref>QAP458759:QAP458782</xm:sqref>
        </x14:dataValidation>
        <x14:dataValidation type="list" allowBlank="1" showInputMessage="1" showErrorMessage="1" xr:uid="{87C29DD6-E96D-40EA-9DFD-475440C47FFA}">
          <x14:formula1>
            <xm:f>項目!A4:$QKC$458754</xm:f>
          </x14:formula1>
          <xm:sqref>QKL458759:QKL458782</xm:sqref>
        </x14:dataValidation>
        <x14:dataValidation type="list" allowBlank="1" showInputMessage="1" showErrorMessage="1" xr:uid="{A534AFF5-A1D0-4B0F-85C8-8409CCB671D8}">
          <x14:formula1>
            <xm:f>項目!A4:$QTY$458754</xm:f>
          </x14:formula1>
          <xm:sqref>QUH458759:QUH458782</xm:sqref>
        </x14:dataValidation>
        <x14:dataValidation type="list" allowBlank="1" showInputMessage="1" showErrorMessage="1" xr:uid="{C190FC4D-0555-4300-A26F-8A48EE6B31D1}">
          <x14:formula1>
            <xm:f>項目!A4:$RDU$458754</xm:f>
          </x14:formula1>
          <xm:sqref>RED458759:RED458782</xm:sqref>
        </x14:dataValidation>
        <x14:dataValidation type="list" allowBlank="1" showInputMessage="1" showErrorMessage="1" xr:uid="{48C1F602-5845-436F-B301-A7116A90F552}">
          <x14:formula1>
            <xm:f>項目!A4:$RNQ$458754</xm:f>
          </x14:formula1>
          <xm:sqref>RNZ458759:RNZ458782</xm:sqref>
        </x14:dataValidation>
        <x14:dataValidation type="list" allowBlank="1" showInputMessage="1" showErrorMessage="1" xr:uid="{D32D7E17-2A94-4FD3-B5A0-59B35890D857}">
          <x14:formula1>
            <xm:f>項目!A4:$RXM$458754</xm:f>
          </x14:formula1>
          <xm:sqref>RXV458759:RXV458782</xm:sqref>
        </x14:dataValidation>
        <x14:dataValidation type="list" allowBlank="1" showInputMessage="1" showErrorMessage="1" xr:uid="{A8D8A6A4-686A-4D52-90CD-B34E0ED714E3}">
          <x14:formula1>
            <xm:f>項目!A4:$SHI$458754</xm:f>
          </x14:formula1>
          <xm:sqref>SHR458759:SHR458782</xm:sqref>
        </x14:dataValidation>
        <x14:dataValidation type="list" allowBlank="1" showInputMessage="1" showErrorMessage="1" xr:uid="{24F543BA-1FA9-4FF0-BEF1-6572D6AA9DB6}">
          <x14:formula1>
            <xm:f>項目!A4:$SRE$458754</xm:f>
          </x14:formula1>
          <xm:sqref>SRN458759:SRN458782</xm:sqref>
        </x14:dataValidation>
        <x14:dataValidation type="list" allowBlank="1" showInputMessage="1" showErrorMessage="1" xr:uid="{A94EFA2F-E73B-44E8-B758-B97152B5CBE6}">
          <x14:formula1>
            <xm:f>項目!A4:$TBA$458754</xm:f>
          </x14:formula1>
          <xm:sqref>TBJ458759:TBJ458782</xm:sqref>
        </x14:dataValidation>
        <x14:dataValidation type="list" allowBlank="1" showInputMessage="1" showErrorMessage="1" xr:uid="{3D2657DA-28D4-4827-9FEC-D442F0FAFD80}">
          <x14:formula1>
            <xm:f>項目!A4:$TKW$458754</xm:f>
          </x14:formula1>
          <xm:sqref>TLF458759:TLF458782</xm:sqref>
        </x14:dataValidation>
        <x14:dataValidation type="list" allowBlank="1" showInputMessage="1" showErrorMessage="1" xr:uid="{A57F4EF2-9C8C-44C2-B43A-431775119D56}">
          <x14:formula1>
            <xm:f>項目!A4:$TUS$458754</xm:f>
          </x14:formula1>
          <xm:sqref>TVB458759:TVB458782</xm:sqref>
        </x14:dataValidation>
        <x14:dataValidation type="list" allowBlank="1" showInputMessage="1" showErrorMessage="1" xr:uid="{7EBAE0E9-4F1D-48A8-9C0C-2DF13FC30744}">
          <x14:formula1>
            <xm:f>項目!A4:$UEO$458754</xm:f>
          </x14:formula1>
          <xm:sqref>UEX458759:UEX458782</xm:sqref>
        </x14:dataValidation>
        <x14:dataValidation type="list" allowBlank="1" showInputMessage="1" showErrorMessage="1" xr:uid="{6FA69DD9-8726-4786-BE1A-D115F3769999}">
          <x14:formula1>
            <xm:f>項目!A4:$UOK$458754</xm:f>
          </x14:formula1>
          <xm:sqref>UOT458759:UOT458782</xm:sqref>
        </x14:dataValidation>
        <x14:dataValidation type="list" allowBlank="1" showInputMessage="1" showErrorMessage="1" xr:uid="{B73BB56E-B309-4D0C-866D-54D299DC7CC5}">
          <x14:formula1>
            <xm:f>項目!A4:$UYG$458754</xm:f>
          </x14:formula1>
          <xm:sqref>UYP458759:UYP458782</xm:sqref>
        </x14:dataValidation>
        <x14:dataValidation type="list" allowBlank="1" showInputMessage="1" showErrorMessage="1" xr:uid="{E2350487-5BBC-4BAC-92DB-38095A6131BF}">
          <x14:formula1>
            <xm:f>項目!A4:$VIC$458754</xm:f>
          </x14:formula1>
          <xm:sqref>VIL458759:VIL458782</xm:sqref>
        </x14:dataValidation>
        <x14:dataValidation type="list" allowBlank="1" showInputMessage="1" showErrorMessage="1" xr:uid="{B107A05F-C6AA-46E2-9537-AD05A6FEFB8D}">
          <x14:formula1>
            <xm:f>項目!A4:$VRY$458754</xm:f>
          </x14:formula1>
          <xm:sqref>VSH458759:VSH458782</xm:sqref>
        </x14:dataValidation>
        <x14:dataValidation type="list" allowBlank="1" showInputMessage="1" showErrorMessage="1" xr:uid="{94836C7D-9842-4A6A-A82B-9F479517213D}">
          <x14:formula1>
            <xm:f>項目!A4:$WBU$458754</xm:f>
          </x14:formula1>
          <xm:sqref>WCD458759:WCD458782</xm:sqref>
        </x14:dataValidation>
        <x14:dataValidation type="list" allowBlank="1" showInputMessage="1" showErrorMessage="1" xr:uid="{F2B100A0-9465-497B-8D5C-A4BE97356664}">
          <x14:formula1>
            <xm:f>項目!A4:$WLQ$458754</xm:f>
          </x14:formula1>
          <xm:sqref>WLZ458759:WLZ458782</xm:sqref>
        </x14:dataValidation>
        <x14:dataValidation type="list" allowBlank="1" showInputMessage="1" showErrorMessage="1" xr:uid="{B8CB8419-9B96-44BA-B203-800C1D297A47}">
          <x14:formula1>
            <xm:f>項目!A4:$WVM$458754</xm:f>
          </x14:formula1>
          <xm:sqref>WVV458759:WVV458782</xm:sqref>
        </x14:dataValidation>
        <x14:dataValidation type="list" allowBlank="1" showInputMessage="1" showErrorMessage="1" xr:uid="{234F0D6A-2A92-4A76-A74D-0F5AC4DD16E4}">
          <x14:formula1>
            <xm:f>項目!A4:$JA$524290</xm:f>
          </x14:formula1>
          <xm:sqref>JJ524295:JJ524318</xm:sqref>
        </x14:dataValidation>
        <x14:dataValidation type="list" allowBlank="1" showInputMessage="1" showErrorMessage="1" xr:uid="{667EC8E9-9DC6-4B95-8FE8-F8DD1D2C75F7}">
          <x14:formula1>
            <xm:f>項目!A4:$SW$524290</xm:f>
          </x14:formula1>
          <xm:sqref>TF524295:TF524318</xm:sqref>
        </x14:dataValidation>
        <x14:dataValidation type="list" allowBlank="1" showInputMessage="1" showErrorMessage="1" xr:uid="{B504477A-67C3-4C10-AC69-5F8476C4F206}">
          <x14:formula1>
            <xm:f>項目!A4:$ACS$524290</xm:f>
          </x14:formula1>
          <xm:sqref>ADB524295:ADB524318</xm:sqref>
        </x14:dataValidation>
        <x14:dataValidation type="list" allowBlank="1" showInputMessage="1" showErrorMessage="1" xr:uid="{DD419147-94AB-4D6D-969E-A5F1A3BF18F8}">
          <x14:formula1>
            <xm:f>項目!A4:$AMO$524290</xm:f>
          </x14:formula1>
          <xm:sqref>AMX524295:AMX524318</xm:sqref>
        </x14:dataValidation>
        <x14:dataValidation type="list" allowBlank="1" showInputMessage="1" showErrorMessage="1" xr:uid="{AB1F540B-CD04-48BD-A111-9A8BB7D77F47}">
          <x14:formula1>
            <xm:f>項目!A4:$AWK$524290</xm:f>
          </x14:formula1>
          <xm:sqref>AWT524295:AWT524318</xm:sqref>
        </x14:dataValidation>
        <x14:dataValidation type="list" allowBlank="1" showInputMessage="1" showErrorMessage="1" xr:uid="{D57EA78F-11B4-4722-9C2A-20125C3AD494}">
          <x14:formula1>
            <xm:f>項目!A4:$BGG$524290</xm:f>
          </x14:formula1>
          <xm:sqref>BGP524295:BGP524318</xm:sqref>
        </x14:dataValidation>
        <x14:dataValidation type="list" allowBlank="1" showInputMessage="1" showErrorMessage="1" xr:uid="{B8BA4E7F-FF1F-4D81-8FF6-BE3105C71DBB}">
          <x14:formula1>
            <xm:f>項目!A4:$BQC$524290</xm:f>
          </x14:formula1>
          <xm:sqref>BQL524295:BQL524318</xm:sqref>
        </x14:dataValidation>
        <x14:dataValidation type="list" allowBlank="1" showInputMessage="1" showErrorMessage="1" xr:uid="{5D8CAED7-417A-4896-82C3-5C4F4E4376AD}">
          <x14:formula1>
            <xm:f>項目!A4:$BZY$524290</xm:f>
          </x14:formula1>
          <xm:sqref>CAH524295:CAH524318</xm:sqref>
        </x14:dataValidation>
        <x14:dataValidation type="list" allowBlank="1" showInputMessage="1" showErrorMessage="1" xr:uid="{11988725-44E7-4BF7-A705-A5E4A9C26B20}">
          <x14:formula1>
            <xm:f>項目!A4:$CJU$524290</xm:f>
          </x14:formula1>
          <xm:sqref>CKD524295:CKD524318</xm:sqref>
        </x14:dataValidation>
        <x14:dataValidation type="list" allowBlank="1" showInputMessage="1" showErrorMessage="1" xr:uid="{2C673CF5-6684-4AA9-BEF8-F97D21C5C104}">
          <x14:formula1>
            <xm:f>項目!A4:$CTQ$524290</xm:f>
          </x14:formula1>
          <xm:sqref>CTZ524295:CTZ524318</xm:sqref>
        </x14:dataValidation>
        <x14:dataValidation type="list" allowBlank="1" showInputMessage="1" showErrorMessage="1" xr:uid="{50737FD0-B62A-4AB9-94C3-4972D4CF67E0}">
          <x14:formula1>
            <xm:f>項目!A4:$DDM$524290</xm:f>
          </x14:formula1>
          <xm:sqref>DDV524295:DDV524318</xm:sqref>
        </x14:dataValidation>
        <x14:dataValidation type="list" allowBlank="1" showInputMessage="1" showErrorMessage="1" xr:uid="{0AA91570-4CDF-4299-8B24-B30D4E42FD08}">
          <x14:formula1>
            <xm:f>項目!A4:$DNI$524290</xm:f>
          </x14:formula1>
          <xm:sqref>DNR524295:DNR524318</xm:sqref>
        </x14:dataValidation>
        <x14:dataValidation type="list" allowBlank="1" showInputMessage="1" showErrorMessage="1" xr:uid="{C911542E-7176-4E5B-ABB7-95150F1051BA}">
          <x14:formula1>
            <xm:f>項目!A4:$DXE$524290</xm:f>
          </x14:formula1>
          <xm:sqref>DXN524295:DXN524318</xm:sqref>
        </x14:dataValidation>
        <x14:dataValidation type="list" allowBlank="1" showInputMessage="1" showErrorMessage="1" xr:uid="{EDEC74BC-B8EB-4102-9D38-3AC6B34A44B0}">
          <x14:formula1>
            <xm:f>項目!A4:$EHA$524290</xm:f>
          </x14:formula1>
          <xm:sqref>EHJ524295:EHJ524318</xm:sqref>
        </x14:dataValidation>
        <x14:dataValidation type="list" allowBlank="1" showInputMessage="1" showErrorMessage="1" xr:uid="{1F98CAE7-84E9-4EB5-AF26-4B5E267F297D}">
          <x14:formula1>
            <xm:f>項目!A4:$EQW$524290</xm:f>
          </x14:formula1>
          <xm:sqref>ERF524295:ERF524318</xm:sqref>
        </x14:dataValidation>
        <x14:dataValidation type="list" allowBlank="1" showInputMessage="1" showErrorMessage="1" xr:uid="{8D78126A-847E-4EA0-8874-90E81412CF23}">
          <x14:formula1>
            <xm:f>項目!A4:$FAS$524290</xm:f>
          </x14:formula1>
          <xm:sqref>FBB524295:FBB524318</xm:sqref>
        </x14:dataValidation>
        <x14:dataValidation type="list" allowBlank="1" showInputMessage="1" showErrorMessage="1" xr:uid="{4193AA5A-DB08-4005-9513-ED00B9F8634F}">
          <x14:formula1>
            <xm:f>項目!A4:$FKO$524290</xm:f>
          </x14:formula1>
          <xm:sqref>FKX524295:FKX524318</xm:sqref>
        </x14:dataValidation>
        <x14:dataValidation type="list" allowBlank="1" showInputMessage="1" showErrorMessage="1" xr:uid="{50DFA6E8-4783-47A7-A804-7555940911A2}">
          <x14:formula1>
            <xm:f>項目!A4:$FUK$524290</xm:f>
          </x14:formula1>
          <xm:sqref>FUT524295:FUT524318</xm:sqref>
        </x14:dataValidation>
        <x14:dataValidation type="list" allowBlank="1" showInputMessage="1" showErrorMessage="1" xr:uid="{1C9381D9-4CA7-4D49-B3A1-C01037621156}">
          <x14:formula1>
            <xm:f>項目!A4:$GEG$524290</xm:f>
          </x14:formula1>
          <xm:sqref>GEP524295:GEP524318</xm:sqref>
        </x14:dataValidation>
        <x14:dataValidation type="list" allowBlank="1" showInputMessage="1" showErrorMessage="1" xr:uid="{FFEE0E70-1970-4062-9283-FD7BEF2C82B9}">
          <x14:formula1>
            <xm:f>項目!A4:$GOC$524290</xm:f>
          </x14:formula1>
          <xm:sqref>GOL524295:GOL524318</xm:sqref>
        </x14:dataValidation>
        <x14:dataValidation type="list" allowBlank="1" showInputMessage="1" showErrorMessage="1" xr:uid="{E5E82C1E-B02A-4453-96A4-EDDC4BFF10CE}">
          <x14:formula1>
            <xm:f>項目!A4:$GXY$524290</xm:f>
          </x14:formula1>
          <xm:sqref>GYH524295:GYH524318</xm:sqref>
        </x14:dataValidation>
        <x14:dataValidation type="list" allowBlank="1" showInputMessage="1" showErrorMessage="1" xr:uid="{A084D19B-6A9C-4009-94FB-C01490EE3F29}">
          <x14:formula1>
            <xm:f>項目!A4:$HHU$524290</xm:f>
          </x14:formula1>
          <xm:sqref>HID524295:HID524318</xm:sqref>
        </x14:dataValidation>
        <x14:dataValidation type="list" allowBlank="1" showInputMessage="1" showErrorMessage="1" xr:uid="{270DD89E-EE92-46A7-8BD4-1F40AA661ED8}">
          <x14:formula1>
            <xm:f>項目!A4:$HRQ$524290</xm:f>
          </x14:formula1>
          <xm:sqref>HRZ524295:HRZ524318</xm:sqref>
        </x14:dataValidation>
        <x14:dataValidation type="list" allowBlank="1" showInputMessage="1" showErrorMessage="1" xr:uid="{3C1C5D04-6891-48B9-8DCD-AFB4A9D6465B}">
          <x14:formula1>
            <xm:f>項目!A4:$IBM$524290</xm:f>
          </x14:formula1>
          <xm:sqref>IBV524295:IBV524318</xm:sqref>
        </x14:dataValidation>
        <x14:dataValidation type="list" allowBlank="1" showInputMessage="1" showErrorMessage="1" xr:uid="{836C33EB-E5EF-4C14-A8E3-02CB47D66545}">
          <x14:formula1>
            <xm:f>項目!A4:$ILI$524290</xm:f>
          </x14:formula1>
          <xm:sqref>ILR524295:ILR524318</xm:sqref>
        </x14:dataValidation>
        <x14:dataValidation type="list" allowBlank="1" showInputMessage="1" showErrorMessage="1" xr:uid="{A910EEBD-07AF-426F-BAB6-48BD9D2ECDC9}">
          <x14:formula1>
            <xm:f>項目!A4:$IVE$524290</xm:f>
          </x14:formula1>
          <xm:sqref>IVN524295:IVN524318</xm:sqref>
        </x14:dataValidation>
        <x14:dataValidation type="list" allowBlank="1" showInputMessage="1" showErrorMessage="1" xr:uid="{B72CCBDD-236E-4F7F-BA32-E5D2AA5DCFE1}">
          <x14:formula1>
            <xm:f>項目!A4:$JFA$524290</xm:f>
          </x14:formula1>
          <xm:sqref>JFJ524295:JFJ524318</xm:sqref>
        </x14:dataValidation>
        <x14:dataValidation type="list" allowBlank="1" showInputMessage="1" showErrorMessage="1" xr:uid="{5EE8604E-50FF-48A4-B858-E87E50018459}">
          <x14:formula1>
            <xm:f>項目!A4:$JOW$524290</xm:f>
          </x14:formula1>
          <xm:sqref>JPF524295:JPF524318</xm:sqref>
        </x14:dataValidation>
        <x14:dataValidation type="list" allowBlank="1" showInputMessage="1" showErrorMessage="1" xr:uid="{8D6A74B5-E588-45B9-89D7-831F82C786D7}">
          <x14:formula1>
            <xm:f>項目!A4:$JYS$524290</xm:f>
          </x14:formula1>
          <xm:sqref>JZB524295:JZB524318</xm:sqref>
        </x14:dataValidation>
        <x14:dataValidation type="list" allowBlank="1" showInputMessage="1" showErrorMessage="1" xr:uid="{267F809C-75DA-4C5E-974A-7519457BAAC9}">
          <x14:formula1>
            <xm:f>項目!A4:$KIO$524290</xm:f>
          </x14:formula1>
          <xm:sqref>KIX524295:KIX524318</xm:sqref>
        </x14:dataValidation>
        <x14:dataValidation type="list" allowBlank="1" showInputMessage="1" showErrorMessage="1" xr:uid="{8806693E-7BB3-4817-A1CC-BDBD50BB51AC}">
          <x14:formula1>
            <xm:f>項目!A4:$KSK$524290</xm:f>
          </x14:formula1>
          <xm:sqref>KST524295:KST524318</xm:sqref>
        </x14:dataValidation>
        <x14:dataValidation type="list" allowBlank="1" showInputMessage="1" showErrorMessage="1" xr:uid="{6BDCBD55-1A0E-4CBE-ACF8-B9BC0DDF1AD4}">
          <x14:formula1>
            <xm:f>項目!A4:$LCG$524290</xm:f>
          </x14:formula1>
          <xm:sqref>LCP524295:LCP524318</xm:sqref>
        </x14:dataValidation>
        <x14:dataValidation type="list" allowBlank="1" showInputMessage="1" showErrorMessage="1" xr:uid="{77BBDA48-459B-4523-A88C-0653C3C975B2}">
          <x14:formula1>
            <xm:f>項目!A4:$LMC$524290</xm:f>
          </x14:formula1>
          <xm:sqref>LML524295:LML524318</xm:sqref>
        </x14:dataValidation>
        <x14:dataValidation type="list" allowBlank="1" showInputMessage="1" showErrorMessage="1" xr:uid="{E1DDAC42-3ABB-4467-82CA-6A03685CADD1}">
          <x14:formula1>
            <xm:f>項目!A4:$LVY$524290</xm:f>
          </x14:formula1>
          <xm:sqref>LWH524295:LWH524318</xm:sqref>
        </x14:dataValidation>
        <x14:dataValidation type="list" allowBlank="1" showInputMessage="1" showErrorMessage="1" xr:uid="{4EFB0EA0-AB81-4CC8-AB98-0152FF4DB426}">
          <x14:formula1>
            <xm:f>項目!A4:$MFU$524290</xm:f>
          </x14:formula1>
          <xm:sqref>MGD524295:MGD524318</xm:sqref>
        </x14:dataValidation>
        <x14:dataValidation type="list" allowBlank="1" showInputMessage="1" showErrorMessage="1" xr:uid="{C83486D9-7D64-48F8-859E-98380AE4BE22}">
          <x14:formula1>
            <xm:f>項目!A4:$MPQ$524290</xm:f>
          </x14:formula1>
          <xm:sqref>MPZ524295:MPZ524318</xm:sqref>
        </x14:dataValidation>
        <x14:dataValidation type="list" allowBlank="1" showInputMessage="1" showErrorMessage="1" xr:uid="{137001E9-FFB2-417B-BCDE-A4500639AC6B}">
          <x14:formula1>
            <xm:f>項目!A4:$MZM$524290</xm:f>
          </x14:formula1>
          <xm:sqref>MZV524295:MZV524318</xm:sqref>
        </x14:dataValidation>
        <x14:dataValidation type="list" allowBlank="1" showInputMessage="1" showErrorMessage="1" xr:uid="{8E9E96EE-3D86-49D7-8104-5E9FD966078B}">
          <x14:formula1>
            <xm:f>項目!A4:$NJI$524290</xm:f>
          </x14:formula1>
          <xm:sqref>NJR524295:NJR524318</xm:sqref>
        </x14:dataValidation>
        <x14:dataValidation type="list" allowBlank="1" showInputMessage="1" showErrorMessage="1" xr:uid="{0D8F84F9-CB8B-4B65-A247-504F109F5627}">
          <x14:formula1>
            <xm:f>項目!A4:$NTE$524290</xm:f>
          </x14:formula1>
          <xm:sqref>NTN524295:NTN524318</xm:sqref>
        </x14:dataValidation>
        <x14:dataValidation type="list" allowBlank="1" showInputMessage="1" showErrorMessage="1" xr:uid="{09AB0F4A-70B1-4C56-A96B-4654B3A5E709}">
          <x14:formula1>
            <xm:f>項目!A4:$ODA$524290</xm:f>
          </x14:formula1>
          <xm:sqref>ODJ524295:ODJ524318</xm:sqref>
        </x14:dataValidation>
        <x14:dataValidation type="list" allowBlank="1" showInputMessage="1" showErrorMessage="1" xr:uid="{4FA2822F-A529-4ECD-8C79-694647DB4285}">
          <x14:formula1>
            <xm:f>項目!A4:$OMW$524290</xm:f>
          </x14:formula1>
          <xm:sqref>ONF524295:ONF524318</xm:sqref>
        </x14:dataValidation>
        <x14:dataValidation type="list" allowBlank="1" showInputMessage="1" showErrorMessage="1" xr:uid="{6CA448B4-592C-493F-B12B-0D1DDF55DB2E}">
          <x14:formula1>
            <xm:f>項目!A4:$OWS$524290</xm:f>
          </x14:formula1>
          <xm:sqref>OXB524295:OXB524318</xm:sqref>
        </x14:dataValidation>
        <x14:dataValidation type="list" allowBlank="1" showInputMessage="1" showErrorMessage="1" xr:uid="{147F7790-16B6-4C94-BE71-FE7B2591543E}">
          <x14:formula1>
            <xm:f>項目!A4:$PGO$524290</xm:f>
          </x14:formula1>
          <xm:sqref>PGX524295:PGX524318</xm:sqref>
        </x14:dataValidation>
        <x14:dataValidation type="list" allowBlank="1" showInputMessage="1" showErrorMessage="1" xr:uid="{DF6AD610-3FEF-4820-807C-A03A73047A6B}">
          <x14:formula1>
            <xm:f>項目!A4:$PQK$524290</xm:f>
          </x14:formula1>
          <xm:sqref>PQT524295:PQT524318</xm:sqref>
        </x14:dataValidation>
        <x14:dataValidation type="list" allowBlank="1" showInputMessage="1" showErrorMessage="1" xr:uid="{E4EA0AA0-C5AA-4815-BE13-60026B24BCDD}">
          <x14:formula1>
            <xm:f>項目!A4:$QAG$524290</xm:f>
          </x14:formula1>
          <xm:sqref>QAP524295:QAP524318</xm:sqref>
        </x14:dataValidation>
        <x14:dataValidation type="list" allowBlank="1" showInputMessage="1" showErrorMessage="1" xr:uid="{9A6E1EF2-D592-41E9-A16E-9BBAF956E017}">
          <x14:formula1>
            <xm:f>項目!A4:$QKC$524290</xm:f>
          </x14:formula1>
          <xm:sqref>QKL524295:QKL524318</xm:sqref>
        </x14:dataValidation>
        <x14:dataValidation type="list" allowBlank="1" showInputMessage="1" showErrorMessage="1" xr:uid="{77401B70-5AE8-4693-91A8-6D3058300885}">
          <x14:formula1>
            <xm:f>項目!A4:$QTY$524290</xm:f>
          </x14:formula1>
          <xm:sqref>QUH524295:QUH524318</xm:sqref>
        </x14:dataValidation>
        <x14:dataValidation type="list" allowBlank="1" showInputMessage="1" showErrorMessage="1" xr:uid="{1D5C1B2A-DF5E-4ED6-9776-FFCEF900AC62}">
          <x14:formula1>
            <xm:f>項目!A4:$RDU$524290</xm:f>
          </x14:formula1>
          <xm:sqref>RED524295:RED524318</xm:sqref>
        </x14:dataValidation>
        <x14:dataValidation type="list" allowBlank="1" showInputMessage="1" showErrorMessage="1" xr:uid="{D21F268F-A98C-4087-8874-58E3F8FFCC25}">
          <x14:formula1>
            <xm:f>項目!A4:$RNQ$524290</xm:f>
          </x14:formula1>
          <xm:sqref>RNZ524295:RNZ524318</xm:sqref>
        </x14:dataValidation>
        <x14:dataValidation type="list" allowBlank="1" showInputMessage="1" showErrorMessage="1" xr:uid="{F3E6279D-1293-483A-A92D-E549DA71E396}">
          <x14:formula1>
            <xm:f>項目!A4:$RXM$524290</xm:f>
          </x14:formula1>
          <xm:sqref>RXV524295:RXV524318</xm:sqref>
        </x14:dataValidation>
        <x14:dataValidation type="list" allowBlank="1" showInputMessage="1" showErrorMessage="1" xr:uid="{EC5EC240-4416-46CE-83EC-A88D5A980CFD}">
          <x14:formula1>
            <xm:f>項目!A4:$SHI$524290</xm:f>
          </x14:formula1>
          <xm:sqref>SHR524295:SHR524318</xm:sqref>
        </x14:dataValidation>
        <x14:dataValidation type="list" allowBlank="1" showInputMessage="1" showErrorMessage="1" xr:uid="{A166770B-F40E-411A-A1C3-E09DC3FABB4E}">
          <x14:formula1>
            <xm:f>項目!A4:$SRE$524290</xm:f>
          </x14:formula1>
          <xm:sqref>SRN524295:SRN524318</xm:sqref>
        </x14:dataValidation>
        <x14:dataValidation type="list" allowBlank="1" showInputMessage="1" showErrorMessage="1" xr:uid="{1A46B094-8BF1-4C56-9EAC-E15E042D3E32}">
          <x14:formula1>
            <xm:f>項目!A4:$TBA$524290</xm:f>
          </x14:formula1>
          <xm:sqref>TBJ524295:TBJ524318</xm:sqref>
        </x14:dataValidation>
        <x14:dataValidation type="list" allowBlank="1" showInputMessage="1" showErrorMessage="1" xr:uid="{6D4F059B-3FBF-4CCB-B9F4-4E18AA971507}">
          <x14:formula1>
            <xm:f>項目!A4:$TKW$524290</xm:f>
          </x14:formula1>
          <xm:sqref>TLF524295:TLF524318</xm:sqref>
        </x14:dataValidation>
        <x14:dataValidation type="list" allowBlank="1" showInputMessage="1" showErrorMessage="1" xr:uid="{0F509AE8-6557-4E16-A1A3-B2ADA61067A8}">
          <x14:formula1>
            <xm:f>項目!A4:$TUS$524290</xm:f>
          </x14:formula1>
          <xm:sqref>TVB524295:TVB524318</xm:sqref>
        </x14:dataValidation>
        <x14:dataValidation type="list" allowBlank="1" showInputMessage="1" showErrorMessage="1" xr:uid="{226B9882-F4E6-4213-8B84-ED45560AF95A}">
          <x14:formula1>
            <xm:f>項目!A4:$UEO$524290</xm:f>
          </x14:formula1>
          <xm:sqref>UEX524295:UEX524318</xm:sqref>
        </x14:dataValidation>
        <x14:dataValidation type="list" allowBlank="1" showInputMessage="1" showErrorMessage="1" xr:uid="{340B4F60-E677-423E-8B8F-656025A46A7E}">
          <x14:formula1>
            <xm:f>項目!A4:$UOK$524290</xm:f>
          </x14:formula1>
          <xm:sqref>UOT524295:UOT524318</xm:sqref>
        </x14:dataValidation>
        <x14:dataValidation type="list" allowBlank="1" showInputMessage="1" showErrorMessage="1" xr:uid="{C0247CF2-A332-49E3-A483-63DFDC3DF0A7}">
          <x14:formula1>
            <xm:f>項目!A4:$UYG$524290</xm:f>
          </x14:formula1>
          <xm:sqref>UYP524295:UYP524318</xm:sqref>
        </x14:dataValidation>
        <x14:dataValidation type="list" allowBlank="1" showInputMessage="1" showErrorMessage="1" xr:uid="{61FBDA0D-0B91-4596-835D-1C6D26EF0E74}">
          <x14:formula1>
            <xm:f>項目!A4:$VIC$524290</xm:f>
          </x14:formula1>
          <xm:sqref>VIL524295:VIL524318</xm:sqref>
        </x14:dataValidation>
        <x14:dataValidation type="list" allowBlank="1" showInputMessage="1" showErrorMessage="1" xr:uid="{AF790B35-4996-4D1E-AC77-FE9D331443C3}">
          <x14:formula1>
            <xm:f>項目!A4:$VRY$524290</xm:f>
          </x14:formula1>
          <xm:sqref>VSH524295:VSH524318</xm:sqref>
        </x14:dataValidation>
        <x14:dataValidation type="list" allowBlank="1" showInputMessage="1" showErrorMessage="1" xr:uid="{F0FC8353-12B3-440C-8C7A-401776221CE4}">
          <x14:formula1>
            <xm:f>項目!A4:$WBU$524290</xm:f>
          </x14:formula1>
          <xm:sqref>WCD524295:WCD524318</xm:sqref>
        </x14:dataValidation>
        <x14:dataValidation type="list" allowBlank="1" showInputMessage="1" showErrorMessage="1" xr:uid="{9DE010C3-AE05-44E5-9452-6B9E079DE73E}">
          <x14:formula1>
            <xm:f>項目!A4:$WLQ$524290</xm:f>
          </x14:formula1>
          <xm:sqref>WLZ524295:WLZ524318</xm:sqref>
        </x14:dataValidation>
        <x14:dataValidation type="list" allowBlank="1" showInputMessage="1" showErrorMessage="1" xr:uid="{098272DE-964D-4646-BABA-5A01FD9ED201}">
          <x14:formula1>
            <xm:f>項目!A4:$WVM$524290</xm:f>
          </x14:formula1>
          <xm:sqref>WVV524295:WVV524318</xm:sqref>
        </x14:dataValidation>
        <x14:dataValidation type="list" allowBlank="1" showInputMessage="1" showErrorMessage="1" xr:uid="{5FC5A209-10B4-4537-A78E-32FED410989F}">
          <x14:formula1>
            <xm:f>項目!A4:$JA$589826</xm:f>
          </x14:formula1>
          <xm:sqref>JJ589831:JJ589854</xm:sqref>
        </x14:dataValidation>
        <x14:dataValidation type="list" allowBlank="1" showInputMessage="1" showErrorMessage="1" xr:uid="{341A96D2-477A-49EC-82E2-82198DF35DBA}">
          <x14:formula1>
            <xm:f>項目!A4:$SW$589826</xm:f>
          </x14:formula1>
          <xm:sqref>TF589831:TF589854</xm:sqref>
        </x14:dataValidation>
        <x14:dataValidation type="list" allowBlank="1" showInputMessage="1" showErrorMessage="1" xr:uid="{A016B7A4-F075-4297-BF2B-D41C037FD2C2}">
          <x14:formula1>
            <xm:f>項目!A4:$ACS$589826</xm:f>
          </x14:formula1>
          <xm:sqref>ADB589831:ADB589854</xm:sqref>
        </x14:dataValidation>
        <x14:dataValidation type="list" allowBlank="1" showInputMessage="1" showErrorMessage="1" xr:uid="{2BD52E5A-6FE6-436B-963E-90DE35BCCC64}">
          <x14:formula1>
            <xm:f>項目!A4:$AMO$589826</xm:f>
          </x14:formula1>
          <xm:sqref>AMX589831:AMX589854</xm:sqref>
        </x14:dataValidation>
        <x14:dataValidation type="list" allowBlank="1" showInputMessage="1" showErrorMessage="1" xr:uid="{8AD8577F-4862-42B1-BAFB-425A1218C9BA}">
          <x14:formula1>
            <xm:f>項目!A4:$AWK$589826</xm:f>
          </x14:formula1>
          <xm:sqref>AWT589831:AWT589854</xm:sqref>
        </x14:dataValidation>
        <x14:dataValidation type="list" allowBlank="1" showInputMessage="1" showErrorMessage="1" xr:uid="{DAA16F5F-3649-470D-807F-3639B10732AE}">
          <x14:formula1>
            <xm:f>項目!A4:$BGG$589826</xm:f>
          </x14:formula1>
          <xm:sqref>BGP589831:BGP589854</xm:sqref>
        </x14:dataValidation>
        <x14:dataValidation type="list" allowBlank="1" showInputMessage="1" showErrorMessage="1" xr:uid="{5FF25964-5369-4F8C-9AF9-51EA9410D5FF}">
          <x14:formula1>
            <xm:f>項目!A4:$BQC$589826</xm:f>
          </x14:formula1>
          <xm:sqref>BQL589831:BQL589854</xm:sqref>
        </x14:dataValidation>
        <x14:dataValidation type="list" allowBlank="1" showInputMessage="1" showErrorMessage="1" xr:uid="{B7F83761-EB06-44CC-8F39-F7F876D1F1DB}">
          <x14:formula1>
            <xm:f>項目!A4:$BZY$589826</xm:f>
          </x14:formula1>
          <xm:sqref>CAH589831:CAH589854</xm:sqref>
        </x14:dataValidation>
        <x14:dataValidation type="list" allowBlank="1" showInputMessage="1" showErrorMessage="1" xr:uid="{CCFF7D3D-1A82-4426-BDCB-3B59F4BA3A27}">
          <x14:formula1>
            <xm:f>項目!A4:$CJU$589826</xm:f>
          </x14:formula1>
          <xm:sqref>CKD589831:CKD589854</xm:sqref>
        </x14:dataValidation>
        <x14:dataValidation type="list" allowBlank="1" showInputMessage="1" showErrorMessage="1" xr:uid="{99ED6A9F-0207-49DA-B262-A9EF23BE9F4D}">
          <x14:formula1>
            <xm:f>項目!A4:$CTQ$589826</xm:f>
          </x14:formula1>
          <xm:sqref>CTZ589831:CTZ589854</xm:sqref>
        </x14:dataValidation>
        <x14:dataValidation type="list" allowBlank="1" showInputMessage="1" showErrorMessage="1" xr:uid="{5AE88D5F-824F-48C9-8FD0-91DBB4AF88D0}">
          <x14:formula1>
            <xm:f>項目!A4:$DDM$589826</xm:f>
          </x14:formula1>
          <xm:sqref>DDV589831:DDV589854</xm:sqref>
        </x14:dataValidation>
        <x14:dataValidation type="list" allowBlank="1" showInputMessage="1" showErrorMessage="1" xr:uid="{B7647DDA-6078-4FCA-B4D0-2198C4134297}">
          <x14:formula1>
            <xm:f>項目!A4:$DNI$589826</xm:f>
          </x14:formula1>
          <xm:sqref>DNR589831:DNR589854</xm:sqref>
        </x14:dataValidation>
        <x14:dataValidation type="list" allowBlank="1" showInputMessage="1" showErrorMessage="1" xr:uid="{C29DEE9F-3E70-4388-9DAA-1509CBA757B0}">
          <x14:formula1>
            <xm:f>項目!A4:$DXE$589826</xm:f>
          </x14:formula1>
          <xm:sqref>DXN589831:DXN589854</xm:sqref>
        </x14:dataValidation>
        <x14:dataValidation type="list" allowBlank="1" showInputMessage="1" showErrorMessage="1" xr:uid="{78907FAC-92CA-45EE-BC16-652D985DD286}">
          <x14:formula1>
            <xm:f>項目!A4:$EHA$589826</xm:f>
          </x14:formula1>
          <xm:sqref>EHJ589831:EHJ589854</xm:sqref>
        </x14:dataValidation>
        <x14:dataValidation type="list" allowBlank="1" showInputMessage="1" showErrorMessage="1" xr:uid="{F6DB29B7-C5AE-4BCA-BA10-AF2AD8174CC5}">
          <x14:formula1>
            <xm:f>項目!A4:$EQW$589826</xm:f>
          </x14:formula1>
          <xm:sqref>ERF589831:ERF589854</xm:sqref>
        </x14:dataValidation>
        <x14:dataValidation type="list" allowBlank="1" showInputMessage="1" showErrorMessage="1" xr:uid="{F325BA6E-8B8F-41CC-8A16-AF414B5A1717}">
          <x14:formula1>
            <xm:f>項目!A4:$FAS$589826</xm:f>
          </x14:formula1>
          <xm:sqref>FBB589831:FBB589854</xm:sqref>
        </x14:dataValidation>
        <x14:dataValidation type="list" allowBlank="1" showInputMessage="1" showErrorMessage="1" xr:uid="{758D4185-BEDF-49FE-8E08-777A02B6407D}">
          <x14:formula1>
            <xm:f>項目!A4:$FKO$589826</xm:f>
          </x14:formula1>
          <xm:sqref>FKX589831:FKX589854</xm:sqref>
        </x14:dataValidation>
        <x14:dataValidation type="list" allowBlank="1" showInputMessage="1" showErrorMessage="1" xr:uid="{FCDAAA25-9C40-4461-A9AC-6AF4381FDB6B}">
          <x14:formula1>
            <xm:f>項目!A4:$FUK$589826</xm:f>
          </x14:formula1>
          <xm:sqref>FUT589831:FUT589854</xm:sqref>
        </x14:dataValidation>
        <x14:dataValidation type="list" allowBlank="1" showInputMessage="1" showErrorMessage="1" xr:uid="{42572E44-92E0-4F1D-B2BE-679A807D6A3F}">
          <x14:formula1>
            <xm:f>項目!A4:$GEG$589826</xm:f>
          </x14:formula1>
          <xm:sqref>GEP589831:GEP589854</xm:sqref>
        </x14:dataValidation>
        <x14:dataValidation type="list" allowBlank="1" showInputMessage="1" showErrorMessage="1" xr:uid="{36AE28A6-FE22-41F4-8311-13BF4B1E99E5}">
          <x14:formula1>
            <xm:f>項目!A4:$GOC$589826</xm:f>
          </x14:formula1>
          <xm:sqref>GOL589831:GOL589854</xm:sqref>
        </x14:dataValidation>
        <x14:dataValidation type="list" allowBlank="1" showInputMessage="1" showErrorMessage="1" xr:uid="{9E2FB1B7-517C-4DF8-8E6C-5327CD1B3C7F}">
          <x14:formula1>
            <xm:f>項目!A4:$GXY$589826</xm:f>
          </x14:formula1>
          <xm:sqref>GYH589831:GYH589854</xm:sqref>
        </x14:dataValidation>
        <x14:dataValidation type="list" allowBlank="1" showInputMessage="1" showErrorMessage="1" xr:uid="{393ED6DF-200A-438A-AB9A-C130872D7069}">
          <x14:formula1>
            <xm:f>項目!A4:$HHU$589826</xm:f>
          </x14:formula1>
          <xm:sqref>HID589831:HID589854</xm:sqref>
        </x14:dataValidation>
        <x14:dataValidation type="list" allowBlank="1" showInputMessage="1" showErrorMessage="1" xr:uid="{23D2C9EC-50A9-4575-9E6C-DA770EE043A2}">
          <x14:formula1>
            <xm:f>項目!A4:$HRQ$589826</xm:f>
          </x14:formula1>
          <xm:sqref>HRZ589831:HRZ589854</xm:sqref>
        </x14:dataValidation>
        <x14:dataValidation type="list" allowBlank="1" showInputMessage="1" showErrorMessage="1" xr:uid="{198E056A-00FF-477F-9BDA-546C3A04AB66}">
          <x14:formula1>
            <xm:f>項目!A4:$IBM$589826</xm:f>
          </x14:formula1>
          <xm:sqref>IBV589831:IBV589854</xm:sqref>
        </x14:dataValidation>
        <x14:dataValidation type="list" allowBlank="1" showInputMessage="1" showErrorMessage="1" xr:uid="{0F8A7E4E-3B04-4B5E-AA8A-154F1FE0CA64}">
          <x14:formula1>
            <xm:f>項目!A4:$ILI$589826</xm:f>
          </x14:formula1>
          <xm:sqref>ILR589831:ILR589854</xm:sqref>
        </x14:dataValidation>
        <x14:dataValidation type="list" allowBlank="1" showInputMessage="1" showErrorMessage="1" xr:uid="{6DF19A9E-D9F5-475B-A3B2-2C7A653284A2}">
          <x14:formula1>
            <xm:f>項目!A4:$IVE$589826</xm:f>
          </x14:formula1>
          <xm:sqref>IVN589831:IVN589854</xm:sqref>
        </x14:dataValidation>
        <x14:dataValidation type="list" allowBlank="1" showInputMessage="1" showErrorMessage="1" xr:uid="{626509ED-6F4A-4406-8DFA-00CA5C7BDAAA}">
          <x14:formula1>
            <xm:f>項目!A4:$JFA$589826</xm:f>
          </x14:formula1>
          <xm:sqref>JFJ589831:JFJ589854</xm:sqref>
        </x14:dataValidation>
        <x14:dataValidation type="list" allowBlank="1" showInputMessage="1" showErrorMessage="1" xr:uid="{AD110522-498B-44D1-90A4-704A8BFE491E}">
          <x14:formula1>
            <xm:f>項目!A4:$JOW$589826</xm:f>
          </x14:formula1>
          <xm:sqref>JPF589831:JPF589854</xm:sqref>
        </x14:dataValidation>
        <x14:dataValidation type="list" allowBlank="1" showInputMessage="1" showErrorMessage="1" xr:uid="{CCF52AF2-9677-4F4E-8079-7C662461CB9E}">
          <x14:formula1>
            <xm:f>項目!A4:$JYS$589826</xm:f>
          </x14:formula1>
          <xm:sqref>JZB589831:JZB589854</xm:sqref>
        </x14:dataValidation>
        <x14:dataValidation type="list" allowBlank="1" showInputMessage="1" showErrorMessage="1" xr:uid="{1A45299B-9135-49BD-B0AD-ABDE44123AA7}">
          <x14:formula1>
            <xm:f>項目!A4:$KIO$589826</xm:f>
          </x14:formula1>
          <xm:sqref>KIX589831:KIX589854</xm:sqref>
        </x14:dataValidation>
        <x14:dataValidation type="list" allowBlank="1" showInputMessage="1" showErrorMessage="1" xr:uid="{5FEA20F5-A3F1-4365-A0EC-D6F1E1A50936}">
          <x14:formula1>
            <xm:f>項目!A4:$KSK$589826</xm:f>
          </x14:formula1>
          <xm:sqref>KST589831:KST589854</xm:sqref>
        </x14:dataValidation>
        <x14:dataValidation type="list" allowBlank="1" showInputMessage="1" showErrorMessage="1" xr:uid="{1203382C-E0C8-4785-A929-B57A459B0B77}">
          <x14:formula1>
            <xm:f>項目!A4:$LCG$589826</xm:f>
          </x14:formula1>
          <xm:sqref>LCP589831:LCP589854</xm:sqref>
        </x14:dataValidation>
        <x14:dataValidation type="list" allowBlank="1" showInputMessage="1" showErrorMessage="1" xr:uid="{8B7027C6-EEB9-4DA6-BD8C-5A5EBE57D07B}">
          <x14:formula1>
            <xm:f>項目!A4:$LMC$589826</xm:f>
          </x14:formula1>
          <xm:sqref>LML589831:LML589854</xm:sqref>
        </x14:dataValidation>
        <x14:dataValidation type="list" allowBlank="1" showInputMessage="1" showErrorMessage="1" xr:uid="{90E28128-71E1-407B-9913-6A9DC7A9359B}">
          <x14:formula1>
            <xm:f>項目!A4:$LVY$589826</xm:f>
          </x14:formula1>
          <xm:sqref>LWH589831:LWH589854</xm:sqref>
        </x14:dataValidation>
        <x14:dataValidation type="list" allowBlank="1" showInputMessage="1" showErrorMessage="1" xr:uid="{D9040700-9543-4FFB-AC6B-11A482E3D3AD}">
          <x14:formula1>
            <xm:f>項目!A4:$MFU$589826</xm:f>
          </x14:formula1>
          <xm:sqref>MGD589831:MGD589854</xm:sqref>
        </x14:dataValidation>
        <x14:dataValidation type="list" allowBlank="1" showInputMessage="1" showErrorMessage="1" xr:uid="{ACF328FD-3971-4254-B773-4CC3843CF85A}">
          <x14:formula1>
            <xm:f>項目!A4:$MPQ$589826</xm:f>
          </x14:formula1>
          <xm:sqref>MPZ589831:MPZ589854</xm:sqref>
        </x14:dataValidation>
        <x14:dataValidation type="list" allowBlank="1" showInputMessage="1" showErrorMessage="1" xr:uid="{FB7533BD-496E-4B05-A0E0-2070272BE575}">
          <x14:formula1>
            <xm:f>項目!A4:$MZM$589826</xm:f>
          </x14:formula1>
          <xm:sqref>MZV589831:MZV589854</xm:sqref>
        </x14:dataValidation>
        <x14:dataValidation type="list" allowBlank="1" showInputMessage="1" showErrorMessage="1" xr:uid="{E2D0F1E2-9EA3-40E8-BE63-AB947672CE86}">
          <x14:formula1>
            <xm:f>項目!A4:$NJI$589826</xm:f>
          </x14:formula1>
          <xm:sqref>NJR589831:NJR589854</xm:sqref>
        </x14:dataValidation>
        <x14:dataValidation type="list" allowBlank="1" showInputMessage="1" showErrorMessage="1" xr:uid="{F5A5BB0B-C165-498A-853D-0234450359FC}">
          <x14:formula1>
            <xm:f>項目!A4:$NTE$589826</xm:f>
          </x14:formula1>
          <xm:sqref>NTN589831:NTN589854</xm:sqref>
        </x14:dataValidation>
        <x14:dataValidation type="list" allowBlank="1" showInputMessage="1" showErrorMessage="1" xr:uid="{42326FAA-F19D-44C2-A45E-878CE09C1E41}">
          <x14:formula1>
            <xm:f>項目!A4:$ODA$589826</xm:f>
          </x14:formula1>
          <xm:sqref>ODJ589831:ODJ589854</xm:sqref>
        </x14:dataValidation>
        <x14:dataValidation type="list" allowBlank="1" showInputMessage="1" showErrorMessage="1" xr:uid="{63148BB3-D5FB-4C1E-9DD9-EF232E526ECF}">
          <x14:formula1>
            <xm:f>項目!A4:$OMW$589826</xm:f>
          </x14:formula1>
          <xm:sqref>ONF589831:ONF589854</xm:sqref>
        </x14:dataValidation>
        <x14:dataValidation type="list" allowBlank="1" showInputMessage="1" showErrorMessage="1" xr:uid="{62C79A3D-E884-4BF3-9EBD-5F3868327A66}">
          <x14:formula1>
            <xm:f>項目!A4:$OWS$589826</xm:f>
          </x14:formula1>
          <xm:sqref>OXB589831:OXB589854</xm:sqref>
        </x14:dataValidation>
        <x14:dataValidation type="list" allowBlank="1" showInputMessage="1" showErrorMessage="1" xr:uid="{F417E34B-5C73-4F92-8308-04376C240100}">
          <x14:formula1>
            <xm:f>項目!A4:$PGO$589826</xm:f>
          </x14:formula1>
          <xm:sqref>PGX589831:PGX589854</xm:sqref>
        </x14:dataValidation>
        <x14:dataValidation type="list" allowBlank="1" showInputMessage="1" showErrorMessage="1" xr:uid="{E9E17027-874B-4D65-9614-4B2881D1DF23}">
          <x14:formula1>
            <xm:f>項目!A4:$PQK$589826</xm:f>
          </x14:formula1>
          <xm:sqref>PQT589831:PQT589854</xm:sqref>
        </x14:dataValidation>
        <x14:dataValidation type="list" allowBlank="1" showInputMessage="1" showErrorMessage="1" xr:uid="{0455ECC3-C21D-4C42-8184-1B817D41AC3E}">
          <x14:formula1>
            <xm:f>項目!A4:$QAG$589826</xm:f>
          </x14:formula1>
          <xm:sqref>QAP589831:QAP589854</xm:sqref>
        </x14:dataValidation>
        <x14:dataValidation type="list" allowBlank="1" showInputMessage="1" showErrorMessage="1" xr:uid="{FC830030-6A95-4E63-839D-EFA06E59D9B5}">
          <x14:formula1>
            <xm:f>項目!A4:$QKC$589826</xm:f>
          </x14:formula1>
          <xm:sqref>QKL589831:QKL589854</xm:sqref>
        </x14:dataValidation>
        <x14:dataValidation type="list" allowBlank="1" showInputMessage="1" showErrorMessage="1" xr:uid="{612966E2-2323-44C4-8A99-CCB5F83DE0E7}">
          <x14:formula1>
            <xm:f>項目!A4:$QTY$589826</xm:f>
          </x14:formula1>
          <xm:sqref>QUH589831:QUH589854</xm:sqref>
        </x14:dataValidation>
        <x14:dataValidation type="list" allowBlank="1" showInputMessage="1" showErrorMessage="1" xr:uid="{4711C8D6-FD3C-4B65-99A4-AE667B1E2861}">
          <x14:formula1>
            <xm:f>項目!A4:$RDU$589826</xm:f>
          </x14:formula1>
          <xm:sqref>RED589831:RED589854</xm:sqref>
        </x14:dataValidation>
        <x14:dataValidation type="list" allowBlank="1" showInputMessage="1" showErrorMessage="1" xr:uid="{54883F83-90C1-4936-839B-A8643D055192}">
          <x14:formula1>
            <xm:f>項目!A4:$RNQ$589826</xm:f>
          </x14:formula1>
          <xm:sqref>RNZ589831:RNZ589854</xm:sqref>
        </x14:dataValidation>
        <x14:dataValidation type="list" allowBlank="1" showInputMessage="1" showErrorMessage="1" xr:uid="{47CB546C-10D2-475E-9ED0-02E6A2EC12A4}">
          <x14:formula1>
            <xm:f>項目!A4:$RXM$589826</xm:f>
          </x14:formula1>
          <xm:sqref>RXV589831:RXV589854</xm:sqref>
        </x14:dataValidation>
        <x14:dataValidation type="list" allowBlank="1" showInputMessage="1" showErrorMessage="1" xr:uid="{66C00FF8-54FC-422F-9739-1CAD2D256121}">
          <x14:formula1>
            <xm:f>項目!A4:$SHI$589826</xm:f>
          </x14:formula1>
          <xm:sqref>SHR589831:SHR589854</xm:sqref>
        </x14:dataValidation>
        <x14:dataValidation type="list" allowBlank="1" showInputMessage="1" showErrorMessage="1" xr:uid="{E50D7506-712D-4608-8790-34E27F24342A}">
          <x14:formula1>
            <xm:f>項目!A4:$SRE$589826</xm:f>
          </x14:formula1>
          <xm:sqref>SRN589831:SRN589854</xm:sqref>
        </x14:dataValidation>
        <x14:dataValidation type="list" allowBlank="1" showInputMessage="1" showErrorMessage="1" xr:uid="{2EBFC319-CD4D-4404-BB95-DFF67746D81D}">
          <x14:formula1>
            <xm:f>項目!A4:$TBA$589826</xm:f>
          </x14:formula1>
          <xm:sqref>TBJ589831:TBJ589854</xm:sqref>
        </x14:dataValidation>
        <x14:dataValidation type="list" allowBlank="1" showInputMessage="1" showErrorMessage="1" xr:uid="{8836C2D7-E8A6-41EF-8399-9E1BBAC27E27}">
          <x14:formula1>
            <xm:f>項目!A4:$TKW$589826</xm:f>
          </x14:formula1>
          <xm:sqref>TLF589831:TLF589854</xm:sqref>
        </x14:dataValidation>
        <x14:dataValidation type="list" allowBlank="1" showInputMessage="1" showErrorMessage="1" xr:uid="{A039D9DC-1B42-4848-A73F-6D12761ACD13}">
          <x14:formula1>
            <xm:f>項目!A4:$TUS$589826</xm:f>
          </x14:formula1>
          <xm:sqref>TVB589831:TVB589854</xm:sqref>
        </x14:dataValidation>
        <x14:dataValidation type="list" allowBlank="1" showInputMessage="1" showErrorMessage="1" xr:uid="{ACBDDE87-F075-4E9F-BC05-F77203956A20}">
          <x14:formula1>
            <xm:f>項目!A4:$UEO$589826</xm:f>
          </x14:formula1>
          <xm:sqref>UEX589831:UEX589854</xm:sqref>
        </x14:dataValidation>
        <x14:dataValidation type="list" allowBlank="1" showInputMessage="1" showErrorMessage="1" xr:uid="{B296CA9B-4E9E-4D01-92D8-7AE688F88E22}">
          <x14:formula1>
            <xm:f>項目!A4:$UOK$589826</xm:f>
          </x14:formula1>
          <xm:sqref>UOT589831:UOT589854</xm:sqref>
        </x14:dataValidation>
        <x14:dataValidation type="list" allowBlank="1" showInputMessage="1" showErrorMessage="1" xr:uid="{279A3E66-B8F1-463C-BDD4-22FADBDDA34F}">
          <x14:formula1>
            <xm:f>項目!A4:$UYG$589826</xm:f>
          </x14:formula1>
          <xm:sqref>UYP589831:UYP589854</xm:sqref>
        </x14:dataValidation>
        <x14:dataValidation type="list" allowBlank="1" showInputMessage="1" showErrorMessage="1" xr:uid="{0E58E8BE-B8B3-4B9F-8639-52B46EEBB36B}">
          <x14:formula1>
            <xm:f>項目!A4:$VIC$589826</xm:f>
          </x14:formula1>
          <xm:sqref>VIL589831:VIL589854</xm:sqref>
        </x14:dataValidation>
        <x14:dataValidation type="list" allowBlank="1" showInputMessage="1" showErrorMessage="1" xr:uid="{D35AA1AD-26B7-4948-9606-78533FA6A7DD}">
          <x14:formula1>
            <xm:f>項目!A4:$VRY$589826</xm:f>
          </x14:formula1>
          <xm:sqref>VSH589831:VSH589854</xm:sqref>
        </x14:dataValidation>
        <x14:dataValidation type="list" allowBlank="1" showInputMessage="1" showErrorMessage="1" xr:uid="{07604A34-ACC0-4BE9-B622-6506CF639A8C}">
          <x14:formula1>
            <xm:f>項目!A4:$WBU$589826</xm:f>
          </x14:formula1>
          <xm:sqref>WCD589831:WCD589854</xm:sqref>
        </x14:dataValidation>
        <x14:dataValidation type="list" allowBlank="1" showInputMessage="1" showErrorMessage="1" xr:uid="{FAF0EB5B-557F-4206-9729-E961AFA12310}">
          <x14:formula1>
            <xm:f>項目!A4:$WLQ$589826</xm:f>
          </x14:formula1>
          <xm:sqref>WLZ589831:WLZ589854</xm:sqref>
        </x14:dataValidation>
        <x14:dataValidation type="list" allowBlank="1" showInputMessage="1" showErrorMessage="1" xr:uid="{40D03359-E80D-4F01-BA2B-9816C81FA0B9}">
          <x14:formula1>
            <xm:f>項目!A4:$WVM$589826</xm:f>
          </x14:formula1>
          <xm:sqref>WVV589831:WVV589854</xm:sqref>
        </x14:dataValidation>
        <x14:dataValidation type="list" allowBlank="1" showInputMessage="1" showErrorMessage="1" xr:uid="{7A46176F-8CFD-4A30-A759-B709C6490C5F}">
          <x14:formula1>
            <xm:f>項目!A4:$JA$655362</xm:f>
          </x14:formula1>
          <xm:sqref>JJ655367:JJ655390</xm:sqref>
        </x14:dataValidation>
        <x14:dataValidation type="list" allowBlank="1" showInputMessage="1" showErrorMessage="1" xr:uid="{E7065887-922D-49C3-9ECD-E47050ACAD94}">
          <x14:formula1>
            <xm:f>項目!A4:$SW$655362</xm:f>
          </x14:formula1>
          <xm:sqref>TF655367:TF655390</xm:sqref>
        </x14:dataValidation>
        <x14:dataValidation type="list" allowBlank="1" showInputMessage="1" showErrorMessage="1" xr:uid="{09F04924-D211-4E4C-9A15-02DCB787F7C9}">
          <x14:formula1>
            <xm:f>項目!A4:$ACS$655362</xm:f>
          </x14:formula1>
          <xm:sqref>ADB655367:ADB655390</xm:sqref>
        </x14:dataValidation>
        <x14:dataValidation type="list" allowBlank="1" showInputMessage="1" showErrorMessage="1" xr:uid="{BC777056-3BC2-4401-AB1A-AA6FC7E614E8}">
          <x14:formula1>
            <xm:f>項目!A4:$AMO$655362</xm:f>
          </x14:formula1>
          <xm:sqref>AMX655367:AMX655390</xm:sqref>
        </x14:dataValidation>
        <x14:dataValidation type="list" allowBlank="1" showInputMessage="1" showErrorMessage="1" xr:uid="{632FB68D-46D9-4D33-88E3-15D52619D72E}">
          <x14:formula1>
            <xm:f>項目!A4:$AWK$655362</xm:f>
          </x14:formula1>
          <xm:sqref>AWT655367:AWT655390</xm:sqref>
        </x14:dataValidation>
        <x14:dataValidation type="list" allowBlank="1" showInputMessage="1" showErrorMessage="1" xr:uid="{F6DE94B1-C8D0-4D80-AC7F-CE9C1C354753}">
          <x14:formula1>
            <xm:f>項目!A4:$BGG$655362</xm:f>
          </x14:formula1>
          <xm:sqref>BGP655367:BGP655390</xm:sqref>
        </x14:dataValidation>
        <x14:dataValidation type="list" allowBlank="1" showInputMessage="1" showErrorMessage="1" xr:uid="{E5612238-4350-4DB2-87F4-C51368D8577E}">
          <x14:formula1>
            <xm:f>項目!A4:$BQC$655362</xm:f>
          </x14:formula1>
          <xm:sqref>BQL655367:BQL655390</xm:sqref>
        </x14:dataValidation>
        <x14:dataValidation type="list" allowBlank="1" showInputMessage="1" showErrorMessage="1" xr:uid="{B0B07EC5-4393-4C5E-8948-DF011233BAE1}">
          <x14:formula1>
            <xm:f>項目!A4:$BZY$655362</xm:f>
          </x14:formula1>
          <xm:sqref>CAH655367:CAH655390</xm:sqref>
        </x14:dataValidation>
        <x14:dataValidation type="list" allowBlank="1" showInputMessage="1" showErrorMessage="1" xr:uid="{0F5391B6-8DA6-4065-B9F4-3AC0BDB03E7B}">
          <x14:formula1>
            <xm:f>項目!A4:$CJU$655362</xm:f>
          </x14:formula1>
          <xm:sqref>CKD655367:CKD655390</xm:sqref>
        </x14:dataValidation>
        <x14:dataValidation type="list" allowBlank="1" showInputMessage="1" showErrorMessage="1" xr:uid="{F1A05C5B-B28E-43C6-940A-2C6A1446E4D4}">
          <x14:formula1>
            <xm:f>項目!A4:$CTQ$655362</xm:f>
          </x14:formula1>
          <xm:sqref>CTZ655367:CTZ655390</xm:sqref>
        </x14:dataValidation>
        <x14:dataValidation type="list" allowBlank="1" showInputMessage="1" showErrorMessage="1" xr:uid="{27BD0FEE-A9FC-4B2F-A184-31EBBD6DE9A2}">
          <x14:formula1>
            <xm:f>項目!A4:$DDM$655362</xm:f>
          </x14:formula1>
          <xm:sqref>DDV655367:DDV655390</xm:sqref>
        </x14:dataValidation>
        <x14:dataValidation type="list" allowBlank="1" showInputMessage="1" showErrorMessage="1" xr:uid="{DB1EB42C-4A80-43A8-8A50-A895FC30ADE6}">
          <x14:formula1>
            <xm:f>項目!A4:$DNI$655362</xm:f>
          </x14:formula1>
          <xm:sqref>DNR655367:DNR655390</xm:sqref>
        </x14:dataValidation>
        <x14:dataValidation type="list" allowBlank="1" showInputMessage="1" showErrorMessage="1" xr:uid="{CA8AA422-7D3C-4CBB-AFA9-011BEC84A975}">
          <x14:formula1>
            <xm:f>項目!A4:$DXE$655362</xm:f>
          </x14:formula1>
          <xm:sqref>DXN655367:DXN655390</xm:sqref>
        </x14:dataValidation>
        <x14:dataValidation type="list" allowBlank="1" showInputMessage="1" showErrorMessage="1" xr:uid="{842F4BAF-93B5-4F51-9ACD-DA4277988553}">
          <x14:formula1>
            <xm:f>項目!A4:$EHA$655362</xm:f>
          </x14:formula1>
          <xm:sqref>EHJ655367:EHJ655390</xm:sqref>
        </x14:dataValidation>
        <x14:dataValidation type="list" allowBlank="1" showInputMessage="1" showErrorMessage="1" xr:uid="{C5DC0A48-0C92-48C1-B548-561C8EFFAFDA}">
          <x14:formula1>
            <xm:f>項目!A4:$EQW$655362</xm:f>
          </x14:formula1>
          <xm:sqref>ERF655367:ERF655390</xm:sqref>
        </x14:dataValidation>
        <x14:dataValidation type="list" allowBlank="1" showInputMessage="1" showErrorMessage="1" xr:uid="{10F4AC14-E9F3-4E59-B081-C9D9DEBE7B16}">
          <x14:formula1>
            <xm:f>項目!A4:$FAS$655362</xm:f>
          </x14:formula1>
          <xm:sqref>FBB655367:FBB655390</xm:sqref>
        </x14:dataValidation>
        <x14:dataValidation type="list" allowBlank="1" showInputMessage="1" showErrorMessage="1" xr:uid="{9DB7A394-8F23-4F56-8D7B-6791F44F7504}">
          <x14:formula1>
            <xm:f>項目!A4:$FKO$655362</xm:f>
          </x14:formula1>
          <xm:sqref>FKX655367:FKX655390</xm:sqref>
        </x14:dataValidation>
        <x14:dataValidation type="list" allowBlank="1" showInputMessage="1" showErrorMessage="1" xr:uid="{B0F2FCCC-3BDF-43A7-B9E4-06523BD7100C}">
          <x14:formula1>
            <xm:f>項目!A4:$FUK$655362</xm:f>
          </x14:formula1>
          <xm:sqref>FUT655367:FUT655390</xm:sqref>
        </x14:dataValidation>
        <x14:dataValidation type="list" allowBlank="1" showInputMessage="1" showErrorMessage="1" xr:uid="{17A20A66-7918-4365-81C9-52C8501CF8E9}">
          <x14:formula1>
            <xm:f>項目!A4:$GEG$655362</xm:f>
          </x14:formula1>
          <xm:sqref>GEP655367:GEP655390</xm:sqref>
        </x14:dataValidation>
        <x14:dataValidation type="list" allowBlank="1" showInputMessage="1" showErrorMessage="1" xr:uid="{718E16AB-9668-4895-B91F-8225FFBAF71E}">
          <x14:formula1>
            <xm:f>項目!A4:$GOC$655362</xm:f>
          </x14:formula1>
          <xm:sqref>GOL655367:GOL655390</xm:sqref>
        </x14:dataValidation>
        <x14:dataValidation type="list" allowBlank="1" showInputMessage="1" showErrorMessage="1" xr:uid="{CA98447A-1643-4357-892F-EB794B751613}">
          <x14:formula1>
            <xm:f>項目!A4:$GXY$655362</xm:f>
          </x14:formula1>
          <xm:sqref>GYH655367:GYH655390</xm:sqref>
        </x14:dataValidation>
        <x14:dataValidation type="list" allowBlank="1" showInputMessage="1" showErrorMessage="1" xr:uid="{4F9AA351-F274-4085-8E5E-0C8B4416BF24}">
          <x14:formula1>
            <xm:f>項目!A4:$HHU$655362</xm:f>
          </x14:formula1>
          <xm:sqref>HID655367:HID655390</xm:sqref>
        </x14:dataValidation>
        <x14:dataValidation type="list" allowBlank="1" showInputMessage="1" showErrorMessage="1" xr:uid="{886EF63A-7CD1-46A1-B310-B6DC27E6A984}">
          <x14:formula1>
            <xm:f>項目!A4:$HRQ$655362</xm:f>
          </x14:formula1>
          <xm:sqref>HRZ655367:HRZ655390</xm:sqref>
        </x14:dataValidation>
        <x14:dataValidation type="list" allowBlank="1" showInputMessage="1" showErrorMessage="1" xr:uid="{D1077507-8A43-4D31-825E-54D49EE9F03C}">
          <x14:formula1>
            <xm:f>項目!A4:$IBM$655362</xm:f>
          </x14:formula1>
          <xm:sqref>IBV655367:IBV655390</xm:sqref>
        </x14:dataValidation>
        <x14:dataValidation type="list" allowBlank="1" showInputMessage="1" showErrorMessage="1" xr:uid="{4BEDFB82-3229-49B5-8CD8-E888C435ED1E}">
          <x14:formula1>
            <xm:f>項目!A4:$ILI$655362</xm:f>
          </x14:formula1>
          <xm:sqref>ILR655367:ILR655390</xm:sqref>
        </x14:dataValidation>
        <x14:dataValidation type="list" allowBlank="1" showInputMessage="1" showErrorMessage="1" xr:uid="{24DE6EC2-76F6-407B-B158-7FF43EF03DC6}">
          <x14:formula1>
            <xm:f>項目!A4:$IVE$655362</xm:f>
          </x14:formula1>
          <xm:sqref>IVN655367:IVN655390</xm:sqref>
        </x14:dataValidation>
        <x14:dataValidation type="list" allowBlank="1" showInputMessage="1" showErrorMessage="1" xr:uid="{FB8CB7D6-5242-47CD-9738-DBFD2485C840}">
          <x14:formula1>
            <xm:f>項目!A4:$JFA$655362</xm:f>
          </x14:formula1>
          <xm:sqref>JFJ655367:JFJ655390</xm:sqref>
        </x14:dataValidation>
        <x14:dataValidation type="list" allowBlank="1" showInputMessage="1" showErrorMessage="1" xr:uid="{D7F274D0-1A0E-4526-9C10-3917EC1C8498}">
          <x14:formula1>
            <xm:f>項目!A4:$JOW$655362</xm:f>
          </x14:formula1>
          <xm:sqref>JPF655367:JPF655390</xm:sqref>
        </x14:dataValidation>
        <x14:dataValidation type="list" allowBlank="1" showInputMessage="1" showErrorMessage="1" xr:uid="{642F8658-DD87-4396-8CD9-A8EE4B23DF3E}">
          <x14:formula1>
            <xm:f>項目!A4:$JYS$655362</xm:f>
          </x14:formula1>
          <xm:sqref>JZB655367:JZB655390</xm:sqref>
        </x14:dataValidation>
        <x14:dataValidation type="list" allowBlank="1" showInputMessage="1" showErrorMessage="1" xr:uid="{3DAD4D54-5D38-4862-92AB-01D9622EEFD9}">
          <x14:formula1>
            <xm:f>項目!A4:$KIO$655362</xm:f>
          </x14:formula1>
          <xm:sqref>KIX655367:KIX655390</xm:sqref>
        </x14:dataValidation>
        <x14:dataValidation type="list" allowBlank="1" showInputMessage="1" showErrorMessage="1" xr:uid="{3AF1EF00-F637-46F9-9EB1-102B7C4BE1FE}">
          <x14:formula1>
            <xm:f>項目!A4:$KSK$655362</xm:f>
          </x14:formula1>
          <xm:sqref>KST655367:KST655390</xm:sqref>
        </x14:dataValidation>
        <x14:dataValidation type="list" allowBlank="1" showInputMessage="1" showErrorMessage="1" xr:uid="{DD0CA9A0-7359-4A60-8334-354CB2B488BD}">
          <x14:formula1>
            <xm:f>項目!A4:$LCG$655362</xm:f>
          </x14:formula1>
          <xm:sqref>LCP655367:LCP655390</xm:sqref>
        </x14:dataValidation>
        <x14:dataValidation type="list" allowBlank="1" showInputMessage="1" showErrorMessage="1" xr:uid="{CB9C7A14-3232-4F49-B3A7-20F454D51199}">
          <x14:formula1>
            <xm:f>項目!A4:$LMC$655362</xm:f>
          </x14:formula1>
          <xm:sqref>LML655367:LML655390</xm:sqref>
        </x14:dataValidation>
        <x14:dataValidation type="list" allowBlank="1" showInputMessage="1" showErrorMessage="1" xr:uid="{00AEB7CF-AB37-4917-A88A-7B3F49978AD9}">
          <x14:formula1>
            <xm:f>項目!A4:$LVY$655362</xm:f>
          </x14:formula1>
          <xm:sqref>LWH655367:LWH655390</xm:sqref>
        </x14:dataValidation>
        <x14:dataValidation type="list" allowBlank="1" showInputMessage="1" showErrorMessage="1" xr:uid="{B5A258A0-AC8D-42F4-8280-0874FA6FC567}">
          <x14:formula1>
            <xm:f>項目!A4:$MFU$655362</xm:f>
          </x14:formula1>
          <xm:sqref>MGD655367:MGD655390</xm:sqref>
        </x14:dataValidation>
        <x14:dataValidation type="list" allowBlank="1" showInputMessage="1" showErrorMessage="1" xr:uid="{C7787544-F783-4637-92A4-D1C28C696687}">
          <x14:formula1>
            <xm:f>項目!A4:$MPQ$655362</xm:f>
          </x14:formula1>
          <xm:sqref>MPZ655367:MPZ655390</xm:sqref>
        </x14:dataValidation>
        <x14:dataValidation type="list" allowBlank="1" showInputMessage="1" showErrorMessage="1" xr:uid="{3B34E92F-3725-406F-9501-6E3B040879AE}">
          <x14:formula1>
            <xm:f>項目!A4:$MZM$655362</xm:f>
          </x14:formula1>
          <xm:sqref>MZV655367:MZV655390</xm:sqref>
        </x14:dataValidation>
        <x14:dataValidation type="list" allowBlank="1" showInputMessage="1" showErrorMessage="1" xr:uid="{3202FCC5-ABA4-4818-9D39-207A686E133A}">
          <x14:formula1>
            <xm:f>項目!A4:$NJI$655362</xm:f>
          </x14:formula1>
          <xm:sqref>NJR655367:NJR655390</xm:sqref>
        </x14:dataValidation>
        <x14:dataValidation type="list" allowBlank="1" showInputMessage="1" showErrorMessage="1" xr:uid="{6C179FD3-B8F2-44EC-8A6B-80EC6F2B8F51}">
          <x14:formula1>
            <xm:f>項目!A4:$NTE$655362</xm:f>
          </x14:formula1>
          <xm:sqref>NTN655367:NTN655390</xm:sqref>
        </x14:dataValidation>
        <x14:dataValidation type="list" allowBlank="1" showInputMessage="1" showErrorMessage="1" xr:uid="{12DB82FC-34DB-4298-A712-ED5E350A7171}">
          <x14:formula1>
            <xm:f>項目!A4:$ODA$655362</xm:f>
          </x14:formula1>
          <xm:sqref>ODJ655367:ODJ655390</xm:sqref>
        </x14:dataValidation>
        <x14:dataValidation type="list" allowBlank="1" showInputMessage="1" showErrorMessage="1" xr:uid="{9FBCAE9C-6301-4C9B-BA46-AF44903D80DC}">
          <x14:formula1>
            <xm:f>項目!A4:$OMW$655362</xm:f>
          </x14:formula1>
          <xm:sqref>ONF655367:ONF655390</xm:sqref>
        </x14:dataValidation>
        <x14:dataValidation type="list" allowBlank="1" showInputMessage="1" showErrorMessage="1" xr:uid="{DCE1F807-1FE3-467E-939D-8523629CB5E4}">
          <x14:formula1>
            <xm:f>項目!A4:$OWS$655362</xm:f>
          </x14:formula1>
          <xm:sqref>OXB655367:OXB655390</xm:sqref>
        </x14:dataValidation>
        <x14:dataValidation type="list" allowBlank="1" showInputMessage="1" showErrorMessage="1" xr:uid="{D16CC4AC-CE07-4530-BCA8-CD05EEB68231}">
          <x14:formula1>
            <xm:f>項目!A4:$PGO$655362</xm:f>
          </x14:formula1>
          <xm:sqref>PGX655367:PGX655390</xm:sqref>
        </x14:dataValidation>
        <x14:dataValidation type="list" allowBlank="1" showInputMessage="1" showErrorMessage="1" xr:uid="{34571591-8018-4B78-A300-829841FFA1CE}">
          <x14:formula1>
            <xm:f>項目!A4:$PQK$655362</xm:f>
          </x14:formula1>
          <xm:sqref>PQT655367:PQT655390</xm:sqref>
        </x14:dataValidation>
        <x14:dataValidation type="list" allowBlank="1" showInputMessage="1" showErrorMessage="1" xr:uid="{526D4993-6701-4CAE-B4A9-9DA8B1127134}">
          <x14:formula1>
            <xm:f>項目!A4:$QAG$655362</xm:f>
          </x14:formula1>
          <xm:sqref>QAP655367:QAP655390</xm:sqref>
        </x14:dataValidation>
        <x14:dataValidation type="list" allowBlank="1" showInputMessage="1" showErrorMessage="1" xr:uid="{250DB55D-59C6-427C-9D17-A6277574D7C1}">
          <x14:formula1>
            <xm:f>項目!A4:$QKC$655362</xm:f>
          </x14:formula1>
          <xm:sqref>QKL655367:QKL655390</xm:sqref>
        </x14:dataValidation>
        <x14:dataValidation type="list" allowBlank="1" showInputMessage="1" showErrorMessage="1" xr:uid="{0E40B07E-C77B-453B-B037-F616D47D09CF}">
          <x14:formula1>
            <xm:f>項目!A4:$QTY$655362</xm:f>
          </x14:formula1>
          <xm:sqref>QUH655367:QUH655390</xm:sqref>
        </x14:dataValidation>
        <x14:dataValidation type="list" allowBlank="1" showInputMessage="1" showErrorMessage="1" xr:uid="{3BAC74F8-0333-42BB-8424-50F8163246D4}">
          <x14:formula1>
            <xm:f>項目!A4:$RDU$655362</xm:f>
          </x14:formula1>
          <xm:sqref>RED655367:RED655390</xm:sqref>
        </x14:dataValidation>
        <x14:dataValidation type="list" allowBlank="1" showInputMessage="1" showErrorMessage="1" xr:uid="{052D254D-C4E0-426E-AD37-565C85AF8C87}">
          <x14:formula1>
            <xm:f>項目!A4:$RNQ$655362</xm:f>
          </x14:formula1>
          <xm:sqref>RNZ655367:RNZ655390</xm:sqref>
        </x14:dataValidation>
        <x14:dataValidation type="list" allowBlank="1" showInputMessage="1" showErrorMessage="1" xr:uid="{0E250198-7618-4426-97C6-67CDE7E5B86A}">
          <x14:formula1>
            <xm:f>項目!A4:$RXM$655362</xm:f>
          </x14:formula1>
          <xm:sqref>RXV655367:RXV655390</xm:sqref>
        </x14:dataValidation>
        <x14:dataValidation type="list" allowBlank="1" showInputMessage="1" showErrorMessage="1" xr:uid="{93B7A0A7-6FB3-4390-B431-FB111620A088}">
          <x14:formula1>
            <xm:f>項目!A4:$SHI$655362</xm:f>
          </x14:formula1>
          <xm:sqref>SHR655367:SHR655390</xm:sqref>
        </x14:dataValidation>
        <x14:dataValidation type="list" allowBlank="1" showInputMessage="1" showErrorMessage="1" xr:uid="{B24F5ED4-3B6F-48C1-808A-FA8851F97258}">
          <x14:formula1>
            <xm:f>項目!A4:$SRE$655362</xm:f>
          </x14:formula1>
          <xm:sqref>SRN655367:SRN655390</xm:sqref>
        </x14:dataValidation>
        <x14:dataValidation type="list" allowBlank="1" showInputMessage="1" showErrorMessage="1" xr:uid="{DE5D522E-12A6-4576-8FD2-98F1BC8186F6}">
          <x14:formula1>
            <xm:f>項目!A4:$TBA$655362</xm:f>
          </x14:formula1>
          <xm:sqref>TBJ655367:TBJ655390</xm:sqref>
        </x14:dataValidation>
        <x14:dataValidation type="list" allowBlank="1" showInputMessage="1" showErrorMessage="1" xr:uid="{6B3D2184-D61F-4D78-970F-DACA799BFE79}">
          <x14:formula1>
            <xm:f>項目!A4:$TKW$655362</xm:f>
          </x14:formula1>
          <xm:sqref>TLF655367:TLF655390</xm:sqref>
        </x14:dataValidation>
        <x14:dataValidation type="list" allowBlank="1" showInputMessage="1" showErrorMessage="1" xr:uid="{4814C213-C849-43AF-BE51-983F377E196A}">
          <x14:formula1>
            <xm:f>項目!A4:$TUS$655362</xm:f>
          </x14:formula1>
          <xm:sqref>TVB655367:TVB655390</xm:sqref>
        </x14:dataValidation>
        <x14:dataValidation type="list" allowBlank="1" showInputMessage="1" showErrorMessage="1" xr:uid="{0DF8242E-39F6-493B-9A94-D930F959D89A}">
          <x14:formula1>
            <xm:f>項目!A4:$UEO$655362</xm:f>
          </x14:formula1>
          <xm:sqref>UEX655367:UEX655390</xm:sqref>
        </x14:dataValidation>
        <x14:dataValidation type="list" allowBlank="1" showInputMessage="1" showErrorMessage="1" xr:uid="{FBF6B170-8370-46B3-B3D1-857D4104C114}">
          <x14:formula1>
            <xm:f>項目!A4:$UOK$655362</xm:f>
          </x14:formula1>
          <xm:sqref>UOT655367:UOT655390</xm:sqref>
        </x14:dataValidation>
        <x14:dataValidation type="list" allowBlank="1" showInputMessage="1" showErrorMessage="1" xr:uid="{FF04732A-C989-4E01-908E-C6D4542D3685}">
          <x14:formula1>
            <xm:f>項目!A4:$UYG$655362</xm:f>
          </x14:formula1>
          <xm:sqref>UYP655367:UYP655390</xm:sqref>
        </x14:dataValidation>
        <x14:dataValidation type="list" allowBlank="1" showInputMessage="1" showErrorMessage="1" xr:uid="{E7C90DA8-821F-454B-BDFB-E1EB2EFD300A}">
          <x14:formula1>
            <xm:f>項目!A4:$VIC$655362</xm:f>
          </x14:formula1>
          <xm:sqref>VIL655367:VIL655390</xm:sqref>
        </x14:dataValidation>
        <x14:dataValidation type="list" allowBlank="1" showInputMessage="1" showErrorMessage="1" xr:uid="{52D60E99-8DC1-42B8-B660-DF81D1178014}">
          <x14:formula1>
            <xm:f>項目!A4:$VRY$655362</xm:f>
          </x14:formula1>
          <xm:sqref>VSH655367:VSH655390</xm:sqref>
        </x14:dataValidation>
        <x14:dataValidation type="list" allowBlank="1" showInputMessage="1" showErrorMessage="1" xr:uid="{77BD2AC8-AF3A-4463-9B06-08362F5F51E8}">
          <x14:formula1>
            <xm:f>項目!A4:$WBU$655362</xm:f>
          </x14:formula1>
          <xm:sqref>WCD655367:WCD655390</xm:sqref>
        </x14:dataValidation>
        <x14:dataValidation type="list" allowBlank="1" showInputMessage="1" showErrorMessage="1" xr:uid="{F6E05226-08EC-47B3-A8F9-BF183DD52CB3}">
          <x14:formula1>
            <xm:f>項目!A4:$WLQ$655362</xm:f>
          </x14:formula1>
          <xm:sqref>WLZ655367:WLZ655390</xm:sqref>
        </x14:dataValidation>
        <x14:dataValidation type="list" allowBlank="1" showInputMessage="1" showErrorMessage="1" xr:uid="{5C534EE8-0151-47A8-8A80-B27A43B4812E}">
          <x14:formula1>
            <xm:f>項目!A4:$WVM$655362</xm:f>
          </x14:formula1>
          <xm:sqref>WVV655367:WVV655390</xm:sqref>
        </x14:dataValidation>
        <x14:dataValidation type="list" allowBlank="1" showInputMessage="1" showErrorMessage="1" xr:uid="{5C3EA002-2A3E-43C3-988F-FBA76D88FEFD}">
          <x14:formula1>
            <xm:f>項目!A4:$JA$720898</xm:f>
          </x14:formula1>
          <xm:sqref>JJ720903:JJ720926</xm:sqref>
        </x14:dataValidation>
        <x14:dataValidation type="list" allowBlank="1" showInputMessage="1" showErrorMessage="1" xr:uid="{F1B629E3-8F5B-41FC-A261-25617CF9C22E}">
          <x14:formula1>
            <xm:f>項目!A4:$SW$720898</xm:f>
          </x14:formula1>
          <xm:sqref>TF720903:TF720926</xm:sqref>
        </x14:dataValidation>
        <x14:dataValidation type="list" allowBlank="1" showInputMessage="1" showErrorMessage="1" xr:uid="{1492AE89-6786-4842-8369-2A2BE5590DCB}">
          <x14:formula1>
            <xm:f>項目!A4:$ACS$720898</xm:f>
          </x14:formula1>
          <xm:sqref>ADB720903:ADB720926</xm:sqref>
        </x14:dataValidation>
        <x14:dataValidation type="list" allowBlank="1" showInputMessage="1" showErrorMessage="1" xr:uid="{0DC2D79A-C0CA-4B68-9B7D-188B9868F2BB}">
          <x14:formula1>
            <xm:f>項目!A4:$AMO$720898</xm:f>
          </x14:formula1>
          <xm:sqref>AMX720903:AMX720926</xm:sqref>
        </x14:dataValidation>
        <x14:dataValidation type="list" allowBlank="1" showInputMessage="1" showErrorMessage="1" xr:uid="{FC6480AA-ED97-48A6-8324-11DD4331679F}">
          <x14:formula1>
            <xm:f>項目!A4:$AWK$720898</xm:f>
          </x14:formula1>
          <xm:sqref>AWT720903:AWT720926</xm:sqref>
        </x14:dataValidation>
        <x14:dataValidation type="list" allowBlank="1" showInputMessage="1" showErrorMessage="1" xr:uid="{5A4531B3-886D-47B8-B2B1-01DE9535AE57}">
          <x14:formula1>
            <xm:f>項目!A4:$BGG$720898</xm:f>
          </x14:formula1>
          <xm:sqref>BGP720903:BGP720926</xm:sqref>
        </x14:dataValidation>
        <x14:dataValidation type="list" allowBlank="1" showInputMessage="1" showErrorMessage="1" xr:uid="{28D290C3-4FF0-496B-8C2C-0362F66E5DFF}">
          <x14:formula1>
            <xm:f>項目!A4:$BQC$720898</xm:f>
          </x14:formula1>
          <xm:sqref>BQL720903:BQL720926</xm:sqref>
        </x14:dataValidation>
        <x14:dataValidation type="list" allowBlank="1" showInputMessage="1" showErrorMessage="1" xr:uid="{E961D6E6-2736-439E-A2E8-796C97F20E71}">
          <x14:formula1>
            <xm:f>項目!A4:$BZY$720898</xm:f>
          </x14:formula1>
          <xm:sqref>CAH720903:CAH720926</xm:sqref>
        </x14:dataValidation>
        <x14:dataValidation type="list" allowBlank="1" showInputMessage="1" showErrorMessage="1" xr:uid="{D6A54B9F-0724-428A-9684-8E1CD24F36A7}">
          <x14:formula1>
            <xm:f>項目!A4:$CJU$720898</xm:f>
          </x14:formula1>
          <xm:sqref>CKD720903:CKD720926</xm:sqref>
        </x14:dataValidation>
        <x14:dataValidation type="list" allowBlank="1" showInputMessage="1" showErrorMessage="1" xr:uid="{3FC60DE6-8770-47EC-ACFD-6746EC80C66B}">
          <x14:formula1>
            <xm:f>項目!A4:$CTQ$720898</xm:f>
          </x14:formula1>
          <xm:sqref>CTZ720903:CTZ720926</xm:sqref>
        </x14:dataValidation>
        <x14:dataValidation type="list" allowBlank="1" showInputMessage="1" showErrorMessage="1" xr:uid="{F4B6518B-F50D-4CDC-845C-1B4B46A6CDB7}">
          <x14:formula1>
            <xm:f>項目!A4:$DDM$720898</xm:f>
          </x14:formula1>
          <xm:sqref>DDV720903:DDV720926</xm:sqref>
        </x14:dataValidation>
        <x14:dataValidation type="list" allowBlank="1" showInputMessage="1" showErrorMessage="1" xr:uid="{11F2A887-716F-45A9-AB84-00B0882CFF97}">
          <x14:formula1>
            <xm:f>項目!A4:$DNI$720898</xm:f>
          </x14:formula1>
          <xm:sqref>DNR720903:DNR720926</xm:sqref>
        </x14:dataValidation>
        <x14:dataValidation type="list" allowBlank="1" showInputMessage="1" showErrorMessage="1" xr:uid="{E9CF8E0A-522C-4EAE-A283-AEB7C77128D3}">
          <x14:formula1>
            <xm:f>項目!A4:$DXE$720898</xm:f>
          </x14:formula1>
          <xm:sqref>DXN720903:DXN720926</xm:sqref>
        </x14:dataValidation>
        <x14:dataValidation type="list" allowBlank="1" showInputMessage="1" showErrorMessage="1" xr:uid="{E5972104-884B-4E7E-A350-46A02CF5A13F}">
          <x14:formula1>
            <xm:f>項目!A4:$EHA$720898</xm:f>
          </x14:formula1>
          <xm:sqref>EHJ720903:EHJ720926</xm:sqref>
        </x14:dataValidation>
        <x14:dataValidation type="list" allowBlank="1" showInputMessage="1" showErrorMessage="1" xr:uid="{F93B5A75-1BEC-443E-ACFE-99EE0A9D37D3}">
          <x14:formula1>
            <xm:f>項目!A4:$EQW$720898</xm:f>
          </x14:formula1>
          <xm:sqref>ERF720903:ERF720926</xm:sqref>
        </x14:dataValidation>
        <x14:dataValidation type="list" allowBlank="1" showInputMessage="1" showErrorMessage="1" xr:uid="{F22158E2-B15E-4EB2-ABC8-0E6E60B5D436}">
          <x14:formula1>
            <xm:f>項目!A4:$FAS$720898</xm:f>
          </x14:formula1>
          <xm:sqref>FBB720903:FBB720926</xm:sqref>
        </x14:dataValidation>
        <x14:dataValidation type="list" allowBlank="1" showInputMessage="1" showErrorMessage="1" xr:uid="{4DE96002-E3AA-4589-891F-FEBAFECD0DD7}">
          <x14:formula1>
            <xm:f>項目!A4:$FKO$720898</xm:f>
          </x14:formula1>
          <xm:sqref>FKX720903:FKX720926</xm:sqref>
        </x14:dataValidation>
        <x14:dataValidation type="list" allowBlank="1" showInputMessage="1" showErrorMessage="1" xr:uid="{5BF0A15D-370A-4168-A9F1-D5DFEDA0745D}">
          <x14:formula1>
            <xm:f>項目!A4:$FUK$720898</xm:f>
          </x14:formula1>
          <xm:sqref>FUT720903:FUT720926</xm:sqref>
        </x14:dataValidation>
        <x14:dataValidation type="list" allowBlank="1" showInputMessage="1" showErrorMessage="1" xr:uid="{44085498-3E7E-4BD6-A5C4-5DCF6A8D9EF5}">
          <x14:formula1>
            <xm:f>項目!A4:$GEG$720898</xm:f>
          </x14:formula1>
          <xm:sqref>GEP720903:GEP720926</xm:sqref>
        </x14:dataValidation>
        <x14:dataValidation type="list" allowBlank="1" showInputMessage="1" showErrorMessage="1" xr:uid="{401A4A49-745B-4BE4-B150-E375EFD9C904}">
          <x14:formula1>
            <xm:f>項目!A4:$GOC$720898</xm:f>
          </x14:formula1>
          <xm:sqref>GOL720903:GOL720926</xm:sqref>
        </x14:dataValidation>
        <x14:dataValidation type="list" allowBlank="1" showInputMessage="1" showErrorMessage="1" xr:uid="{6D0E9247-B22B-45D6-894F-0C33A16A7018}">
          <x14:formula1>
            <xm:f>項目!A4:$GXY$720898</xm:f>
          </x14:formula1>
          <xm:sqref>GYH720903:GYH720926</xm:sqref>
        </x14:dataValidation>
        <x14:dataValidation type="list" allowBlank="1" showInputMessage="1" showErrorMessage="1" xr:uid="{F620E008-CB61-404F-9E86-CE3FEEDC5A31}">
          <x14:formula1>
            <xm:f>項目!A4:$HHU$720898</xm:f>
          </x14:formula1>
          <xm:sqref>HID720903:HID720926</xm:sqref>
        </x14:dataValidation>
        <x14:dataValidation type="list" allowBlank="1" showInputMessage="1" showErrorMessage="1" xr:uid="{0417245E-AB24-4673-AE0E-8928E9E5F56D}">
          <x14:formula1>
            <xm:f>項目!A4:$HRQ$720898</xm:f>
          </x14:formula1>
          <xm:sqref>HRZ720903:HRZ720926</xm:sqref>
        </x14:dataValidation>
        <x14:dataValidation type="list" allowBlank="1" showInputMessage="1" showErrorMessage="1" xr:uid="{07EE6363-A7FF-49CE-A3E8-B2F83E16936E}">
          <x14:formula1>
            <xm:f>項目!A4:$IBM$720898</xm:f>
          </x14:formula1>
          <xm:sqref>IBV720903:IBV720926</xm:sqref>
        </x14:dataValidation>
        <x14:dataValidation type="list" allowBlank="1" showInputMessage="1" showErrorMessage="1" xr:uid="{E2006E81-637C-4F7F-996A-5DE24DE09A40}">
          <x14:formula1>
            <xm:f>項目!A4:$ILI$720898</xm:f>
          </x14:formula1>
          <xm:sqref>ILR720903:ILR720926</xm:sqref>
        </x14:dataValidation>
        <x14:dataValidation type="list" allowBlank="1" showInputMessage="1" showErrorMessage="1" xr:uid="{5CDA7BB4-3C47-4175-A232-0516C9390565}">
          <x14:formula1>
            <xm:f>項目!A4:$IVE$720898</xm:f>
          </x14:formula1>
          <xm:sqref>IVN720903:IVN720926</xm:sqref>
        </x14:dataValidation>
        <x14:dataValidation type="list" allowBlank="1" showInputMessage="1" showErrorMessage="1" xr:uid="{9AFB2131-062E-46B6-9107-A440B27621AF}">
          <x14:formula1>
            <xm:f>項目!A4:$JFA$720898</xm:f>
          </x14:formula1>
          <xm:sqref>JFJ720903:JFJ720926</xm:sqref>
        </x14:dataValidation>
        <x14:dataValidation type="list" allowBlank="1" showInputMessage="1" showErrorMessage="1" xr:uid="{8E67167E-DAB0-4517-9952-B3852D564B3E}">
          <x14:formula1>
            <xm:f>項目!A4:$JOW$720898</xm:f>
          </x14:formula1>
          <xm:sqref>JPF720903:JPF720926</xm:sqref>
        </x14:dataValidation>
        <x14:dataValidation type="list" allowBlank="1" showInputMessage="1" showErrorMessage="1" xr:uid="{0724F547-3108-4930-89A5-807535319588}">
          <x14:formula1>
            <xm:f>項目!A4:$JYS$720898</xm:f>
          </x14:formula1>
          <xm:sqref>JZB720903:JZB720926</xm:sqref>
        </x14:dataValidation>
        <x14:dataValidation type="list" allowBlank="1" showInputMessage="1" showErrorMessage="1" xr:uid="{ADC3B005-81EF-465C-81E2-25E58D82DBF0}">
          <x14:formula1>
            <xm:f>項目!A4:$KIO$720898</xm:f>
          </x14:formula1>
          <xm:sqref>KIX720903:KIX720926</xm:sqref>
        </x14:dataValidation>
        <x14:dataValidation type="list" allowBlank="1" showInputMessage="1" showErrorMessage="1" xr:uid="{B4D6EDFE-1C30-4BC4-BF2C-4959538F2DD0}">
          <x14:formula1>
            <xm:f>項目!A4:$KSK$720898</xm:f>
          </x14:formula1>
          <xm:sqref>KST720903:KST720926</xm:sqref>
        </x14:dataValidation>
        <x14:dataValidation type="list" allowBlank="1" showInputMessage="1" showErrorMessage="1" xr:uid="{D340F87D-D7D8-4AA8-89E5-80BB1E65CA12}">
          <x14:formula1>
            <xm:f>項目!A4:$LCG$720898</xm:f>
          </x14:formula1>
          <xm:sqref>LCP720903:LCP720926</xm:sqref>
        </x14:dataValidation>
        <x14:dataValidation type="list" allowBlank="1" showInputMessage="1" showErrorMessage="1" xr:uid="{E75CBA3A-98CA-46A6-B5A2-1901D1C77B07}">
          <x14:formula1>
            <xm:f>項目!A4:$LMC$720898</xm:f>
          </x14:formula1>
          <xm:sqref>LML720903:LML720926</xm:sqref>
        </x14:dataValidation>
        <x14:dataValidation type="list" allowBlank="1" showInputMessage="1" showErrorMessage="1" xr:uid="{05026532-F3A6-4445-9E4C-9C85E96BE89B}">
          <x14:formula1>
            <xm:f>項目!A4:$LVY$720898</xm:f>
          </x14:formula1>
          <xm:sqref>LWH720903:LWH720926</xm:sqref>
        </x14:dataValidation>
        <x14:dataValidation type="list" allowBlank="1" showInputMessage="1" showErrorMessage="1" xr:uid="{0A3D1B8E-6893-43EF-AB57-41404B858585}">
          <x14:formula1>
            <xm:f>項目!A4:$MFU$720898</xm:f>
          </x14:formula1>
          <xm:sqref>MGD720903:MGD720926</xm:sqref>
        </x14:dataValidation>
        <x14:dataValidation type="list" allowBlank="1" showInputMessage="1" showErrorMessage="1" xr:uid="{34AB4359-8B4C-4555-AEB8-0BE7D9BC5E91}">
          <x14:formula1>
            <xm:f>項目!A4:$MPQ$720898</xm:f>
          </x14:formula1>
          <xm:sqref>MPZ720903:MPZ720926</xm:sqref>
        </x14:dataValidation>
        <x14:dataValidation type="list" allowBlank="1" showInputMessage="1" showErrorMessage="1" xr:uid="{7710A3DB-70BD-472C-A39B-2517B08D70D8}">
          <x14:formula1>
            <xm:f>項目!A4:$MZM$720898</xm:f>
          </x14:formula1>
          <xm:sqref>MZV720903:MZV720926</xm:sqref>
        </x14:dataValidation>
        <x14:dataValidation type="list" allowBlank="1" showInputMessage="1" showErrorMessage="1" xr:uid="{F844A84B-B526-46EB-85C2-8B4033E83254}">
          <x14:formula1>
            <xm:f>項目!A4:$NJI$720898</xm:f>
          </x14:formula1>
          <xm:sqref>NJR720903:NJR720926</xm:sqref>
        </x14:dataValidation>
        <x14:dataValidation type="list" allowBlank="1" showInputMessage="1" showErrorMessage="1" xr:uid="{76F06E55-2554-4B99-805F-2D77F05321C9}">
          <x14:formula1>
            <xm:f>項目!A4:$NTE$720898</xm:f>
          </x14:formula1>
          <xm:sqref>NTN720903:NTN720926</xm:sqref>
        </x14:dataValidation>
        <x14:dataValidation type="list" allowBlank="1" showInputMessage="1" showErrorMessage="1" xr:uid="{A901C492-8143-44F4-A748-89331CBA76DE}">
          <x14:formula1>
            <xm:f>項目!A4:$ODA$720898</xm:f>
          </x14:formula1>
          <xm:sqref>ODJ720903:ODJ720926</xm:sqref>
        </x14:dataValidation>
        <x14:dataValidation type="list" allowBlank="1" showInputMessage="1" showErrorMessage="1" xr:uid="{B9D07998-8FBE-4A60-86EE-49E8A72CEB5F}">
          <x14:formula1>
            <xm:f>項目!A4:$OMW$720898</xm:f>
          </x14:formula1>
          <xm:sqref>ONF720903:ONF720926</xm:sqref>
        </x14:dataValidation>
        <x14:dataValidation type="list" allowBlank="1" showInputMessage="1" showErrorMessage="1" xr:uid="{51BF4DF6-23BD-4940-9163-35CCCCCF972E}">
          <x14:formula1>
            <xm:f>項目!A4:$OWS$720898</xm:f>
          </x14:formula1>
          <xm:sqref>OXB720903:OXB720926</xm:sqref>
        </x14:dataValidation>
        <x14:dataValidation type="list" allowBlank="1" showInputMessage="1" showErrorMessage="1" xr:uid="{5D20B4D1-5D55-4DD5-8ACC-8463C7074A9F}">
          <x14:formula1>
            <xm:f>項目!A4:$PGO$720898</xm:f>
          </x14:formula1>
          <xm:sqref>PGX720903:PGX720926</xm:sqref>
        </x14:dataValidation>
        <x14:dataValidation type="list" allowBlank="1" showInputMessage="1" showErrorMessage="1" xr:uid="{0977D23D-488E-4928-9D3A-9C69EE24C41F}">
          <x14:formula1>
            <xm:f>項目!A4:$PQK$720898</xm:f>
          </x14:formula1>
          <xm:sqref>PQT720903:PQT720926</xm:sqref>
        </x14:dataValidation>
        <x14:dataValidation type="list" allowBlank="1" showInputMessage="1" showErrorMessage="1" xr:uid="{8CEE8EA5-FB96-4DEE-8CB9-1DA1B8FF4CDA}">
          <x14:formula1>
            <xm:f>項目!A4:$QAG$720898</xm:f>
          </x14:formula1>
          <xm:sqref>QAP720903:QAP720926</xm:sqref>
        </x14:dataValidation>
        <x14:dataValidation type="list" allowBlank="1" showInputMessage="1" showErrorMessage="1" xr:uid="{921DA69B-07CD-4223-BC38-A01507EEDCBF}">
          <x14:formula1>
            <xm:f>項目!A4:$QKC$720898</xm:f>
          </x14:formula1>
          <xm:sqref>QKL720903:QKL720926</xm:sqref>
        </x14:dataValidation>
        <x14:dataValidation type="list" allowBlank="1" showInputMessage="1" showErrorMessage="1" xr:uid="{52665DEB-E897-4DBC-8192-7C179C55BAC3}">
          <x14:formula1>
            <xm:f>項目!A4:$QTY$720898</xm:f>
          </x14:formula1>
          <xm:sqref>QUH720903:QUH720926</xm:sqref>
        </x14:dataValidation>
        <x14:dataValidation type="list" allowBlank="1" showInputMessage="1" showErrorMessage="1" xr:uid="{6E333F45-955F-4DF4-992E-418BC6AFB34F}">
          <x14:formula1>
            <xm:f>項目!A4:$RDU$720898</xm:f>
          </x14:formula1>
          <xm:sqref>RED720903:RED720926</xm:sqref>
        </x14:dataValidation>
        <x14:dataValidation type="list" allowBlank="1" showInputMessage="1" showErrorMessage="1" xr:uid="{55BDFD9A-031D-4F15-A557-E0198EE1B60A}">
          <x14:formula1>
            <xm:f>項目!A4:$RNQ$720898</xm:f>
          </x14:formula1>
          <xm:sqref>RNZ720903:RNZ720926</xm:sqref>
        </x14:dataValidation>
        <x14:dataValidation type="list" allowBlank="1" showInputMessage="1" showErrorMessage="1" xr:uid="{B3EF76BC-76A4-4138-A668-1A3C44AD9D03}">
          <x14:formula1>
            <xm:f>項目!A4:$RXM$720898</xm:f>
          </x14:formula1>
          <xm:sqref>RXV720903:RXV720926</xm:sqref>
        </x14:dataValidation>
        <x14:dataValidation type="list" allowBlank="1" showInputMessage="1" showErrorMessage="1" xr:uid="{F3776065-B811-4BDF-92D9-1A6DC07039B4}">
          <x14:formula1>
            <xm:f>項目!A4:$SHI$720898</xm:f>
          </x14:formula1>
          <xm:sqref>SHR720903:SHR720926</xm:sqref>
        </x14:dataValidation>
        <x14:dataValidation type="list" allowBlank="1" showInputMessage="1" showErrorMessage="1" xr:uid="{27E62057-B062-499B-9DA4-9C33191867A4}">
          <x14:formula1>
            <xm:f>項目!A4:$SRE$720898</xm:f>
          </x14:formula1>
          <xm:sqref>SRN720903:SRN720926</xm:sqref>
        </x14:dataValidation>
        <x14:dataValidation type="list" allowBlank="1" showInputMessage="1" showErrorMessage="1" xr:uid="{1DA58E32-A828-4A14-ADF8-CA6296343674}">
          <x14:formula1>
            <xm:f>項目!A4:$TBA$720898</xm:f>
          </x14:formula1>
          <xm:sqref>TBJ720903:TBJ720926</xm:sqref>
        </x14:dataValidation>
        <x14:dataValidation type="list" allowBlank="1" showInputMessage="1" showErrorMessage="1" xr:uid="{FC52539B-4587-472D-9C4D-0EC4EF0F5AFF}">
          <x14:formula1>
            <xm:f>項目!A4:$TKW$720898</xm:f>
          </x14:formula1>
          <xm:sqref>TLF720903:TLF720926</xm:sqref>
        </x14:dataValidation>
        <x14:dataValidation type="list" allowBlank="1" showInputMessage="1" showErrorMessage="1" xr:uid="{752F8254-FF57-46C9-955C-8425BA8D251F}">
          <x14:formula1>
            <xm:f>項目!A4:$TUS$720898</xm:f>
          </x14:formula1>
          <xm:sqref>TVB720903:TVB720926</xm:sqref>
        </x14:dataValidation>
        <x14:dataValidation type="list" allowBlank="1" showInputMessage="1" showErrorMessage="1" xr:uid="{F065FE84-4A0F-4FB5-ADF4-DC9C50226616}">
          <x14:formula1>
            <xm:f>項目!A4:$UEO$720898</xm:f>
          </x14:formula1>
          <xm:sqref>UEX720903:UEX720926</xm:sqref>
        </x14:dataValidation>
        <x14:dataValidation type="list" allowBlank="1" showInputMessage="1" showErrorMessage="1" xr:uid="{F1C41A65-E77C-4D65-8D4C-F6CB4A463A5F}">
          <x14:formula1>
            <xm:f>項目!A4:$UOK$720898</xm:f>
          </x14:formula1>
          <xm:sqref>UOT720903:UOT720926</xm:sqref>
        </x14:dataValidation>
        <x14:dataValidation type="list" allowBlank="1" showInputMessage="1" showErrorMessage="1" xr:uid="{7B019964-3481-4C1E-9A73-3F00B11BC5FB}">
          <x14:formula1>
            <xm:f>項目!A4:$UYG$720898</xm:f>
          </x14:formula1>
          <xm:sqref>UYP720903:UYP720926</xm:sqref>
        </x14:dataValidation>
        <x14:dataValidation type="list" allowBlank="1" showInputMessage="1" showErrorMessage="1" xr:uid="{DC1D2726-DD5B-476D-B194-1779132ADA2E}">
          <x14:formula1>
            <xm:f>項目!A4:$VIC$720898</xm:f>
          </x14:formula1>
          <xm:sqref>VIL720903:VIL720926</xm:sqref>
        </x14:dataValidation>
        <x14:dataValidation type="list" allowBlank="1" showInputMessage="1" showErrorMessage="1" xr:uid="{A049951F-883C-444B-A4D2-1E6A9A5A0846}">
          <x14:formula1>
            <xm:f>項目!A4:$VRY$720898</xm:f>
          </x14:formula1>
          <xm:sqref>VSH720903:VSH720926</xm:sqref>
        </x14:dataValidation>
        <x14:dataValidation type="list" allowBlank="1" showInputMessage="1" showErrorMessage="1" xr:uid="{DBE4FFE5-616B-4B23-A024-E28EDE269E75}">
          <x14:formula1>
            <xm:f>項目!A4:$WBU$720898</xm:f>
          </x14:formula1>
          <xm:sqref>WCD720903:WCD720926</xm:sqref>
        </x14:dataValidation>
        <x14:dataValidation type="list" allowBlank="1" showInputMessage="1" showErrorMessage="1" xr:uid="{412E209E-744C-4660-8967-4D061A7B53F2}">
          <x14:formula1>
            <xm:f>項目!A4:$WLQ$720898</xm:f>
          </x14:formula1>
          <xm:sqref>WLZ720903:WLZ720926</xm:sqref>
        </x14:dataValidation>
        <x14:dataValidation type="list" allowBlank="1" showInputMessage="1" showErrorMessage="1" xr:uid="{26887BCA-CDFD-4CF9-A565-8FB74F14F388}">
          <x14:formula1>
            <xm:f>項目!A4:$WVM$720898</xm:f>
          </x14:formula1>
          <xm:sqref>WVV720903:WVV720926</xm:sqref>
        </x14:dataValidation>
        <x14:dataValidation type="list" allowBlank="1" showInputMessage="1" showErrorMessage="1" xr:uid="{AE405333-A7D2-47FA-88E1-117420A0D82E}">
          <x14:formula1>
            <xm:f>項目!A4:$JA$786434</xm:f>
          </x14:formula1>
          <xm:sqref>JJ786439:JJ786462</xm:sqref>
        </x14:dataValidation>
        <x14:dataValidation type="list" allowBlank="1" showInputMessage="1" showErrorMessage="1" xr:uid="{67B76271-E5D8-41D7-A126-4910B257C7ED}">
          <x14:formula1>
            <xm:f>項目!A4:$SW$786434</xm:f>
          </x14:formula1>
          <xm:sqref>TF786439:TF786462</xm:sqref>
        </x14:dataValidation>
        <x14:dataValidation type="list" allowBlank="1" showInputMessage="1" showErrorMessage="1" xr:uid="{A90FCDED-F331-4230-AED7-B2276D9470B5}">
          <x14:formula1>
            <xm:f>項目!A4:$ACS$786434</xm:f>
          </x14:formula1>
          <xm:sqref>ADB786439:ADB786462</xm:sqref>
        </x14:dataValidation>
        <x14:dataValidation type="list" allowBlank="1" showInputMessage="1" showErrorMessage="1" xr:uid="{7BE8717B-16BB-4C41-8F73-F113FA2A2EFA}">
          <x14:formula1>
            <xm:f>項目!A4:$AMO$786434</xm:f>
          </x14:formula1>
          <xm:sqref>AMX786439:AMX786462</xm:sqref>
        </x14:dataValidation>
        <x14:dataValidation type="list" allowBlank="1" showInputMessage="1" showErrorMessage="1" xr:uid="{8957F5B7-FA19-40C0-88CD-3116DBAB0E12}">
          <x14:formula1>
            <xm:f>項目!A4:$AWK$786434</xm:f>
          </x14:formula1>
          <xm:sqref>AWT786439:AWT786462</xm:sqref>
        </x14:dataValidation>
        <x14:dataValidation type="list" allowBlank="1" showInputMessage="1" showErrorMessage="1" xr:uid="{E67D703D-15BB-444B-B18B-B33EE87492D9}">
          <x14:formula1>
            <xm:f>項目!A4:$BGG$786434</xm:f>
          </x14:formula1>
          <xm:sqref>BGP786439:BGP786462</xm:sqref>
        </x14:dataValidation>
        <x14:dataValidation type="list" allowBlank="1" showInputMessage="1" showErrorMessage="1" xr:uid="{01659E5D-7122-4D98-B494-A678536577AD}">
          <x14:formula1>
            <xm:f>項目!A4:$BQC$786434</xm:f>
          </x14:formula1>
          <xm:sqref>BQL786439:BQL786462</xm:sqref>
        </x14:dataValidation>
        <x14:dataValidation type="list" allowBlank="1" showInputMessage="1" showErrorMessage="1" xr:uid="{9CAB2D8E-B894-418A-985B-74C443FBF653}">
          <x14:formula1>
            <xm:f>項目!A4:$BZY$786434</xm:f>
          </x14:formula1>
          <xm:sqref>CAH786439:CAH786462</xm:sqref>
        </x14:dataValidation>
        <x14:dataValidation type="list" allowBlank="1" showInputMessage="1" showErrorMessage="1" xr:uid="{81C4DB79-E0E5-4996-A0FD-FC8FBE914E22}">
          <x14:formula1>
            <xm:f>項目!A4:$CJU$786434</xm:f>
          </x14:formula1>
          <xm:sqref>CKD786439:CKD786462</xm:sqref>
        </x14:dataValidation>
        <x14:dataValidation type="list" allowBlank="1" showInputMessage="1" showErrorMessage="1" xr:uid="{2AFA7122-8884-40B3-ADBB-5934C4A1775F}">
          <x14:formula1>
            <xm:f>項目!A4:$CTQ$786434</xm:f>
          </x14:formula1>
          <xm:sqref>CTZ786439:CTZ786462</xm:sqref>
        </x14:dataValidation>
        <x14:dataValidation type="list" allowBlank="1" showInputMessage="1" showErrorMessage="1" xr:uid="{85024A61-DC2E-4CC1-8C7B-2417CA96FBB9}">
          <x14:formula1>
            <xm:f>項目!A4:$DDM$786434</xm:f>
          </x14:formula1>
          <xm:sqref>DDV786439:DDV786462</xm:sqref>
        </x14:dataValidation>
        <x14:dataValidation type="list" allowBlank="1" showInputMessage="1" showErrorMessage="1" xr:uid="{1CFAC0D6-538E-40D0-A714-C5FA3AD57CD8}">
          <x14:formula1>
            <xm:f>項目!A4:$DNI$786434</xm:f>
          </x14:formula1>
          <xm:sqref>DNR786439:DNR786462</xm:sqref>
        </x14:dataValidation>
        <x14:dataValidation type="list" allowBlank="1" showInputMessage="1" showErrorMessage="1" xr:uid="{EC83D150-311D-49D8-9AF5-3FECB176804E}">
          <x14:formula1>
            <xm:f>項目!A4:$DXE$786434</xm:f>
          </x14:formula1>
          <xm:sqref>DXN786439:DXN786462</xm:sqref>
        </x14:dataValidation>
        <x14:dataValidation type="list" allowBlank="1" showInputMessage="1" showErrorMessage="1" xr:uid="{9D475167-9BB2-4C54-B1E1-974E9C04A42C}">
          <x14:formula1>
            <xm:f>項目!A4:$EHA$786434</xm:f>
          </x14:formula1>
          <xm:sqref>EHJ786439:EHJ786462</xm:sqref>
        </x14:dataValidation>
        <x14:dataValidation type="list" allowBlank="1" showInputMessage="1" showErrorMessage="1" xr:uid="{8E07E642-1B96-4A3C-A78C-B88F24BD6DE7}">
          <x14:formula1>
            <xm:f>項目!A4:$EQW$786434</xm:f>
          </x14:formula1>
          <xm:sqref>ERF786439:ERF786462</xm:sqref>
        </x14:dataValidation>
        <x14:dataValidation type="list" allowBlank="1" showInputMessage="1" showErrorMessage="1" xr:uid="{F8794484-0980-4E86-9B09-3DA288756507}">
          <x14:formula1>
            <xm:f>項目!A4:$FAS$786434</xm:f>
          </x14:formula1>
          <xm:sqref>FBB786439:FBB786462</xm:sqref>
        </x14:dataValidation>
        <x14:dataValidation type="list" allowBlank="1" showInputMessage="1" showErrorMessage="1" xr:uid="{85F667FD-E6D7-4968-8E97-785F037101B8}">
          <x14:formula1>
            <xm:f>項目!A4:$FKO$786434</xm:f>
          </x14:formula1>
          <xm:sqref>FKX786439:FKX786462</xm:sqref>
        </x14:dataValidation>
        <x14:dataValidation type="list" allowBlank="1" showInputMessage="1" showErrorMessage="1" xr:uid="{8C0A90AB-9CB7-4613-BBA5-080A7CE9EB70}">
          <x14:formula1>
            <xm:f>項目!A4:$FUK$786434</xm:f>
          </x14:formula1>
          <xm:sqref>FUT786439:FUT786462</xm:sqref>
        </x14:dataValidation>
        <x14:dataValidation type="list" allowBlank="1" showInputMessage="1" showErrorMessage="1" xr:uid="{CE9104B9-F008-4AF3-99BF-653F7CF2F6BC}">
          <x14:formula1>
            <xm:f>項目!A4:$GEG$786434</xm:f>
          </x14:formula1>
          <xm:sqref>GEP786439:GEP786462</xm:sqref>
        </x14:dataValidation>
        <x14:dataValidation type="list" allowBlank="1" showInputMessage="1" showErrorMessage="1" xr:uid="{1C7606FB-242D-4E31-A477-38ECBC91573B}">
          <x14:formula1>
            <xm:f>項目!A4:$GOC$786434</xm:f>
          </x14:formula1>
          <xm:sqref>GOL786439:GOL786462</xm:sqref>
        </x14:dataValidation>
        <x14:dataValidation type="list" allowBlank="1" showInputMessage="1" showErrorMessage="1" xr:uid="{7A67358D-BF2B-4652-B531-0CD2563B26E8}">
          <x14:formula1>
            <xm:f>項目!A4:$GXY$786434</xm:f>
          </x14:formula1>
          <xm:sqref>GYH786439:GYH786462</xm:sqref>
        </x14:dataValidation>
        <x14:dataValidation type="list" allowBlank="1" showInputMessage="1" showErrorMessage="1" xr:uid="{4DF76A92-1201-430B-A83A-912CC25F2932}">
          <x14:formula1>
            <xm:f>項目!A4:$HHU$786434</xm:f>
          </x14:formula1>
          <xm:sqref>HID786439:HID786462</xm:sqref>
        </x14:dataValidation>
        <x14:dataValidation type="list" allowBlank="1" showInputMessage="1" showErrorMessage="1" xr:uid="{8D647810-F7CC-485A-A2FC-1F2090ED9213}">
          <x14:formula1>
            <xm:f>項目!A4:$HRQ$786434</xm:f>
          </x14:formula1>
          <xm:sqref>HRZ786439:HRZ786462</xm:sqref>
        </x14:dataValidation>
        <x14:dataValidation type="list" allowBlank="1" showInputMessage="1" showErrorMessage="1" xr:uid="{00990FA8-C56E-42A3-95DE-79CD219AF784}">
          <x14:formula1>
            <xm:f>項目!A4:$IBM$786434</xm:f>
          </x14:formula1>
          <xm:sqref>IBV786439:IBV786462</xm:sqref>
        </x14:dataValidation>
        <x14:dataValidation type="list" allowBlank="1" showInputMessage="1" showErrorMessage="1" xr:uid="{88732F37-E2D3-47BE-B15D-355D179098FC}">
          <x14:formula1>
            <xm:f>項目!A4:$ILI$786434</xm:f>
          </x14:formula1>
          <xm:sqref>ILR786439:ILR786462</xm:sqref>
        </x14:dataValidation>
        <x14:dataValidation type="list" allowBlank="1" showInputMessage="1" showErrorMessage="1" xr:uid="{1A369E7E-B417-4F41-8208-485851479353}">
          <x14:formula1>
            <xm:f>項目!A4:$IVE$786434</xm:f>
          </x14:formula1>
          <xm:sqref>IVN786439:IVN786462</xm:sqref>
        </x14:dataValidation>
        <x14:dataValidation type="list" allowBlank="1" showInputMessage="1" showErrorMessage="1" xr:uid="{3FC1C4D8-B703-41D7-8615-DC9D885E4CBD}">
          <x14:formula1>
            <xm:f>項目!A4:$JFA$786434</xm:f>
          </x14:formula1>
          <xm:sqref>JFJ786439:JFJ786462</xm:sqref>
        </x14:dataValidation>
        <x14:dataValidation type="list" allowBlank="1" showInputMessage="1" showErrorMessage="1" xr:uid="{A2110DE0-196E-4820-A636-B031EBCA0AF2}">
          <x14:formula1>
            <xm:f>項目!A4:$JOW$786434</xm:f>
          </x14:formula1>
          <xm:sqref>JPF786439:JPF786462</xm:sqref>
        </x14:dataValidation>
        <x14:dataValidation type="list" allowBlank="1" showInputMessage="1" showErrorMessage="1" xr:uid="{1BB0AAA1-A1CB-44B6-838F-33025121F263}">
          <x14:formula1>
            <xm:f>項目!A4:$JYS$786434</xm:f>
          </x14:formula1>
          <xm:sqref>JZB786439:JZB786462</xm:sqref>
        </x14:dataValidation>
        <x14:dataValidation type="list" allowBlank="1" showInputMessage="1" showErrorMessage="1" xr:uid="{FACFE794-899F-4660-BA07-6248172DB04E}">
          <x14:formula1>
            <xm:f>項目!A4:$KIO$786434</xm:f>
          </x14:formula1>
          <xm:sqref>KIX786439:KIX786462</xm:sqref>
        </x14:dataValidation>
        <x14:dataValidation type="list" allowBlank="1" showInputMessage="1" showErrorMessage="1" xr:uid="{06F36D14-4222-44DB-8E3A-339E27AFBDC4}">
          <x14:formula1>
            <xm:f>項目!A4:$KSK$786434</xm:f>
          </x14:formula1>
          <xm:sqref>KST786439:KST786462</xm:sqref>
        </x14:dataValidation>
        <x14:dataValidation type="list" allowBlank="1" showInputMessage="1" showErrorMessage="1" xr:uid="{48237438-E87B-4F2A-A280-99406718EEA9}">
          <x14:formula1>
            <xm:f>項目!A4:$LCG$786434</xm:f>
          </x14:formula1>
          <xm:sqref>LCP786439:LCP786462</xm:sqref>
        </x14:dataValidation>
        <x14:dataValidation type="list" allowBlank="1" showInputMessage="1" showErrorMessage="1" xr:uid="{47CDE70E-DE13-4DD8-A847-F59181BD30ED}">
          <x14:formula1>
            <xm:f>項目!A4:$LMC$786434</xm:f>
          </x14:formula1>
          <xm:sqref>LML786439:LML786462</xm:sqref>
        </x14:dataValidation>
        <x14:dataValidation type="list" allowBlank="1" showInputMessage="1" showErrorMessage="1" xr:uid="{248CEA15-D07A-4598-9DAE-8B0FECA2E16C}">
          <x14:formula1>
            <xm:f>項目!A4:$LVY$786434</xm:f>
          </x14:formula1>
          <xm:sqref>LWH786439:LWH786462</xm:sqref>
        </x14:dataValidation>
        <x14:dataValidation type="list" allowBlank="1" showInputMessage="1" showErrorMessage="1" xr:uid="{2F1C53B0-EA22-44FB-BA46-B730345258D7}">
          <x14:formula1>
            <xm:f>項目!A4:$MFU$786434</xm:f>
          </x14:formula1>
          <xm:sqref>MGD786439:MGD786462</xm:sqref>
        </x14:dataValidation>
        <x14:dataValidation type="list" allowBlank="1" showInputMessage="1" showErrorMessage="1" xr:uid="{AD721733-8BA5-41FB-B84C-2EA78A2A80B4}">
          <x14:formula1>
            <xm:f>項目!A4:$MPQ$786434</xm:f>
          </x14:formula1>
          <xm:sqref>MPZ786439:MPZ786462</xm:sqref>
        </x14:dataValidation>
        <x14:dataValidation type="list" allowBlank="1" showInputMessage="1" showErrorMessage="1" xr:uid="{8A6B1CAB-6ACD-46EB-B59D-5FF42B732F11}">
          <x14:formula1>
            <xm:f>項目!A4:$MZM$786434</xm:f>
          </x14:formula1>
          <xm:sqref>MZV786439:MZV786462</xm:sqref>
        </x14:dataValidation>
        <x14:dataValidation type="list" allowBlank="1" showInputMessage="1" showErrorMessage="1" xr:uid="{2E0821FE-43CE-4EB9-85C0-D69CE14CB96A}">
          <x14:formula1>
            <xm:f>項目!A4:$NJI$786434</xm:f>
          </x14:formula1>
          <xm:sqref>NJR786439:NJR786462</xm:sqref>
        </x14:dataValidation>
        <x14:dataValidation type="list" allowBlank="1" showInputMessage="1" showErrorMessage="1" xr:uid="{8419BB90-12F3-4936-9896-7146565429A4}">
          <x14:formula1>
            <xm:f>項目!A4:$NTE$786434</xm:f>
          </x14:formula1>
          <xm:sqref>NTN786439:NTN786462</xm:sqref>
        </x14:dataValidation>
        <x14:dataValidation type="list" allowBlank="1" showInputMessage="1" showErrorMessage="1" xr:uid="{C5C4B9EC-292C-49BD-8886-DACB2DDB2582}">
          <x14:formula1>
            <xm:f>項目!A4:$ODA$786434</xm:f>
          </x14:formula1>
          <xm:sqref>ODJ786439:ODJ786462</xm:sqref>
        </x14:dataValidation>
        <x14:dataValidation type="list" allowBlank="1" showInputMessage="1" showErrorMessage="1" xr:uid="{CFC4C368-88FC-4A11-A68F-058BC42DA253}">
          <x14:formula1>
            <xm:f>項目!A4:$OMW$786434</xm:f>
          </x14:formula1>
          <xm:sqref>ONF786439:ONF786462</xm:sqref>
        </x14:dataValidation>
        <x14:dataValidation type="list" allowBlank="1" showInputMessage="1" showErrorMessage="1" xr:uid="{FF6144C7-271B-46A9-A39E-0232AEA4156C}">
          <x14:formula1>
            <xm:f>項目!A4:$OWS$786434</xm:f>
          </x14:formula1>
          <xm:sqref>OXB786439:OXB786462</xm:sqref>
        </x14:dataValidation>
        <x14:dataValidation type="list" allowBlank="1" showInputMessage="1" showErrorMessage="1" xr:uid="{6A18FEEE-0AF9-48DA-BE09-092E3C32B434}">
          <x14:formula1>
            <xm:f>項目!A4:$PGO$786434</xm:f>
          </x14:formula1>
          <xm:sqref>PGX786439:PGX786462</xm:sqref>
        </x14:dataValidation>
        <x14:dataValidation type="list" allowBlank="1" showInputMessage="1" showErrorMessage="1" xr:uid="{298B5558-2608-4246-912C-4AB672D120C7}">
          <x14:formula1>
            <xm:f>項目!A4:$PQK$786434</xm:f>
          </x14:formula1>
          <xm:sqref>PQT786439:PQT786462</xm:sqref>
        </x14:dataValidation>
        <x14:dataValidation type="list" allowBlank="1" showInputMessage="1" showErrorMessage="1" xr:uid="{40BADE10-DC6E-4318-8096-6A29C74D741C}">
          <x14:formula1>
            <xm:f>項目!A4:$QAG$786434</xm:f>
          </x14:formula1>
          <xm:sqref>QAP786439:QAP786462</xm:sqref>
        </x14:dataValidation>
        <x14:dataValidation type="list" allowBlank="1" showInputMessage="1" showErrorMessage="1" xr:uid="{689F8330-A2D9-4AD6-8542-E5AAC65A9D5F}">
          <x14:formula1>
            <xm:f>項目!A4:$QKC$786434</xm:f>
          </x14:formula1>
          <xm:sqref>QKL786439:QKL786462</xm:sqref>
        </x14:dataValidation>
        <x14:dataValidation type="list" allowBlank="1" showInputMessage="1" showErrorMessage="1" xr:uid="{E6F6A0C1-EBED-4B47-9635-C79E026EDA27}">
          <x14:formula1>
            <xm:f>項目!A4:$QTY$786434</xm:f>
          </x14:formula1>
          <xm:sqref>QUH786439:QUH786462</xm:sqref>
        </x14:dataValidation>
        <x14:dataValidation type="list" allowBlank="1" showInputMessage="1" showErrorMessage="1" xr:uid="{D0114ADA-F15B-4E2F-B4DB-025400393350}">
          <x14:formula1>
            <xm:f>項目!A4:$RDU$786434</xm:f>
          </x14:formula1>
          <xm:sqref>RED786439:RED786462</xm:sqref>
        </x14:dataValidation>
        <x14:dataValidation type="list" allowBlank="1" showInputMessage="1" showErrorMessage="1" xr:uid="{54E0204D-BA20-43F6-9358-AADB1C51874F}">
          <x14:formula1>
            <xm:f>項目!A4:$RNQ$786434</xm:f>
          </x14:formula1>
          <xm:sqref>RNZ786439:RNZ786462</xm:sqref>
        </x14:dataValidation>
        <x14:dataValidation type="list" allowBlank="1" showInputMessage="1" showErrorMessage="1" xr:uid="{9C522E16-F3FD-436C-9778-48FC2C5799E3}">
          <x14:formula1>
            <xm:f>項目!A4:$RXM$786434</xm:f>
          </x14:formula1>
          <xm:sqref>RXV786439:RXV786462</xm:sqref>
        </x14:dataValidation>
        <x14:dataValidation type="list" allowBlank="1" showInputMessage="1" showErrorMessage="1" xr:uid="{7FE65056-F6F7-4638-B9F9-9003D605DAAA}">
          <x14:formula1>
            <xm:f>項目!A4:$SHI$786434</xm:f>
          </x14:formula1>
          <xm:sqref>SHR786439:SHR786462</xm:sqref>
        </x14:dataValidation>
        <x14:dataValidation type="list" allowBlank="1" showInputMessage="1" showErrorMessage="1" xr:uid="{C73FC7B0-8EF6-4DF1-816F-ECEE89709881}">
          <x14:formula1>
            <xm:f>項目!A4:$SRE$786434</xm:f>
          </x14:formula1>
          <xm:sqref>SRN786439:SRN786462</xm:sqref>
        </x14:dataValidation>
        <x14:dataValidation type="list" allowBlank="1" showInputMessage="1" showErrorMessage="1" xr:uid="{0BC0E877-6060-4CEB-B1BC-2DE569B7CD62}">
          <x14:formula1>
            <xm:f>項目!A4:$TBA$786434</xm:f>
          </x14:formula1>
          <xm:sqref>TBJ786439:TBJ786462</xm:sqref>
        </x14:dataValidation>
        <x14:dataValidation type="list" allowBlank="1" showInputMessage="1" showErrorMessage="1" xr:uid="{9B56F598-E98D-47C6-B568-1F7F73C80842}">
          <x14:formula1>
            <xm:f>項目!A4:$TKW$786434</xm:f>
          </x14:formula1>
          <xm:sqref>TLF786439:TLF786462</xm:sqref>
        </x14:dataValidation>
        <x14:dataValidation type="list" allowBlank="1" showInputMessage="1" showErrorMessage="1" xr:uid="{B9157A27-643E-4626-96B8-46A5BD6D44EB}">
          <x14:formula1>
            <xm:f>項目!A4:$TUS$786434</xm:f>
          </x14:formula1>
          <xm:sqref>TVB786439:TVB786462</xm:sqref>
        </x14:dataValidation>
        <x14:dataValidation type="list" allowBlank="1" showInputMessage="1" showErrorMessage="1" xr:uid="{FB894E2C-FFAA-4387-8B28-37566986BBE8}">
          <x14:formula1>
            <xm:f>項目!A4:$UEO$786434</xm:f>
          </x14:formula1>
          <xm:sqref>UEX786439:UEX786462</xm:sqref>
        </x14:dataValidation>
        <x14:dataValidation type="list" allowBlank="1" showInputMessage="1" showErrorMessage="1" xr:uid="{E73BCE03-6B03-4BC4-AEFC-087367E1A487}">
          <x14:formula1>
            <xm:f>項目!A4:$UOK$786434</xm:f>
          </x14:formula1>
          <xm:sqref>UOT786439:UOT786462</xm:sqref>
        </x14:dataValidation>
        <x14:dataValidation type="list" allowBlank="1" showInputMessage="1" showErrorMessage="1" xr:uid="{EB6C0BC0-E7AB-45B1-B461-AFB674176258}">
          <x14:formula1>
            <xm:f>項目!A4:$UYG$786434</xm:f>
          </x14:formula1>
          <xm:sqref>UYP786439:UYP786462</xm:sqref>
        </x14:dataValidation>
        <x14:dataValidation type="list" allowBlank="1" showInputMessage="1" showErrorMessage="1" xr:uid="{81F9110C-E4AA-40DD-A154-D660BB12D725}">
          <x14:formula1>
            <xm:f>項目!A4:$VIC$786434</xm:f>
          </x14:formula1>
          <xm:sqref>VIL786439:VIL786462</xm:sqref>
        </x14:dataValidation>
        <x14:dataValidation type="list" allowBlank="1" showInputMessage="1" showErrorMessage="1" xr:uid="{26E0A73F-7431-4D24-BA18-8E80C020CCA2}">
          <x14:formula1>
            <xm:f>項目!A4:$VRY$786434</xm:f>
          </x14:formula1>
          <xm:sqref>VSH786439:VSH786462</xm:sqref>
        </x14:dataValidation>
        <x14:dataValidation type="list" allowBlank="1" showInputMessage="1" showErrorMessage="1" xr:uid="{B704F71F-51C9-4737-B4C0-5E551EB3CD46}">
          <x14:formula1>
            <xm:f>項目!A4:$WBU$786434</xm:f>
          </x14:formula1>
          <xm:sqref>WCD786439:WCD786462</xm:sqref>
        </x14:dataValidation>
        <x14:dataValidation type="list" allowBlank="1" showInputMessage="1" showErrorMessage="1" xr:uid="{27110142-EC74-416C-98F0-D26A93987743}">
          <x14:formula1>
            <xm:f>項目!A4:$WLQ$786434</xm:f>
          </x14:formula1>
          <xm:sqref>WLZ786439:WLZ786462</xm:sqref>
        </x14:dataValidation>
        <x14:dataValidation type="list" allowBlank="1" showInputMessage="1" showErrorMessage="1" xr:uid="{EBBC00E6-9502-40C0-8305-761CE0930C55}">
          <x14:formula1>
            <xm:f>項目!A4:$WVM$786434</xm:f>
          </x14:formula1>
          <xm:sqref>WVV786439:WVV786462</xm:sqref>
        </x14:dataValidation>
        <x14:dataValidation type="list" allowBlank="1" showInputMessage="1" showErrorMessage="1" xr:uid="{261A7792-8933-49F5-8E6A-AB59DE0C2DFD}">
          <x14:formula1>
            <xm:f>項目!A4:$JA$851970</xm:f>
          </x14:formula1>
          <xm:sqref>JJ851975:JJ851998</xm:sqref>
        </x14:dataValidation>
        <x14:dataValidation type="list" allowBlank="1" showInputMessage="1" showErrorMessage="1" xr:uid="{89F04E9E-AB54-401C-9776-E5F6CEBB4CA8}">
          <x14:formula1>
            <xm:f>項目!A4:$SW$851970</xm:f>
          </x14:formula1>
          <xm:sqref>TF851975:TF851998</xm:sqref>
        </x14:dataValidation>
        <x14:dataValidation type="list" allowBlank="1" showInputMessage="1" showErrorMessage="1" xr:uid="{8C143643-8B8C-4040-94E8-54DFDC297F9A}">
          <x14:formula1>
            <xm:f>項目!A4:$ACS$851970</xm:f>
          </x14:formula1>
          <xm:sqref>ADB851975:ADB851998</xm:sqref>
        </x14:dataValidation>
        <x14:dataValidation type="list" allowBlank="1" showInputMessage="1" showErrorMessage="1" xr:uid="{D86B59F5-55D2-4D0B-9601-00F88A9A223A}">
          <x14:formula1>
            <xm:f>項目!A4:$AMO$851970</xm:f>
          </x14:formula1>
          <xm:sqref>AMX851975:AMX851998</xm:sqref>
        </x14:dataValidation>
        <x14:dataValidation type="list" allowBlank="1" showInputMessage="1" showErrorMessage="1" xr:uid="{DB480ACD-32A7-4363-A041-4B6784207B84}">
          <x14:formula1>
            <xm:f>項目!A4:$AWK$851970</xm:f>
          </x14:formula1>
          <xm:sqref>AWT851975:AWT851998</xm:sqref>
        </x14:dataValidation>
        <x14:dataValidation type="list" allowBlank="1" showInputMessage="1" showErrorMessage="1" xr:uid="{E2508FDB-C362-41D6-AADC-2083DE3C52CF}">
          <x14:formula1>
            <xm:f>項目!A4:$BGG$851970</xm:f>
          </x14:formula1>
          <xm:sqref>BGP851975:BGP851998</xm:sqref>
        </x14:dataValidation>
        <x14:dataValidation type="list" allowBlank="1" showInputMessage="1" showErrorMessage="1" xr:uid="{38899C67-BFD6-4DFA-A780-7E60C96424F4}">
          <x14:formula1>
            <xm:f>項目!A4:$BQC$851970</xm:f>
          </x14:formula1>
          <xm:sqref>BQL851975:BQL851998</xm:sqref>
        </x14:dataValidation>
        <x14:dataValidation type="list" allowBlank="1" showInputMessage="1" showErrorMessage="1" xr:uid="{30B357A4-3EAC-42C8-8B8B-B06A92EC2A75}">
          <x14:formula1>
            <xm:f>項目!A4:$BZY$851970</xm:f>
          </x14:formula1>
          <xm:sqref>CAH851975:CAH851998</xm:sqref>
        </x14:dataValidation>
        <x14:dataValidation type="list" allowBlank="1" showInputMessage="1" showErrorMessage="1" xr:uid="{BE309A1B-4502-4EAA-B99C-5D6B9A56F8F1}">
          <x14:formula1>
            <xm:f>項目!A4:$CJU$851970</xm:f>
          </x14:formula1>
          <xm:sqref>CKD851975:CKD851998</xm:sqref>
        </x14:dataValidation>
        <x14:dataValidation type="list" allowBlank="1" showInputMessage="1" showErrorMessage="1" xr:uid="{CC41D81C-2FCB-4A51-B541-0436D00F9268}">
          <x14:formula1>
            <xm:f>項目!A4:$CTQ$851970</xm:f>
          </x14:formula1>
          <xm:sqref>CTZ851975:CTZ851998</xm:sqref>
        </x14:dataValidation>
        <x14:dataValidation type="list" allowBlank="1" showInputMessage="1" showErrorMessage="1" xr:uid="{377AB849-F511-445D-884D-65640B8FCC40}">
          <x14:formula1>
            <xm:f>項目!A4:$DDM$851970</xm:f>
          </x14:formula1>
          <xm:sqref>DDV851975:DDV851998</xm:sqref>
        </x14:dataValidation>
        <x14:dataValidation type="list" allowBlank="1" showInputMessage="1" showErrorMessage="1" xr:uid="{CBFF9A22-E44D-4C38-885A-45564B0368F5}">
          <x14:formula1>
            <xm:f>項目!A4:$DNI$851970</xm:f>
          </x14:formula1>
          <xm:sqref>DNR851975:DNR851998</xm:sqref>
        </x14:dataValidation>
        <x14:dataValidation type="list" allowBlank="1" showInputMessage="1" showErrorMessage="1" xr:uid="{20CFF5CC-6528-4297-B3A3-11BE4E268D81}">
          <x14:formula1>
            <xm:f>項目!A4:$DXE$851970</xm:f>
          </x14:formula1>
          <xm:sqref>DXN851975:DXN851998</xm:sqref>
        </x14:dataValidation>
        <x14:dataValidation type="list" allowBlank="1" showInputMessage="1" showErrorMessage="1" xr:uid="{4CC49B3C-801E-4F0B-8008-BC12D66A1E52}">
          <x14:formula1>
            <xm:f>項目!A4:$EHA$851970</xm:f>
          </x14:formula1>
          <xm:sqref>EHJ851975:EHJ851998</xm:sqref>
        </x14:dataValidation>
        <x14:dataValidation type="list" allowBlank="1" showInputMessage="1" showErrorMessage="1" xr:uid="{21217379-8155-4C60-9C64-8A3C79CA08D9}">
          <x14:formula1>
            <xm:f>項目!A4:$EQW$851970</xm:f>
          </x14:formula1>
          <xm:sqref>ERF851975:ERF851998</xm:sqref>
        </x14:dataValidation>
        <x14:dataValidation type="list" allowBlank="1" showInputMessage="1" showErrorMessage="1" xr:uid="{36BC268C-D493-4C4E-BA55-CC3864462324}">
          <x14:formula1>
            <xm:f>項目!A4:$FAS$851970</xm:f>
          </x14:formula1>
          <xm:sqref>FBB851975:FBB851998</xm:sqref>
        </x14:dataValidation>
        <x14:dataValidation type="list" allowBlank="1" showInputMessage="1" showErrorMessage="1" xr:uid="{0477D5E8-BB75-4E08-9CCA-2B295B1F3C29}">
          <x14:formula1>
            <xm:f>項目!A4:$FKO$851970</xm:f>
          </x14:formula1>
          <xm:sqref>FKX851975:FKX851998</xm:sqref>
        </x14:dataValidation>
        <x14:dataValidation type="list" allowBlank="1" showInputMessage="1" showErrorMessage="1" xr:uid="{7E45843A-A7AB-4DA5-A9B9-7CB9BFFEEC0C}">
          <x14:formula1>
            <xm:f>項目!A4:$FUK$851970</xm:f>
          </x14:formula1>
          <xm:sqref>FUT851975:FUT851998</xm:sqref>
        </x14:dataValidation>
        <x14:dataValidation type="list" allowBlank="1" showInputMessage="1" showErrorMessage="1" xr:uid="{571BDB4F-0709-4AD5-9F57-13154CC0E432}">
          <x14:formula1>
            <xm:f>項目!A4:$GEG$851970</xm:f>
          </x14:formula1>
          <xm:sqref>GEP851975:GEP851998</xm:sqref>
        </x14:dataValidation>
        <x14:dataValidation type="list" allowBlank="1" showInputMessage="1" showErrorMessage="1" xr:uid="{3BCE1B96-6995-4BD1-8643-CE6461FAC7B8}">
          <x14:formula1>
            <xm:f>項目!A4:$GOC$851970</xm:f>
          </x14:formula1>
          <xm:sqref>GOL851975:GOL851998</xm:sqref>
        </x14:dataValidation>
        <x14:dataValidation type="list" allowBlank="1" showInputMessage="1" showErrorMessage="1" xr:uid="{96A21909-C7E1-4D12-B784-4610F5A4CC5D}">
          <x14:formula1>
            <xm:f>項目!A4:$GXY$851970</xm:f>
          </x14:formula1>
          <xm:sqref>GYH851975:GYH851998</xm:sqref>
        </x14:dataValidation>
        <x14:dataValidation type="list" allowBlank="1" showInputMessage="1" showErrorMessage="1" xr:uid="{F3603FCC-C58D-4A72-8D34-E158FB8D76F3}">
          <x14:formula1>
            <xm:f>項目!A4:$HHU$851970</xm:f>
          </x14:formula1>
          <xm:sqref>HID851975:HID851998</xm:sqref>
        </x14:dataValidation>
        <x14:dataValidation type="list" allowBlank="1" showInputMessage="1" showErrorMessage="1" xr:uid="{4E60A5CA-700E-4652-83BA-BB7604814D66}">
          <x14:formula1>
            <xm:f>項目!A4:$HRQ$851970</xm:f>
          </x14:formula1>
          <xm:sqref>HRZ851975:HRZ851998</xm:sqref>
        </x14:dataValidation>
        <x14:dataValidation type="list" allowBlank="1" showInputMessage="1" showErrorMessage="1" xr:uid="{9982DE42-E3CB-42CA-8075-5B94905B9D36}">
          <x14:formula1>
            <xm:f>項目!A4:$IBM$851970</xm:f>
          </x14:formula1>
          <xm:sqref>IBV851975:IBV851998</xm:sqref>
        </x14:dataValidation>
        <x14:dataValidation type="list" allowBlank="1" showInputMessage="1" showErrorMessage="1" xr:uid="{FD131D5A-7C88-4F98-A84D-FDD9FF449CBD}">
          <x14:formula1>
            <xm:f>項目!A4:$ILI$851970</xm:f>
          </x14:formula1>
          <xm:sqref>ILR851975:ILR851998</xm:sqref>
        </x14:dataValidation>
        <x14:dataValidation type="list" allowBlank="1" showInputMessage="1" showErrorMessage="1" xr:uid="{918AF885-05E6-4099-8780-EDA14B6457EB}">
          <x14:formula1>
            <xm:f>項目!A4:$IVE$851970</xm:f>
          </x14:formula1>
          <xm:sqref>IVN851975:IVN851998</xm:sqref>
        </x14:dataValidation>
        <x14:dataValidation type="list" allowBlank="1" showInputMessage="1" showErrorMessage="1" xr:uid="{D38950C4-BA8A-427B-A988-E8A3E7F1298D}">
          <x14:formula1>
            <xm:f>項目!A4:$JFA$851970</xm:f>
          </x14:formula1>
          <xm:sqref>JFJ851975:JFJ851998</xm:sqref>
        </x14:dataValidation>
        <x14:dataValidation type="list" allowBlank="1" showInputMessage="1" showErrorMessage="1" xr:uid="{3AD86443-6888-49E0-BB0B-A50D1FE478C5}">
          <x14:formula1>
            <xm:f>項目!A4:$JOW$851970</xm:f>
          </x14:formula1>
          <xm:sqref>JPF851975:JPF851998</xm:sqref>
        </x14:dataValidation>
        <x14:dataValidation type="list" allowBlank="1" showInputMessage="1" showErrorMessage="1" xr:uid="{644FC2BB-E84A-42EC-AEBF-BB015375B4BF}">
          <x14:formula1>
            <xm:f>項目!A4:$JYS$851970</xm:f>
          </x14:formula1>
          <xm:sqref>JZB851975:JZB851998</xm:sqref>
        </x14:dataValidation>
        <x14:dataValidation type="list" allowBlank="1" showInputMessage="1" showErrorMessage="1" xr:uid="{5FC62884-225E-4BC2-ABCB-183AEC6EF37E}">
          <x14:formula1>
            <xm:f>項目!A4:$KIO$851970</xm:f>
          </x14:formula1>
          <xm:sqref>KIX851975:KIX851998</xm:sqref>
        </x14:dataValidation>
        <x14:dataValidation type="list" allowBlank="1" showInputMessage="1" showErrorMessage="1" xr:uid="{17FF087C-D06E-4F43-A40B-1FAEFA9177E3}">
          <x14:formula1>
            <xm:f>項目!A4:$KSK$851970</xm:f>
          </x14:formula1>
          <xm:sqref>KST851975:KST851998</xm:sqref>
        </x14:dataValidation>
        <x14:dataValidation type="list" allowBlank="1" showInputMessage="1" showErrorMessage="1" xr:uid="{B703BF6A-06CC-497A-ABA2-D40D303E8C0E}">
          <x14:formula1>
            <xm:f>項目!A4:$LCG$851970</xm:f>
          </x14:formula1>
          <xm:sqref>LCP851975:LCP851998</xm:sqref>
        </x14:dataValidation>
        <x14:dataValidation type="list" allowBlank="1" showInputMessage="1" showErrorMessage="1" xr:uid="{F45D2B57-0188-45C6-8843-3B5CD1C5F94C}">
          <x14:formula1>
            <xm:f>項目!A4:$LMC$851970</xm:f>
          </x14:formula1>
          <xm:sqref>LML851975:LML851998</xm:sqref>
        </x14:dataValidation>
        <x14:dataValidation type="list" allowBlank="1" showInputMessage="1" showErrorMessage="1" xr:uid="{F61FDF9E-709E-4FA7-8D69-CD874826677E}">
          <x14:formula1>
            <xm:f>項目!A4:$LVY$851970</xm:f>
          </x14:formula1>
          <xm:sqref>LWH851975:LWH851998</xm:sqref>
        </x14:dataValidation>
        <x14:dataValidation type="list" allowBlank="1" showInputMessage="1" showErrorMessage="1" xr:uid="{CBCFDA75-080E-4645-B484-7D4BA78AB321}">
          <x14:formula1>
            <xm:f>項目!A4:$MFU$851970</xm:f>
          </x14:formula1>
          <xm:sqref>MGD851975:MGD851998</xm:sqref>
        </x14:dataValidation>
        <x14:dataValidation type="list" allowBlank="1" showInputMessage="1" showErrorMessage="1" xr:uid="{6D614FC5-F177-43F1-AEEB-0C734F66BA7A}">
          <x14:formula1>
            <xm:f>項目!A4:$MPQ$851970</xm:f>
          </x14:formula1>
          <xm:sqref>MPZ851975:MPZ851998</xm:sqref>
        </x14:dataValidation>
        <x14:dataValidation type="list" allowBlank="1" showInputMessage="1" showErrorMessage="1" xr:uid="{B11F44E9-0728-4DAE-879D-51DBB0D734B2}">
          <x14:formula1>
            <xm:f>項目!A4:$MZM$851970</xm:f>
          </x14:formula1>
          <xm:sqref>MZV851975:MZV851998</xm:sqref>
        </x14:dataValidation>
        <x14:dataValidation type="list" allowBlank="1" showInputMessage="1" showErrorMessage="1" xr:uid="{97CE2D14-305C-42BC-9F5A-EC04C94BB9D1}">
          <x14:formula1>
            <xm:f>項目!A4:$NJI$851970</xm:f>
          </x14:formula1>
          <xm:sqref>NJR851975:NJR851998</xm:sqref>
        </x14:dataValidation>
        <x14:dataValidation type="list" allowBlank="1" showInputMessage="1" showErrorMessage="1" xr:uid="{995B7FBB-B9B6-4EF9-9118-15B6FB8DDBA3}">
          <x14:formula1>
            <xm:f>項目!A4:$NTE$851970</xm:f>
          </x14:formula1>
          <xm:sqref>NTN851975:NTN851998</xm:sqref>
        </x14:dataValidation>
        <x14:dataValidation type="list" allowBlank="1" showInputMessage="1" showErrorMessage="1" xr:uid="{6188D87E-CD8D-4966-809B-5168119A297F}">
          <x14:formula1>
            <xm:f>項目!A4:$ODA$851970</xm:f>
          </x14:formula1>
          <xm:sqref>ODJ851975:ODJ851998</xm:sqref>
        </x14:dataValidation>
        <x14:dataValidation type="list" allowBlank="1" showInputMessage="1" showErrorMessage="1" xr:uid="{9E1EDE00-9A5A-4140-843C-D864A010B1EB}">
          <x14:formula1>
            <xm:f>項目!A4:$OMW$851970</xm:f>
          </x14:formula1>
          <xm:sqref>ONF851975:ONF851998</xm:sqref>
        </x14:dataValidation>
        <x14:dataValidation type="list" allowBlank="1" showInputMessage="1" showErrorMessage="1" xr:uid="{36F93E80-98CA-4933-9FD2-6E6C75592AC4}">
          <x14:formula1>
            <xm:f>項目!A4:$OWS$851970</xm:f>
          </x14:formula1>
          <xm:sqref>OXB851975:OXB851998</xm:sqref>
        </x14:dataValidation>
        <x14:dataValidation type="list" allowBlank="1" showInputMessage="1" showErrorMessage="1" xr:uid="{9B85966B-6F1E-4697-8753-E951C61E14DA}">
          <x14:formula1>
            <xm:f>項目!A4:$PGO$851970</xm:f>
          </x14:formula1>
          <xm:sqref>PGX851975:PGX851998</xm:sqref>
        </x14:dataValidation>
        <x14:dataValidation type="list" allowBlank="1" showInputMessage="1" showErrorMessage="1" xr:uid="{601C969C-0DD7-452B-AE8C-03BB05EB5702}">
          <x14:formula1>
            <xm:f>項目!A4:$PQK$851970</xm:f>
          </x14:formula1>
          <xm:sqref>PQT851975:PQT851998</xm:sqref>
        </x14:dataValidation>
        <x14:dataValidation type="list" allowBlank="1" showInputMessage="1" showErrorMessage="1" xr:uid="{F762C8E2-E63A-46D2-8CE0-25D803C679C1}">
          <x14:formula1>
            <xm:f>項目!A4:$QAG$851970</xm:f>
          </x14:formula1>
          <xm:sqref>QAP851975:QAP851998</xm:sqref>
        </x14:dataValidation>
        <x14:dataValidation type="list" allowBlank="1" showInputMessage="1" showErrorMessage="1" xr:uid="{4CA1DDE6-42FA-45F2-B9A3-3B3B3BEC7259}">
          <x14:formula1>
            <xm:f>項目!A4:$QKC$851970</xm:f>
          </x14:formula1>
          <xm:sqref>QKL851975:QKL851998</xm:sqref>
        </x14:dataValidation>
        <x14:dataValidation type="list" allowBlank="1" showInputMessage="1" showErrorMessage="1" xr:uid="{AEB9D0B1-600E-42ED-8EBC-214F373A5FDF}">
          <x14:formula1>
            <xm:f>項目!A4:$QTY$851970</xm:f>
          </x14:formula1>
          <xm:sqref>QUH851975:QUH851998</xm:sqref>
        </x14:dataValidation>
        <x14:dataValidation type="list" allowBlank="1" showInputMessage="1" showErrorMessage="1" xr:uid="{62AAC8C8-1137-4E2C-80C9-B01C5D388A09}">
          <x14:formula1>
            <xm:f>項目!A4:$RDU$851970</xm:f>
          </x14:formula1>
          <xm:sqref>RED851975:RED851998</xm:sqref>
        </x14:dataValidation>
        <x14:dataValidation type="list" allowBlank="1" showInputMessage="1" showErrorMessage="1" xr:uid="{F6E57D56-A41C-4366-90B2-09D3FA7DE79A}">
          <x14:formula1>
            <xm:f>項目!A4:$RNQ$851970</xm:f>
          </x14:formula1>
          <xm:sqref>RNZ851975:RNZ851998</xm:sqref>
        </x14:dataValidation>
        <x14:dataValidation type="list" allowBlank="1" showInputMessage="1" showErrorMessage="1" xr:uid="{6FE65DA3-52BD-422F-84D0-A6144F85A35C}">
          <x14:formula1>
            <xm:f>項目!A4:$RXM$851970</xm:f>
          </x14:formula1>
          <xm:sqref>RXV851975:RXV851998</xm:sqref>
        </x14:dataValidation>
        <x14:dataValidation type="list" allowBlank="1" showInputMessage="1" showErrorMessage="1" xr:uid="{1B3E63F8-FC21-482E-817C-0A2E51EE5966}">
          <x14:formula1>
            <xm:f>項目!A4:$SHI$851970</xm:f>
          </x14:formula1>
          <xm:sqref>SHR851975:SHR851998</xm:sqref>
        </x14:dataValidation>
        <x14:dataValidation type="list" allowBlank="1" showInputMessage="1" showErrorMessage="1" xr:uid="{88F25F46-C9BE-4C4A-AA0A-A6D947D752E8}">
          <x14:formula1>
            <xm:f>項目!A4:$SRE$851970</xm:f>
          </x14:formula1>
          <xm:sqref>SRN851975:SRN851998</xm:sqref>
        </x14:dataValidation>
        <x14:dataValidation type="list" allowBlank="1" showInputMessage="1" showErrorMessage="1" xr:uid="{1DD5B240-40C8-417B-9FA9-689F3672D27F}">
          <x14:formula1>
            <xm:f>項目!A4:$TBA$851970</xm:f>
          </x14:formula1>
          <xm:sqref>TBJ851975:TBJ851998</xm:sqref>
        </x14:dataValidation>
        <x14:dataValidation type="list" allowBlank="1" showInputMessage="1" showErrorMessage="1" xr:uid="{E3D22D69-C0B3-41E1-9612-DE62F447C56E}">
          <x14:formula1>
            <xm:f>項目!A4:$TKW$851970</xm:f>
          </x14:formula1>
          <xm:sqref>TLF851975:TLF851998</xm:sqref>
        </x14:dataValidation>
        <x14:dataValidation type="list" allowBlank="1" showInputMessage="1" showErrorMessage="1" xr:uid="{FE74181A-38A6-474A-8F26-22DE9CD9840D}">
          <x14:formula1>
            <xm:f>項目!A4:$TUS$851970</xm:f>
          </x14:formula1>
          <xm:sqref>TVB851975:TVB851998</xm:sqref>
        </x14:dataValidation>
        <x14:dataValidation type="list" allowBlank="1" showInputMessage="1" showErrorMessage="1" xr:uid="{7803DA93-CFDC-4AC4-9C75-2D63B6200C97}">
          <x14:formula1>
            <xm:f>項目!A4:$UEO$851970</xm:f>
          </x14:formula1>
          <xm:sqref>UEX851975:UEX851998</xm:sqref>
        </x14:dataValidation>
        <x14:dataValidation type="list" allowBlank="1" showInputMessage="1" showErrorMessage="1" xr:uid="{B7388C8E-F653-4EC9-95C5-95F3A2D9EC17}">
          <x14:formula1>
            <xm:f>項目!A4:$UOK$851970</xm:f>
          </x14:formula1>
          <xm:sqref>UOT851975:UOT851998</xm:sqref>
        </x14:dataValidation>
        <x14:dataValidation type="list" allowBlank="1" showInputMessage="1" showErrorMessage="1" xr:uid="{2A20FB67-5101-4C3B-96BD-A6C9F7241077}">
          <x14:formula1>
            <xm:f>項目!A4:$UYG$851970</xm:f>
          </x14:formula1>
          <xm:sqref>UYP851975:UYP851998</xm:sqref>
        </x14:dataValidation>
        <x14:dataValidation type="list" allowBlank="1" showInputMessage="1" showErrorMessage="1" xr:uid="{2F225158-D379-4A02-B0D5-550E667999B7}">
          <x14:formula1>
            <xm:f>項目!A4:$VIC$851970</xm:f>
          </x14:formula1>
          <xm:sqref>VIL851975:VIL851998</xm:sqref>
        </x14:dataValidation>
        <x14:dataValidation type="list" allowBlank="1" showInputMessage="1" showErrorMessage="1" xr:uid="{B723A3D2-A70B-4EAD-A70F-ACB90967D8B2}">
          <x14:formula1>
            <xm:f>項目!A4:$VRY$851970</xm:f>
          </x14:formula1>
          <xm:sqref>VSH851975:VSH851998</xm:sqref>
        </x14:dataValidation>
        <x14:dataValidation type="list" allowBlank="1" showInputMessage="1" showErrorMessage="1" xr:uid="{5077959C-33F2-4F49-B653-ED6D7FBA4D5E}">
          <x14:formula1>
            <xm:f>項目!A4:$WBU$851970</xm:f>
          </x14:formula1>
          <xm:sqref>WCD851975:WCD851998</xm:sqref>
        </x14:dataValidation>
        <x14:dataValidation type="list" allowBlank="1" showInputMessage="1" showErrorMessage="1" xr:uid="{0464AFEC-FE59-4160-87C5-A02F33C4614A}">
          <x14:formula1>
            <xm:f>項目!A4:$WLQ$851970</xm:f>
          </x14:formula1>
          <xm:sqref>WLZ851975:WLZ851998</xm:sqref>
        </x14:dataValidation>
        <x14:dataValidation type="list" allowBlank="1" showInputMessage="1" showErrorMessage="1" xr:uid="{9E4F9653-3BB2-4DFC-95A1-A47551581F9A}">
          <x14:formula1>
            <xm:f>項目!A4:$WVM$851970</xm:f>
          </x14:formula1>
          <xm:sqref>WVV851975:WVV851998</xm:sqref>
        </x14:dataValidation>
        <x14:dataValidation type="list" allowBlank="1" showInputMessage="1" showErrorMessage="1" xr:uid="{54CD24B4-6F99-48B4-ACA2-E689547F2310}">
          <x14:formula1>
            <xm:f>項目!A4:$JA$917506</xm:f>
          </x14:formula1>
          <xm:sqref>JJ917511:JJ917534</xm:sqref>
        </x14:dataValidation>
        <x14:dataValidation type="list" allowBlank="1" showInputMessage="1" showErrorMessage="1" xr:uid="{16967F8C-D4E2-4EE0-B28E-834282CD0A27}">
          <x14:formula1>
            <xm:f>項目!A4:$SW$917506</xm:f>
          </x14:formula1>
          <xm:sqref>TF917511:TF917534</xm:sqref>
        </x14:dataValidation>
        <x14:dataValidation type="list" allowBlank="1" showInputMessage="1" showErrorMessage="1" xr:uid="{9BFD2306-AD9C-4CB9-B510-BF8E31CC3CB0}">
          <x14:formula1>
            <xm:f>項目!A4:$ACS$917506</xm:f>
          </x14:formula1>
          <xm:sqref>ADB917511:ADB917534</xm:sqref>
        </x14:dataValidation>
        <x14:dataValidation type="list" allowBlank="1" showInputMessage="1" showErrorMessage="1" xr:uid="{17A10953-A160-49A7-A02E-F53400DF7781}">
          <x14:formula1>
            <xm:f>項目!A4:$AMO$917506</xm:f>
          </x14:formula1>
          <xm:sqref>AMX917511:AMX917534</xm:sqref>
        </x14:dataValidation>
        <x14:dataValidation type="list" allowBlank="1" showInputMessage="1" showErrorMessage="1" xr:uid="{878051F4-5309-444C-80D8-40F9B2666C24}">
          <x14:formula1>
            <xm:f>項目!A4:$AWK$917506</xm:f>
          </x14:formula1>
          <xm:sqref>AWT917511:AWT917534</xm:sqref>
        </x14:dataValidation>
        <x14:dataValidation type="list" allowBlank="1" showInputMessage="1" showErrorMessage="1" xr:uid="{BED69A9F-9AFD-450B-B499-B7851F55B0A5}">
          <x14:formula1>
            <xm:f>項目!A4:$BGG$917506</xm:f>
          </x14:formula1>
          <xm:sqref>BGP917511:BGP917534</xm:sqref>
        </x14:dataValidation>
        <x14:dataValidation type="list" allowBlank="1" showInputMessage="1" showErrorMessage="1" xr:uid="{DE917A27-ACA8-44F6-A93D-EF6735FA4A5E}">
          <x14:formula1>
            <xm:f>項目!A4:$BQC$917506</xm:f>
          </x14:formula1>
          <xm:sqref>BQL917511:BQL917534</xm:sqref>
        </x14:dataValidation>
        <x14:dataValidation type="list" allowBlank="1" showInputMessage="1" showErrorMessage="1" xr:uid="{03437811-2204-4AC4-84E5-385B71953C72}">
          <x14:formula1>
            <xm:f>項目!A4:$BZY$917506</xm:f>
          </x14:formula1>
          <xm:sqref>CAH917511:CAH917534</xm:sqref>
        </x14:dataValidation>
        <x14:dataValidation type="list" allowBlank="1" showInputMessage="1" showErrorMessage="1" xr:uid="{A03B414A-FD18-479E-AB09-B3105C14BB51}">
          <x14:formula1>
            <xm:f>項目!A4:$CJU$917506</xm:f>
          </x14:formula1>
          <xm:sqref>CKD917511:CKD917534</xm:sqref>
        </x14:dataValidation>
        <x14:dataValidation type="list" allowBlank="1" showInputMessage="1" showErrorMessage="1" xr:uid="{31ABA326-1F1B-48FA-8FE6-FE836A103767}">
          <x14:formula1>
            <xm:f>項目!A4:$CTQ$917506</xm:f>
          </x14:formula1>
          <xm:sqref>CTZ917511:CTZ917534</xm:sqref>
        </x14:dataValidation>
        <x14:dataValidation type="list" allowBlank="1" showInputMessage="1" showErrorMessage="1" xr:uid="{21C09FC0-8CE8-4D74-982D-9116D750003E}">
          <x14:formula1>
            <xm:f>項目!A4:$DDM$917506</xm:f>
          </x14:formula1>
          <xm:sqref>DDV917511:DDV917534</xm:sqref>
        </x14:dataValidation>
        <x14:dataValidation type="list" allowBlank="1" showInputMessage="1" showErrorMessage="1" xr:uid="{E7E4F00B-98A6-45D6-BA06-1A86144E1343}">
          <x14:formula1>
            <xm:f>項目!A4:$DNI$917506</xm:f>
          </x14:formula1>
          <xm:sqref>DNR917511:DNR917534</xm:sqref>
        </x14:dataValidation>
        <x14:dataValidation type="list" allowBlank="1" showInputMessage="1" showErrorMessage="1" xr:uid="{4AC1FF73-5E55-43AD-A045-372E89BE9CE5}">
          <x14:formula1>
            <xm:f>項目!A4:$DXE$917506</xm:f>
          </x14:formula1>
          <xm:sqref>DXN917511:DXN917534</xm:sqref>
        </x14:dataValidation>
        <x14:dataValidation type="list" allowBlank="1" showInputMessage="1" showErrorMessage="1" xr:uid="{17AB2032-3B8D-41E3-8B8C-E24FA4A1A598}">
          <x14:formula1>
            <xm:f>項目!A4:$EHA$917506</xm:f>
          </x14:formula1>
          <xm:sqref>EHJ917511:EHJ917534</xm:sqref>
        </x14:dataValidation>
        <x14:dataValidation type="list" allowBlank="1" showInputMessage="1" showErrorMessage="1" xr:uid="{18896018-12CB-45E2-A6D8-3695083D0D8D}">
          <x14:formula1>
            <xm:f>項目!A4:$EQW$917506</xm:f>
          </x14:formula1>
          <xm:sqref>ERF917511:ERF917534</xm:sqref>
        </x14:dataValidation>
        <x14:dataValidation type="list" allowBlank="1" showInputMessage="1" showErrorMessage="1" xr:uid="{49D023F8-5919-4E45-B4FA-2FF59548E5A7}">
          <x14:formula1>
            <xm:f>項目!A4:$FAS$917506</xm:f>
          </x14:formula1>
          <xm:sqref>FBB917511:FBB917534</xm:sqref>
        </x14:dataValidation>
        <x14:dataValidation type="list" allowBlank="1" showInputMessage="1" showErrorMessage="1" xr:uid="{7A9E83B0-D43A-4AC0-9C9E-4FFF3FA6D048}">
          <x14:formula1>
            <xm:f>項目!A4:$FKO$917506</xm:f>
          </x14:formula1>
          <xm:sqref>FKX917511:FKX917534</xm:sqref>
        </x14:dataValidation>
        <x14:dataValidation type="list" allowBlank="1" showInputMessage="1" showErrorMessage="1" xr:uid="{25166CBF-69D0-4CA4-8B36-4D04AAE3C242}">
          <x14:formula1>
            <xm:f>項目!A4:$FUK$917506</xm:f>
          </x14:formula1>
          <xm:sqref>FUT917511:FUT917534</xm:sqref>
        </x14:dataValidation>
        <x14:dataValidation type="list" allowBlank="1" showInputMessage="1" showErrorMessage="1" xr:uid="{A2EA7E71-9969-4BD5-9067-460AFBF72665}">
          <x14:formula1>
            <xm:f>項目!A4:$GEG$917506</xm:f>
          </x14:formula1>
          <xm:sqref>GEP917511:GEP917534</xm:sqref>
        </x14:dataValidation>
        <x14:dataValidation type="list" allowBlank="1" showInputMessage="1" showErrorMessage="1" xr:uid="{B99E0F30-1354-4D7A-BAE1-28C701BD878F}">
          <x14:formula1>
            <xm:f>項目!A4:$GOC$917506</xm:f>
          </x14:formula1>
          <xm:sqref>GOL917511:GOL917534</xm:sqref>
        </x14:dataValidation>
        <x14:dataValidation type="list" allowBlank="1" showInputMessage="1" showErrorMessage="1" xr:uid="{62C377F1-84F4-480A-A5C1-65345337C625}">
          <x14:formula1>
            <xm:f>項目!A4:$GXY$917506</xm:f>
          </x14:formula1>
          <xm:sqref>GYH917511:GYH917534</xm:sqref>
        </x14:dataValidation>
        <x14:dataValidation type="list" allowBlank="1" showInputMessage="1" showErrorMessage="1" xr:uid="{E17D4FB5-C8C7-423D-8FB0-824E2665E4E9}">
          <x14:formula1>
            <xm:f>項目!A4:$HHU$917506</xm:f>
          </x14:formula1>
          <xm:sqref>HID917511:HID917534</xm:sqref>
        </x14:dataValidation>
        <x14:dataValidation type="list" allowBlank="1" showInputMessage="1" showErrorMessage="1" xr:uid="{34F98E44-6D4D-40F7-910F-9240D411FB51}">
          <x14:formula1>
            <xm:f>項目!A4:$HRQ$917506</xm:f>
          </x14:formula1>
          <xm:sqref>HRZ917511:HRZ917534</xm:sqref>
        </x14:dataValidation>
        <x14:dataValidation type="list" allowBlank="1" showInputMessage="1" showErrorMessage="1" xr:uid="{B88791D3-F87A-48D0-B6C8-36F504A4740C}">
          <x14:formula1>
            <xm:f>項目!A4:$IBM$917506</xm:f>
          </x14:formula1>
          <xm:sqref>IBV917511:IBV917534</xm:sqref>
        </x14:dataValidation>
        <x14:dataValidation type="list" allowBlank="1" showInputMessage="1" showErrorMessage="1" xr:uid="{85DFA6AD-E1D5-4B97-B9CF-1827961DBC9C}">
          <x14:formula1>
            <xm:f>項目!A4:$ILI$917506</xm:f>
          </x14:formula1>
          <xm:sqref>ILR917511:ILR917534</xm:sqref>
        </x14:dataValidation>
        <x14:dataValidation type="list" allowBlank="1" showInputMessage="1" showErrorMessage="1" xr:uid="{F18D07BA-63D4-44B8-B84F-D807C5FEE20E}">
          <x14:formula1>
            <xm:f>項目!A4:$IVE$917506</xm:f>
          </x14:formula1>
          <xm:sqref>IVN917511:IVN917534</xm:sqref>
        </x14:dataValidation>
        <x14:dataValidation type="list" allowBlank="1" showInputMessage="1" showErrorMessage="1" xr:uid="{667D0884-9DE7-47C8-A702-87CFC49ED725}">
          <x14:formula1>
            <xm:f>項目!A4:$JFA$917506</xm:f>
          </x14:formula1>
          <xm:sqref>JFJ917511:JFJ917534</xm:sqref>
        </x14:dataValidation>
        <x14:dataValidation type="list" allowBlank="1" showInputMessage="1" showErrorMessage="1" xr:uid="{2397AAF4-EE01-48C0-862E-088BDED3F42A}">
          <x14:formula1>
            <xm:f>項目!A4:$JOW$917506</xm:f>
          </x14:formula1>
          <xm:sqref>JPF917511:JPF917534</xm:sqref>
        </x14:dataValidation>
        <x14:dataValidation type="list" allowBlank="1" showInputMessage="1" showErrorMessage="1" xr:uid="{FE988DDF-F779-48D2-8497-101D206B4B61}">
          <x14:formula1>
            <xm:f>項目!A4:$JYS$917506</xm:f>
          </x14:formula1>
          <xm:sqref>JZB917511:JZB917534</xm:sqref>
        </x14:dataValidation>
        <x14:dataValidation type="list" allowBlank="1" showInputMessage="1" showErrorMessage="1" xr:uid="{1EBDE8C5-A178-4C05-B8D0-F06C8616514A}">
          <x14:formula1>
            <xm:f>項目!A4:$KIO$917506</xm:f>
          </x14:formula1>
          <xm:sqref>KIX917511:KIX917534</xm:sqref>
        </x14:dataValidation>
        <x14:dataValidation type="list" allowBlank="1" showInputMessage="1" showErrorMessage="1" xr:uid="{812FFA14-B881-4932-968A-D0500F2567CB}">
          <x14:formula1>
            <xm:f>項目!A4:$KSK$917506</xm:f>
          </x14:formula1>
          <xm:sqref>KST917511:KST917534</xm:sqref>
        </x14:dataValidation>
        <x14:dataValidation type="list" allowBlank="1" showInputMessage="1" showErrorMessage="1" xr:uid="{D2793973-289D-4E12-BCF6-55BF589E5B0E}">
          <x14:formula1>
            <xm:f>項目!A4:$LCG$917506</xm:f>
          </x14:formula1>
          <xm:sqref>LCP917511:LCP917534</xm:sqref>
        </x14:dataValidation>
        <x14:dataValidation type="list" allowBlank="1" showInputMessage="1" showErrorMessage="1" xr:uid="{2E8C08E0-6B28-46B4-8BC4-5B6EFA636F04}">
          <x14:formula1>
            <xm:f>項目!A4:$LMC$917506</xm:f>
          </x14:formula1>
          <xm:sqref>LML917511:LML917534</xm:sqref>
        </x14:dataValidation>
        <x14:dataValidation type="list" allowBlank="1" showInputMessage="1" showErrorMessage="1" xr:uid="{73C05988-2C51-4EB0-A25E-6815C66FCE94}">
          <x14:formula1>
            <xm:f>項目!A4:$LVY$917506</xm:f>
          </x14:formula1>
          <xm:sqref>LWH917511:LWH917534</xm:sqref>
        </x14:dataValidation>
        <x14:dataValidation type="list" allowBlank="1" showInputMessage="1" showErrorMessage="1" xr:uid="{458CD6D3-536B-4AA9-925F-F418D70CD205}">
          <x14:formula1>
            <xm:f>項目!A4:$MFU$917506</xm:f>
          </x14:formula1>
          <xm:sqref>MGD917511:MGD917534</xm:sqref>
        </x14:dataValidation>
        <x14:dataValidation type="list" allowBlank="1" showInputMessage="1" showErrorMessage="1" xr:uid="{5AF4205E-A005-40B6-9F2E-F25AB7F8E642}">
          <x14:formula1>
            <xm:f>項目!A4:$MPQ$917506</xm:f>
          </x14:formula1>
          <xm:sqref>MPZ917511:MPZ917534</xm:sqref>
        </x14:dataValidation>
        <x14:dataValidation type="list" allowBlank="1" showInputMessage="1" showErrorMessage="1" xr:uid="{6BD680A0-9874-43A9-B7D1-A8568A7FB75C}">
          <x14:formula1>
            <xm:f>項目!A4:$MZM$917506</xm:f>
          </x14:formula1>
          <xm:sqref>MZV917511:MZV917534</xm:sqref>
        </x14:dataValidation>
        <x14:dataValidation type="list" allowBlank="1" showInputMessage="1" showErrorMessage="1" xr:uid="{D7BBA6EC-7E6B-49B6-ADFD-818D08040BC2}">
          <x14:formula1>
            <xm:f>項目!A4:$NJI$917506</xm:f>
          </x14:formula1>
          <xm:sqref>NJR917511:NJR917534</xm:sqref>
        </x14:dataValidation>
        <x14:dataValidation type="list" allowBlank="1" showInputMessage="1" showErrorMessage="1" xr:uid="{711E365F-244D-4FF1-B7C2-6E7D39B16478}">
          <x14:formula1>
            <xm:f>項目!A4:$NTE$917506</xm:f>
          </x14:formula1>
          <xm:sqref>NTN917511:NTN917534</xm:sqref>
        </x14:dataValidation>
        <x14:dataValidation type="list" allowBlank="1" showInputMessage="1" showErrorMessage="1" xr:uid="{504C5F3C-3CB8-4C04-870D-A501150D3B22}">
          <x14:formula1>
            <xm:f>項目!A4:$ODA$917506</xm:f>
          </x14:formula1>
          <xm:sqref>ODJ917511:ODJ917534</xm:sqref>
        </x14:dataValidation>
        <x14:dataValidation type="list" allowBlank="1" showInputMessage="1" showErrorMessage="1" xr:uid="{728BCB00-CBF8-416C-8A20-7984B8EBDD93}">
          <x14:formula1>
            <xm:f>項目!A4:$OMW$917506</xm:f>
          </x14:formula1>
          <xm:sqref>ONF917511:ONF917534</xm:sqref>
        </x14:dataValidation>
        <x14:dataValidation type="list" allowBlank="1" showInputMessage="1" showErrorMessage="1" xr:uid="{14F2040B-180C-413E-B7D6-1884EB8B85BD}">
          <x14:formula1>
            <xm:f>項目!A4:$OWS$917506</xm:f>
          </x14:formula1>
          <xm:sqref>OXB917511:OXB917534</xm:sqref>
        </x14:dataValidation>
        <x14:dataValidation type="list" allowBlank="1" showInputMessage="1" showErrorMessage="1" xr:uid="{D09A09C6-06FE-4234-8C85-93CB1895E235}">
          <x14:formula1>
            <xm:f>項目!A4:$PGO$917506</xm:f>
          </x14:formula1>
          <xm:sqref>PGX917511:PGX917534</xm:sqref>
        </x14:dataValidation>
        <x14:dataValidation type="list" allowBlank="1" showInputMessage="1" showErrorMessage="1" xr:uid="{621571CE-598E-464A-B21A-B62D4F2F2336}">
          <x14:formula1>
            <xm:f>項目!A4:$PQK$917506</xm:f>
          </x14:formula1>
          <xm:sqref>PQT917511:PQT917534</xm:sqref>
        </x14:dataValidation>
        <x14:dataValidation type="list" allowBlank="1" showInputMessage="1" showErrorMessage="1" xr:uid="{00A22A5F-63B8-4C08-9D42-BE4D567F16F0}">
          <x14:formula1>
            <xm:f>項目!A4:$QAG$917506</xm:f>
          </x14:formula1>
          <xm:sqref>QAP917511:QAP917534</xm:sqref>
        </x14:dataValidation>
        <x14:dataValidation type="list" allowBlank="1" showInputMessage="1" showErrorMessage="1" xr:uid="{FFA0BA09-00C3-46FD-B3CC-109328180D4D}">
          <x14:formula1>
            <xm:f>項目!A4:$QKC$917506</xm:f>
          </x14:formula1>
          <xm:sqref>QKL917511:QKL917534</xm:sqref>
        </x14:dataValidation>
        <x14:dataValidation type="list" allowBlank="1" showInputMessage="1" showErrorMessage="1" xr:uid="{A718C0B1-466A-4C31-B5E8-F97287D067B4}">
          <x14:formula1>
            <xm:f>項目!A4:$QTY$917506</xm:f>
          </x14:formula1>
          <xm:sqref>QUH917511:QUH917534</xm:sqref>
        </x14:dataValidation>
        <x14:dataValidation type="list" allowBlank="1" showInputMessage="1" showErrorMessage="1" xr:uid="{3A5CBD71-84D2-4009-8B95-538E92388957}">
          <x14:formula1>
            <xm:f>項目!A4:$RDU$917506</xm:f>
          </x14:formula1>
          <xm:sqref>RED917511:RED917534</xm:sqref>
        </x14:dataValidation>
        <x14:dataValidation type="list" allowBlank="1" showInputMessage="1" showErrorMessage="1" xr:uid="{068DC67D-F722-4941-A853-F74AD1B3BE2D}">
          <x14:formula1>
            <xm:f>項目!A4:$RNQ$917506</xm:f>
          </x14:formula1>
          <xm:sqref>RNZ917511:RNZ917534</xm:sqref>
        </x14:dataValidation>
        <x14:dataValidation type="list" allowBlank="1" showInputMessage="1" showErrorMessage="1" xr:uid="{37B9F5FC-B451-42AE-BC24-426CF017C57B}">
          <x14:formula1>
            <xm:f>項目!A4:$RXM$917506</xm:f>
          </x14:formula1>
          <xm:sqref>RXV917511:RXV917534</xm:sqref>
        </x14:dataValidation>
        <x14:dataValidation type="list" allowBlank="1" showInputMessage="1" showErrorMessage="1" xr:uid="{93DFF2CB-0208-485E-A3C8-60B514446DCC}">
          <x14:formula1>
            <xm:f>項目!A4:$SHI$917506</xm:f>
          </x14:formula1>
          <xm:sqref>SHR917511:SHR917534</xm:sqref>
        </x14:dataValidation>
        <x14:dataValidation type="list" allowBlank="1" showInputMessage="1" showErrorMessage="1" xr:uid="{F751778B-179B-4E9F-962E-1280B5941254}">
          <x14:formula1>
            <xm:f>項目!A4:$SRE$917506</xm:f>
          </x14:formula1>
          <xm:sqref>SRN917511:SRN917534</xm:sqref>
        </x14:dataValidation>
        <x14:dataValidation type="list" allowBlank="1" showInputMessage="1" showErrorMessage="1" xr:uid="{D97F0283-8C3E-4EDA-A5FD-EB30C4A7B41A}">
          <x14:formula1>
            <xm:f>項目!A4:$TBA$917506</xm:f>
          </x14:formula1>
          <xm:sqref>TBJ917511:TBJ917534</xm:sqref>
        </x14:dataValidation>
        <x14:dataValidation type="list" allowBlank="1" showInputMessage="1" showErrorMessage="1" xr:uid="{E0BE366F-42B6-473B-B24C-5A198A6A40E1}">
          <x14:formula1>
            <xm:f>項目!A4:$TKW$917506</xm:f>
          </x14:formula1>
          <xm:sqref>TLF917511:TLF917534</xm:sqref>
        </x14:dataValidation>
        <x14:dataValidation type="list" allowBlank="1" showInputMessage="1" showErrorMessage="1" xr:uid="{32DB82DD-517D-4942-A228-6E3C989ACC6E}">
          <x14:formula1>
            <xm:f>項目!A4:$TUS$917506</xm:f>
          </x14:formula1>
          <xm:sqref>TVB917511:TVB917534</xm:sqref>
        </x14:dataValidation>
        <x14:dataValidation type="list" allowBlank="1" showInputMessage="1" showErrorMessage="1" xr:uid="{913EBED5-84F6-4A99-939B-0F83A563F432}">
          <x14:formula1>
            <xm:f>項目!A4:$UEO$917506</xm:f>
          </x14:formula1>
          <xm:sqref>UEX917511:UEX917534</xm:sqref>
        </x14:dataValidation>
        <x14:dataValidation type="list" allowBlank="1" showInputMessage="1" showErrorMessage="1" xr:uid="{308698C6-60CD-438B-8CE1-0EE22E605ED1}">
          <x14:formula1>
            <xm:f>項目!A4:$UOK$917506</xm:f>
          </x14:formula1>
          <xm:sqref>UOT917511:UOT917534</xm:sqref>
        </x14:dataValidation>
        <x14:dataValidation type="list" allowBlank="1" showInputMessage="1" showErrorMessage="1" xr:uid="{90C785D0-41D7-4F77-80C9-223CDF9AF117}">
          <x14:formula1>
            <xm:f>項目!A4:$UYG$917506</xm:f>
          </x14:formula1>
          <xm:sqref>UYP917511:UYP917534</xm:sqref>
        </x14:dataValidation>
        <x14:dataValidation type="list" allowBlank="1" showInputMessage="1" showErrorMessage="1" xr:uid="{175BC7B1-8A3B-4C01-8480-0672D4BACF87}">
          <x14:formula1>
            <xm:f>項目!A4:$VIC$917506</xm:f>
          </x14:formula1>
          <xm:sqref>VIL917511:VIL917534</xm:sqref>
        </x14:dataValidation>
        <x14:dataValidation type="list" allowBlank="1" showInputMessage="1" showErrorMessage="1" xr:uid="{645F89CA-C2AB-4B92-9615-3E16F1BEF287}">
          <x14:formula1>
            <xm:f>項目!A4:$VRY$917506</xm:f>
          </x14:formula1>
          <xm:sqref>VSH917511:VSH917534</xm:sqref>
        </x14:dataValidation>
        <x14:dataValidation type="list" allowBlank="1" showInputMessage="1" showErrorMessage="1" xr:uid="{A5C49469-7805-457A-9F3B-58EAB0A204D8}">
          <x14:formula1>
            <xm:f>項目!A4:$WBU$917506</xm:f>
          </x14:formula1>
          <xm:sqref>WCD917511:WCD917534</xm:sqref>
        </x14:dataValidation>
        <x14:dataValidation type="list" allowBlank="1" showInputMessage="1" showErrorMessage="1" xr:uid="{F3325E01-75C5-470D-9BFD-42EA53799340}">
          <x14:formula1>
            <xm:f>項目!A4:$WLQ$917506</xm:f>
          </x14:formula1>
          <xm:sqref>WLZ917511:WLZ917534</xm:sqref>
        </x14:dataValidation>
        <x14:dataValidation type="list" allowBlank="1" showInputMessage="1" showErrorMessage="1" xr:uid="{D880E2EF-10A7-4EB5-81FF-E32D16C3CD71}">
          <x14:formula1>
            <xm:f>項目!A4:$WVM$917506</xm:f>
          </x14:formula1>
          <xm:sqref>WVV917511:WVV917534</xm:sqref>
        </x14:dataValidation>
        <x14:dataValidation type="list" allowBlank="1" showInputMessage="1" showErrorMessage="1" xr:uid="{0A77AC1C-D228-4376-947E-1D725F7C29EB}">
          <x14:formula1>
            <xm:f>項目!A4:$JA$983042</xm:f>
          </x14:formula1>
          <xm:sqref>JJ983047:JJ983070</xm:sqref>
        </x14:dataValidation>
        <x14:dataValidation type="list" allowBlank="1" showInputMessage="1" showErrorMessage="1" xr:uid="{C953DD74-8F73-485D-B31F-03967BEFA5B0}">
          <x14:formula1>
            <xm:f>項目!A4:$SW$983042</xm:f>
          </x14:formula1>
          <xm:sqref>TF983047:TF983070</xm:sqref>
        </x14:dataValidation>
        <x14:dataValidation type="list" allowBlank="1" showInputMessage="1" showErrorMessage="1" xr:uid="{3408B61E-F892-48FC-AED9-B4B1CDED14B0}">
          <x14:formula1>
            <xm:f>項目!A4:$ACS$983042</xm:f>
          </x14:formula1>
          <xm:sqref>ADB983047:ADB983070</xm:sqref>
        </x14:dataValidation>
        <x14:dataValidation type="list" allowBlank="1" showInputMessage="1" showErrorMessage="1" xr:uid="{8CB2B64E-2513-48C2-AB37-01AB1A090C86}">
          <x14:formula1>
            <xm:f>項目!A4:$AMO$983042</xm:f>
          </x14:formula1>
          <xm:sqref>AMX983047:AMX983070</xm:sqref>
        </x14:dataValidation>
        <x14:dataValidation type="list" allowBlank="1" showInputMessage="1" showErrorMessage="1" xr:uid="{1BE23AED-AB14-4F9C-81DE-A0293BC4FB84}">
          <x14:formula1>
            <xm:f>項目!A4:$AWK$983042</xm:f>
          </x14:formula1>
          <xm:sqref>AWT983047:AWT983070</xm:sqref>
        </x14:dataValidation>
        <x14:dataValidation type="list" allowBlank="1" showInputMessage="1" showErrorMessage="1" xr:uid="{3530BFE7-D36A-4C65-963E-8EA4FD5CE9CD}">
          <x14:formula1>
            <xm:f>項目!A4:$BGG$983042</xm:f>
          </x14:formula1>
          <xm:sqref>BGP983047:BGP983070</xm:sqref>
        </x14:dataValidation>
        <x14:dataValidation type="list" allowBlank="1" showInputMessage="1" showErrorMessage="1" xr:uid="{A48A92A8-36A8-49D7-9210-712A54AD8BB3}">
          <x14:formula1>
            <xm:f>項目!A4:$BQC$983042</xm:f>
          </x14:formula1>
          <xm:sqref>BQL983047:BQL983070</xm:sqref>
        </x14:dataValidation>
        <x14:dataValidation type="list" allowBlank="1" showInputMessage="1" showErrorMessage="1" xr:uid="{14A79323-3E3F-449F-AD29-F9A0CE659D2B}">
          <x14:formula1>
            <xm:f>項目!A4:$BZY$983042</xm:f>
          </x14:formula1>
          <xm:sqref>CAH983047:CAH983070</xm:sqref>
        </x14:dataValidation>
        <x14:dataValidation type="list" allowBlank="1" showInputMessage="1" showErrorMessage="1" xr:uid="{F72E4A73-236D-4D3B-A60A-08D81D0D158F}">
          <x14:formula1>
            <xm:f>項目!A4:$CJU$983042</xm:f>
          </x14:formula1>
          <xm:sqref>CKD983047:CKD983070</xm:sqref>
        </x14:dataValidation>
        <x14:dataValidation type="list" allowBlank="1" showInputMessage="1" showErrorMessage="1" xr:uid="{B1C1554B-61FF-40E1-AF46-7AB752DEDD39}">
          <x14:formula1>
            <xm:f>項目!A4:$CTQ$983042</xm:f>
          </x14:formula1>
          <xm:sqref>CTZ983047:CTZ983070</xm:sqref>
        </x14:dataValidation>
        <x14:dataValidation type="list" allowBlank="1" showInputMessage="1" showErrorMessage="1" xr:uid="{A90E84D7-09F6-409B-A73D-434DC7B9B461}">
          <x14:formula1>
            <xm:f>項目!A4:$DDM$983042</xm:f>
          </x14:formula1>
          <xm:sqref>DDV983047:DDV983070</xm:sqref>
        </x14:dataValidation>
        <x14:dataValidation type="list" allowBlank="1" showInputMessage="1" showErrorMessage="1" xr:uid="{46A31586-6468-4202-A89A-4CADA3506997}">
          <x14:formula1>
            <xm:f>項目!A4:$DNI$983042</xm:f>
          </x14:formula1>
          <xm:sqref>DNR983047:DNR983070</xm:sqref>
        </x14:dataValidation>
        <x14:dataValidation type="list" allowBlank="1" showInputMessage="1" showErrorMessage="1" xr:uid="{C31BEBA5-6A93-4536-B49E-26D35DDA3A76}">
          <x14:formula1>
            <xm:f>項目!A4:$DXE$983042</xm:f>
          </x14:formula1>
          <xm:sqref>DXN983047:DXN983070</xm:sqref>
        </x14:dataValidation>
        <x14:dataValidation type="list" allowBlank="1" showInputMessage="1" showErrorMessage="1" xr:uid="{81B86380-83CE-47A0-9B95-03EDFF856D7D}">
          <x14:formula1>
            <xm:f>項目!A4:$EHA$983042</xm:f>
          </x14:formula1>
          <xm:sqref>EHJ983047:EHJ983070</xm:sqref>
        </x14:dataValidation>
        <x14:dataValidation type="list" allowBlank="1" showInputMessage="1" showErrorMessage="1" xr:uid="{5B33BF7F-A21F-4570-B513-57291617D1AC}">
          <x14:formula1>
            <xm:f>項目!A4:$EQW$983042</xm:f>
          </x14:formula1>
          <xm:sqref>ERF983047:ERF983070</xm:sqref>
        </x14:dataValidation>
        <x14:dataValidation type="list" allowBlank="1" showInputMessage="1" showErrorMessage="1" xr:uid="{422F5CF5-21B4-419B-964A-C057193F0C35}">
          <x14:formula1>
            <xm:f>項目!A4:$FAS$983042</xm:f>
          </x14:formula1>
          <xm:sqref>FBB983047:FBB983070</xm:sqref>
        </x14:dataValidation>
        <x14:dataValidation type="list" allowBlank="1" showInputMessage="1" showErrorMessage="1" xr:uid="{104D5113-DCAA-4603-8B5B-A866E4291BF6}">
          <x14:formula1>
            <xm:f>項目!A4:$FKO$983042</xm:f>
          </x14:formula1>
          <xm:sqref>FKX983047:FKX983070</xm:sqref>
        </x14:dataValidation>
        <x14:dataValidation type="list" allowBlank="1" showInputMessage="1" showErrorMessage="1" xr:uid="{38CF4013-981F-43EC-8EB2-E8DAE92352AD}">
          <x14:formula1>
            <xm:f>項目!A4:$FUK$983042</xm:f>
          </x14:formula1>
          <xm:sqref>FUT983047:FUT983070</xm:sqref>
        </x14:dataValidation>
        <x14:dataValidation type="list" allowBlank="1" showInputMessage="1" showErrorMessage="1" xr:uid="{BAC076D6-A00B-46C8-B6CE-FDC1338A26C1}">
          <x14:formula1>
            <xm:f>項目!A4:$GEG$983042</xm:f>
          </x14:formula1>
          <xm:sqref>GEP983047:GEP983070</xm:sqref>
        </x14:dataValidation>
        <x14:dataValidation type="list" allowBlank="1" showInputMessage="1" showErrorMessage="1" xr:uid="{E9E21093-8808-47BA-9665-F360F517E4AA}">
          <x14:formula1>
            <xm:f>項目!A4:$GOC$983042</xm:f>
          </x14:formula1>
          <xm:sqref>GOL983047:GOL983070</xm:sqref>
        </x14:dataValidation>
        <x14:dataValidation type="list" allowBlank="1" showInputMessage="1" showErrorMessage="1" xr:uid="{4CDECCE8-6EA0-4027-AF22-B83492807918}">
          <x14:formula1>
            <xm:f>項目!A4:$GXY$983042</xm:f>
          </x14:formula1>
          <xm:sqref>GYH983047:GYH983070</xm:sqref>
        </x14:dataValidation>
        <x14:dataValidation type="list" allowBlank="1" showInputMessage="1" showErrorMessage="1" xr:uid="{8C218D59-71CF-4D78-AC22-DD6934BA116B}">
          <x14:formula1>
            <xm:f>項目!A4:$HHU$983042</xm:f>
          </x14:formula1>
          <xm:sqref>HID983047:HID983070</xm:sqref>
        </x14:dataValidation>
        <x14:dataValidation type="list" allowBlank="1" showInputMessage="1" showErrorMessage="1" xr:uid="{D934668A-D140-4275-A7C2-6F1FD3A4934C}">
          <x14:formula1>
            <xm:f>項目!A4:$HRQ$983042</xm:f>
          </x14:formula1>
          <xm:sqref>HRZ983047:HRZ983070</xm:sqref>
        </x14:dataValidation>
        <x14:dataValidation type="list" allowBlank="1" showInputMessage="1" showErrorMessage="1" xr:uid="{A6CE7692-D8B7-4404-AC5D-72AAA6098A44}">
          <x14:formula1>
            <xm:f>項目!A4:$IBM$983042</xm:f>
          </x14:formula1>
          <xm:sqref>IBV983047:IBV983070</xm:sqref>
        </x14:dataValidation>
        <x14:dataValidation type="list" allowBlank="1" showInputMessage="1" showErrorMessage="1" xr:uid="{33DD9984-9EB3-4BA4-AA37-F9E112C1AEB3}">
          <x14:formula1>
            <xm:f>項目!A4:$ILI$983042</xm:f>
          </x14:formula1>
          <xm:sqref>ILR983047:ILR983070</xm:sqref>
        </x14:dataValidation>
        <x14:dataValidation type="list" allowBlank="1" showInputMessage="1" showErrorMessage="1" xr:uid="{8E42E557-C92C-484D-A522-45E2A730E402}">
          <x14:formula1>
            <xm:f>項目!A4:$IVE$983042</xm:f>
          </x14:formula1>
          <xm:sqref>IVN983047:IVN983070</xm:sqref>
        </x14:dataValidation>
        <x14:dataValidation type="list" allowBlank="1" showInputMessage="1" showErrorMessage="1" xr:uid="{F65A220D-C39A-4B86-A4F2-A8CB77916ABF}">
          <x14:formula1>
            <xm:f>項目!A4:$JFA$983042</xm:f>
          </x14:formula1>
          <xm:sqref>JFJ983047:JFJ983070</xm:sqref>
        </x14:dataValidation>
        <x14:dataValidation type="list" allowBlank="1" showInputMessage="1" showErrorMessage="1" xr:uid="{0590043A-3443-49AF-8D56-DD3241DC2024}">
          <x14:formula1>
            <xm:f>項目!A4:$JOW$983042</xm:f>
          </x14:formula1>
          <xm:sqref>JPF983047:JPF983070</xm:sqref>
        </x14:dataValidation>
        <x14:dataValidation type="list" allowBlank="1" showInputMessage="1" showErrorMessage="1" xr:uid="{16F7F8DC-4D0E-4744-BD35-F760914C592D}">
          <x14:formula1>
            <xm:f>項目!A4:$JYS$983042</xm:f>
          </x14:formula1>
          <xm:sqref>JZB983047:JZB983070</xm:sqref>
        </x14:dataValidation>
        <x14:dataValidation type="list" allowBlank="1" showInputMessage="1" showErrorMessage="1" xr:uid="{B9C92408-7157-4CB2-BC12-83BCF129CD68}">
          <x14:formula1>
            <xm:f>項目!A4:$KIO$983042</xm:f>
          </x14:formula1>
          <xm:sqref>KIX983047:KIX983070</xm:sqref>
        </x14:dataValidation>
        <x14:dataValidation type="list" allowBlank="1" showInputMessage="1" showErrorMessage="1" xr:uid="{E5A2FF00-C60B-45B6-8579-DE5AF0A54AF5}">
          <x14:formula1>
            <xm:f>項目!A4:$KSK$983042</xm:f>
          </x14:formula1>
          <xm:sqref>KST983047:KST983070</xm:sqref>
        </x14:dataValidation>
        <x14:dataValidation type="list" allowBlank="1" showInputMessage="1" showErrorMessage="1" xr:uid="{FE48AFB4-881A-49D3-9655-D67AA562C44A}">
          <x14:formula1>
            <xm:f>項目!A4:$LCG$983042</xm:f>
          </x14:formula1>
          <xm:sqref>LCP983047:LCP983070</xm:sqref>
        </x14:dataValidation>
        <x14:dataValidation type="list" allowBlank="1" showInputMessage="1" showErrorMessage="1" xr:uid="{477290C1-2FFB-4FE3-ACCC-2896666869C9}">
          <x14:formula1>
            <xm:f>項目!A4:$LMC$983042</xm:f>
          </x14:formula1>
          <xm:sqref>LML983047:LML983070</xm:sqref>
        </x14:dataValidation>
        <x14:dataValidation type="list" allowBlank="1" showInputMessage="1" showErrorMessage="1" xr:uid="{A772689B-D62D-4134-8EE6-DF0CFB558937}">
          <x14:formula1>
            <xm:f>項目!A4:$LVY$983042</xm:f>
          </x14:formula1>
          <xm:sqref>LWH983047:LWH983070</xm:sqref>
        </x14:dataValidation>
        <x14:dataValidation type="list" allowBlank="1" showInputMessage="1" showErrorMessage="1" xr:uid="{BBE99DDC-E12C-4350-A228-742230283CC6}">
          <x14:formula1>
            <xm:f>項目!A4:$MFU$983042</xm:f>
          </x14:formula1>
          <xm:sqref>MGD983047:MGD983070</xm:sqref>
        </x14:dataValidation>
        <x14:dataValidation type="list" allowBlank="1" showInputMessage="1" showErrorMessage="1" xr:uid="{8E0F5B36-7191-45DE-8888-D0D474DBB450}">
          <x14:formula1>
            <xm:f>項目!A4:$MPQ$983042</xm:f>
          </x14:formula1>
          <xm:sqref>MPZ983047:MPZ983070</xm:sqref>
        </x14:dataValidation>
        <x14:dataValidation type="list" allowBlank="1" showInputMessage="1" showErrorMessage="1" xr:uid="{C7D3C04A-95AE-4F35-BA4F-D433526FE0E6}">
          <x14:formula1>
            <xm:f>項目!A4:$MZM$983042</xm:f>
          </x14:formula1>
          <xm:sqref>MZV983047:MZV983070</xm:sqref>
        </x14:dataValidation>
        <x14:dataValidation type="list" allowBlank="1" showInputMessage="1" showErrorMessage="1" xr:uid="{90337938-6E4E-4ADD-9C47-E1781DEEDD91}">
          <x14:formula1>
            <xm:f>項目!A4:$NJI$983042</xm:f>
          </x14:formula1>
          <xm:sqref>NJR983047:NJR983070</xm:sqref>
        </x14:dataValidation>
        <x14:dataValidation type="list" allowBlank="1" showInputMessage="1" showErrorMessage="1" xr:uid="{658789C0-EC32-4BBF-B0EA-E214FA8E06EC}">
          <x14:formula1>
            <xm:f>項目!A4:$NTE$983042</xm:f>
          </x14:formula1>
          <xm:sqref>NTN983047:NTN983070</xm:sqref>
        </x14:dataValidation>
        <x14:dataValidation type="list" allowBlank="1" showInputMessage="1" showErrorMessage="1" xr:uid="{C5B71B11-01DC-459D-BA85-FE8AA3A67E09}">
          <x14:formula1>
            <xm:f>項目!A4:$ODA$983042</xm:f>
          </x14:formula1>
          <xm:sqref>ODJ983047:ODJ983070</xm:sqref>
        </x14:dataValidation>
        <x14:dataValidation type="list" allowBlank="1" showInputMessage="1" showErrorMessage="1" xr:uid="{5C2C6818-35D8-409C-9745-C1432763C2B7}">
          <x14:formula1>
            <xm:f>項目!A4:$OMW$983042</xm:f>
          </x14:formula1>
          <xm:sqref>ONF983047:ONF983070</xm:sqref>
        </x14:dataValidation>
        <x14:dataValidation type="list" allowBlank="1" showInputMessage="1" showErrorMessage="1" xr:uid="{D6FF3208-E11E-41ED-8331-286A047B29E3}">
          <x14:formula1>
            <xm:f>項目!A4:$OWS$983042</xm:f>
          </x14:formula1>
          <xm:sqref>OXB983047:OXB983070</xm:sqref>
        </x14:dataValidation>
        <x14:dataValidation type="list" allowBlank="1" showInputMessage="1" showErrorMessage="1" xr:uid="{477230B6-A9AF-4B62-8822-3FD798E1B886}">
          <x14:formula1>
            <xm:f>項目!A4:$PGO$983042</xm:f>
          </x14:formula1>
          <xm:sqref>PGX983047:PGX983070</xm:sqref>
        </x14:dataValidation>
        <x14:dataValidation type="list" allowBlank="1" showInputMessage="1" showErrorMessage="1" xr:uid="{5694286B-BFAD-44BC-A074-B3E10164A72C}">
          <x14:formula1>
            <xm:f>項目!A4:$PQK$983042</xm:f>
          </x14:formula1>
          <xm:sqref>PQT983047:PQT983070</xm:sqref>
        </x14:dataValidation>
        <x14:dataValidation type="list" allowBlank="1" showInputMessage="1" showErrorMessage="1" xr:uid="{3F153A51-E8D7-42E1-BC05-6C7A3D443ECB}">
          <x14:formula1>
            <xm:f>項目!A4:$QAG$983042</xm:f>
          </x14:formula1>
          <xm:sqref>QAP983047:QAP983070</xm:sqref>
        </x14:dataValidation>
        <x14:dataValidation type="list" allowBlank="1" showInputMessage="1" showErrorMessage="1" xr:uid="{EB1E882E-8192-414A-8DDD-64C64C2E9355}">
          <x14:formula1>
            <xm:f>項目!A4:$QKC$983042</xm:f>
          </x14:formula1>
          <xm:sqref>QKL983047:QKL983070</xm:sqref>
        </x14:dataValidation>
        <x14:dataValidation type="list" allowBlank="1" showInputMessage="1" showErrorMessage="1" xr:uid="{2A6A09EF-4225-4E02-A8B0-BBD7F3F2671F}">
          <x14:formula1>
            <xm:f>項目!A4:$QTY$983042</xm:f>
          </x14:formula1>
          <xm:sqref>QUH983047:QUH983070</xm:sqref>
        </x14:dataValidation>
        <x14:dataValidation type="list" allowBlank="1" showInputMessage="1" showErrorMessage="1" xr:uid="{CD581BD9-40CA-4B84-A49E-350B354C380A}">
          <x14:formula1>
            <xm:f>項目!A4:$RDU$983042</xm:f>
          </x14:formula1>
          <xm:sqref>RED983047:RED983070</xm:sqref>
        </x14:dataValidation>
        <x14:dataValidation type="list" allowBlank="1" showInputMessage="1" showErrorMessage="1" xr:uid="{9DF6CAAB-A20D-453D-A293-D494E91864FE}">
          <x14:formula1>
            <xm:f>項目!A4:$RNQ$983042</xm:f>
          </x14:formula1>
          <xm:sqref>RNZ983047:RNZ983070</xm:sqref>
        </x14:dataValidation>
        <x14:dataValidation type="list" allowBlank="1" showInputMessage="1" showErrorMessage="1" xr:uid="{CB06FCC0-18C6-4F59-A523-4B966FF8E442}">
          <x14:formula1>
            <xm:f>項目!A4:$RXM$983042</xm:f>
          </x14:formula1>
          <xm:sqref>RXV983047:RXV983070</xm:sqref>
        </x14:dataValidation>
        <x14:dataValidation type="list" allowBlank="1" showInputMessage="1" showErrorMessage="1" xr:uid="{605EA4E7-48FE-4276-84E0-BEDEEC779D2D}">
          <x14:formula1>
            <xm:f>項目!A4:$SHI$983042</xm:f>
          </x14:formula1>
          <xm:sqref>SHR983047:SHR983070</xm:sqref>
        </x14:dataValidation>
        <x14:dataValidation type="list" allowBlank="1" showInputMessage="1" showErrorMessage="1" xr:uid="{50B44582-8296-4087-BCD9-DE455AB6EB40}">
          <x14:formula1>
            <xm:f>項目!A4:$SRE$983042</xm:f>
          </x14:formula1>
          <xm:sqref>SRN983047:SRN983070</xm:sqref>
        </x14:dataValidation>
        <x14:dataValidation type="list" allowBlank="1" showInputMessage="1" showErrorMessage="1" xr:uid="{7A205EB4-28DB-4399-89E4-F6AFE32DC621}">
          <x14:formula1>
            <xm:f>項目!A4:$TBA$983042</xm:f>
          </x14:formula1>
          <xm:sqref>TBJ983047:TBJ983070</xm:sqref>
        </x14:dataValidation>
        <x14:dataValidation type="list" allowBlank="1" showInputMessage="1" showErrorMessage="1" xr:uid="{612AA95D-8BE5-47CD-BF2B-60E0C2341A8C}">
          <x14:formula1>
            <xm:f>項目!A4:$TKW$983042</xm:f>
          </x14:formula1>
          <xm:sqref>TLF983047:TLF983070</xm:sqref>
        </x14:dataValidation>
        <x14:dataValidation type="list" allowBlank="1" showInputMessage="1" showErrorMessage="1" xr:uid="{D7D18EFB-75CD-433B-8762-263A4E725992}">
          <x14:formula1>
            <xm:f>項目!A4:$TUS$983042</xm:f>
          </x14:formula1>
          <xm:sqref>TVB983047:TVB983070</xm:sqref>
        </x14:dataValidation>
        <x14:dataValidation type="list" allowBlank="1" showInputMessage="1" showErrorMessage="1" xr:uid="{4177F7A5-0F3D-4E5B-9BCC-6821A4793848}">
          <x14:formula1>
            <xm:f>項目!A4:$UEO$983042</xm:f>
          </x14:formula1>
          <xm:sqref>UEX983047:UEX983070</xm:sqref>
        </x14:dataValidation>
        <x14:dataValidation type="list" allowBlank="1" showInputMessage="1" showErrorMessage="1" xr:uid="{E86C16B0-1D1B-4E01-AFCB-AD197D1A308E}">
          <x14:formula1>
            <xm:f>項目!A4:$UOK$983042</xm:f>
          </x14:formula1>
          <xm:sqref>UOT983047:UOT983070</xm:sqref>
        </x14:dataValidation>
        <x14:dataValidation type="list" allowBlank="1" showInputMessage="1" showErrorMessage="1" xr:uid="{AB63C3B2-F97B-4388-A007-146116BAEB57}">
          <x14:formula1>
            <xm:f>項目!A4:$UYG$983042</xm:f>
          </x14:formula1>
          <xm:sqref>UYP983047:UYP983070</xm:sqref>
        </x14:dataValidation>
        <x14:dataValidation type="list" allowBlank="1" showInputMessage="1" showErrorMessage="1" xr:uid="{E36DAADD-2B44-48C4-BA3A-53232B4C4575}">
          <x14:formula1>
            <xm:f>項目!A4:$VIC$983042</xm:f>
          </x14:formula1>
          <xm:sqref>VIL983047:VIL983070</xm:sqref>
        </x14:dataValidation>
        <x14:dataValidation type="list" allowBlank="1" showInputMessage="1" showErrorMessage="1" xr:uid="{EF074D80-9637-4EFF-AF8F-D9A6600A6797}">
          <x14:formula1>
            <xm:f>項目!A4:$VRY$983042</xm:f>
          </x14:formula1>
          <xm:sqref>VSH983047:VSH983070</xm:sqref>
        </x14:dataValidation>
        <x14:dataValidation type="list" allowBlank="1" showInputMessage="1" showErrorMessage="1" xr:uid="{38F27553-082A-4FDF-9628-09F80A781D6C}">
          <x14:formula1>
            <xm:f>項目!A4:$WBU$983042</xm:f>
          </x14:formula1>
          <xm:sqref>WCD983047:WCD983070</xm:sqref>
        </x14:dataValidation>
        <x14:dataValidation type="list" allowBlank="1" showInputMessage="1" showErrorMessage="1" xr:uid="{E7D903DE-5EF7-424C-8B7F-4E6952808913}">
          <x14:formula1>
            <xm:f>項目!A4:$WLQ$983042</xm:f>
          </x14:formula1>
          <xm:sqref>WLZ983047:WLZ983070</xm:sqref>
        </x14:dataValidation>
        <x14:dataValidation type="list" allowBlank="1" showInputMessage="1" showErrorMessage="1" xr:uid="{1B464089-0E18-4EA5-9E93-EC2C1887249D}">
          <x14:formula1>
            <xm:f>項目!A4:$WVM$983042</xm:f>
          </x14:formula1>
          <xm:sqref>WVV983047:WVV983070</xm:sqref>
        </x14:dataValidation>
        <x14:dataValidation type="list" allowBlank="1" showInputMessage="1" showErrorMessage="1" xr:uid="{FB630BEB-E4DF-46C8-A963-31776321FA3B}">
          <x14:formula1>
            <xm:f>項目!A4:$K$65538</xm:f>
          </x14:formula1>
          <xm:sqref>R65543:R65566</xm:sqref>
        </x14:dataValidation>
        <x14:dataValidation type="list" allowBlank="1" showInputMessage="1" showErrorMessage="1" xr:uid="{F720A169-F6F3-46AF-ABE8-9153C721D051}">
          <x14:formula1>
            <xm:f>項目!A4:$JE$65538</xm:f>
          </x14:formula1>
          <xm:sqref>JN65543:JN65566</xm:sqref>
        </x14:dataValidation>
        <x14:dataValidation type="list" allowBlank="1" showInputMessage="1" showErrorMessage="1" xr:uid="{4B977904-97FE-43AE-BC6A-E15FAD3612F1}">
          <x14:formula1>
            <xm:f>項目!A4:$TA$65538</xm:f>
          </x14:formula1>
          <xm:sqref>TJ65543:TJ65566</xm:sqref>
        </x14:dataValidation>
        <x14:dataValidation type="list" allowBlank="1" showInputMessage="1" showErrorMessage="1" xr:uid="{EEA54C7E-033F-40F1-B79B-2DD86CD58FC4}">
          <x14:formula1>
            <xm:f>項目!A4:$ACW$65538</xm:f>
          </x14:formula1>
          <xm:sqref>ADF65543:ADF65566</xm:sqref>
        </x14:dataValidation>
        <x14:dataValidation type="list" allowBlank="1" showInputMessage="1" showErrorMessage="1" xr:uid="{93CA1B3E-8D90-4A97-ABEF-D6B43F7FCE31}">
          <x14:formula1>
            <xm:f>項目!A4:$AMS$65538</xm:f>
          </x14:formula1>
          <xm:sqref>ANB65543:ANB65566</xm:sqref>
        </x14:dataValidation>
        <x14:dataValidation type="list" allowBlank="1" showInputMessage="1" showErrorMessage="1" xr:uid="{1FFD36DC-1C75-49D1-A515-B35D65C28FDF}">
          <x14:formula1>
            <xm:f>項目!A4:$AWO$65538</xm:f>
          </x14:formula1>
          <xm:sqref>AWX65543:AWX65566</xm:sqref>
        </x14:dataValidation>
        <x14:dataValidation type="list" allowBlank="1" showInputMessage="1" showErrorMessage="1" xr:uid="{BF056482-317F-423D-803C-77755C5AE0EA}">
          <x14:formula1>
            <xm:f>項目!A4:$BGK$65538</xm:f>
          </x14:formula1>
          <xm:sqref>BGT65543:BGT65566</xm:sqref>
        </x14:dataValidation>
        <x14:dataValidation type="list" allowBlank="1" showInputMessage="1" showErrorMessage="1" xr:uid="{D169667D-67F9-4204-AE1B-6AD6EC0FFF71}">
          <x14:formula1>
            <xm:f>項目!A4:$BQG$65538</xm:f>
          </x14:formula1>
          <xm:sqref>BQP65543:BQP65566</xm:sqref>
        </x14:dataValidation>
        <x14:dataValidation type="list" allowBlank="1" showInputMessage="1" showErrorMessage="1" xr:uid="{30C58FB3-F833-4BCB-8A3C-A1AE30DA1746}">
          <x14:formula1>
            <xm:f>項目!A4:$CAC$65538</xm:f>
          </x14:formula1>
          <xm:sqref>CAL65543:CAL65566</xm:sqref>
        </x14:dataValidation>
        <x14:dataValidation type="list" allowBlank="1" showInputMessage="1" showErrorMessage="1" xr:uid="{307D0B17-F2A1-462E-A61F-0481F4ED596D}">
          <x14:formula1>
            <xm:f>項目!A4:$CJY$65538</xm:f>
          </x14:formula1>
          <xm:sqref>CKH65543:CKH65566</xm:sqref>
        </x14:dataValidation>
        <x14:dataValidation type="list" allowBlank="1" showInputMessage="1" showErrorMessage="1" xr:uid="{69F5D6E4-3284-4B83-B823-5959A62056C7}">
          <x14:formula1>
            <xm:f>項目!A4:$CTU$65538</xm:f>
          </x14:formula1>
          <xm:sqref>CUD65543:CUD65566</xm:sqref>
        </x14:dataValidation>
        <x14:dataValidation type="list" allowBlank="1" showInputMessage="1" showErrorMessage="1" xr:uid="{32B3D0CF-169D-4087-8E5E-9B800C0CF4C8}">
          <x14:formula1>
            <xm:f>項目!A4:$DDQ$65538</xm:f>
          </x14:formula1>
          <xm:sqref>DDZ65543:DDZ65566</xm:sqref>
        </x14:dataValidation>
        <x14:dataValidation type="list" allowBlank="1" showInputMessage="1" showErrorMessage="1" xr:uid="{436166FC-CB87-43E4-A71B-A0E10883B7E7}">
          <x14:formula1>
            <xm:f>項目!A4:$DNM$65538</xm:f>
          </x14:formula1>
          <xm:sqref>DNV65543:DNV65566</xm:sqref>
        </x14:dataValidation>
        <x14:dataValidation type="list" allowBlank="1" showInputMessage="1" showErrorMessage="1" xr:uid="{C389E5AB-E420-4EAD-9686-B235CADE930F}">
          <x14:formula1>
            <xm:f>項目!A4:$DXI$65538</xm:f>
          </x14:formula1>
          <xm:sqref>DXR65543:DXR65566</xm:sqref>
        </x14:dataValidation>
        <x14:dataValidation type="list" allowBlank="1" showInputMessage="1" showErrorMessage="1" xr:uid="{B1754F28-EFEE-4B68-B3F4-7C334096E3FB}">
          <x14:formula1>
            <xm:f>項目!A4:$EHE$65538</xm:f>
          </x14:formula1>
          <xm:sqref>EHN65543:EHN65566</xm:sqref>
        </x14:dataValidation>
        <x14:dataValidation type="list" allowBlank="1" showInputMessage="1" showErrorMessage="1" xr:uid="{F4A26156-F52E-4F9D-90FE-A1064E7BB834}">
          <x14:formula1>
            <xm:f>項目!A4:$ERA$65538</xm:f>
          </x14:formula1>
          <xm:sqref>ERJ65543:ERJ65566</xm:sqref>
        </x14:dataValidation>
        <x14:dataValidation type="list" allowBlank="1" showInputMessage="1" showErrorMessage="1" xr:uid="{89635F07-BF7D-41A1-858E-D6FD9232349A}">
          <x14:formula1>
            <xm:f>項目!A4:$FAW$65538</xm:f>
          </x14:formula1>
          <xm:sqref>FBF65543:FBF65566</xm:sqref>
        </x14:dataValidation>
        <x14:dataValidation type="list" allowBlank="1" showInputMessage="1" showErrorMessage="1" xr:uid="{F1AEC973-EC70-4AE9-B717-26387200010D}">
          <x14:formula1>
            <xm:f>項目!A4:$FKS$65538</xm:f>
          </x14:formula1>
          <xm:sqref>FLB65543:FLB65566</xm:sqref>
        </x14:dataValidation>
        <x14:dataValidation type="list" allowBlank="1" showInputMessage="1" showErrorMessage="1" xr:uid="{0A594A85-610D-4460-99E7-6F179AE73F8E}">
          <x14:formula1>
            <xm:f>項目!A4:$FUO$65538</xm:f>
          </x14:formula1>
          <xm:sqref>FUX65543:FUX65566</xm:sqref>
        </x14:dataValidation>
        <x14:dataValidation type="list" allowBlank="1" showInputMessage="1" showErrorMessage="1" xr:uid="{C51F19E1-F505-4610-B4E3-36EBDFE2DDB4}">
          <x14:formula1>
            <xm:f>項目!A4:$GEK$65538</xm:f>
          </x14:formula1>
          <xm:sqref>GET65543:GET65566</xm:sqref>
        </x14:dataValidation>
        <x14:dataValidation type="list" allowBlank="1" showInputMessage="1" showErrorMessage="1" xr:uid="{C8C9B897-D709-49FB-84CB-EF5E27376896}">
          <x14:formula1>
            <xm:f>項目!A4:$GOG$65538</xm:f>
          </x14:formula1>
          <xm:sqref>GOP65543:GOP65566</xm:sqref>
        </x14:dataValidation>
        <x14:dataValidation type="list" allowBlank="1" showInputMessage="1" showErrorMessage="1" xr:uid="{8C33AC5E-85EE-47DB-8576-9B30064C2AB4}">
          <x14:formula1>
            <xm:f>項目!A4:$GYC$65538</xm:f>
          </x14:formula1>
          <xm:sqref>GYL65543:GYL65566</xm:sqref>
        </x14:dataValidation>
        <x14:dataValidation type="list" allowBlank="1" showInputMessage="1" showErrorMessage="1" xr:uid="{E34C9ECB-D040-4646-AAFB-827D8C45EFA6}">
          <x14:formula1>
            <xm:f>項目!A4:$HHY$65538</xm:f>
          </x14:formula1>
          <xm:sqref>HIH65543:HIH65566</xm:sqref>
        </x14:dataValidation>
        <x14:dataValidation type="list" allowBlank="1" showInputMessage="1" showErrorMessage="1" xr:uid="{BFE89ED9-E073-45BB-8F0E-FFFDBC8747C1}">
          <x14:formula1>
            <xm:f>項目!A4:$HRU$65538</xm:f>
          </x14:formula1>
          <xm:sqref>HSD65543:HSD65566</xm:sqref>
        </x14:dataValidation>
        <x14:dataValidation type="list" allowBlank="1" showInputMessage="1" showErrorMessage="1" xr:uid="{B94A689F-75B1-433B-A4D1-45E182EF94B8}">
          <x14:formula1>
            <xm:f>項目!A4:$IBQ$65538</xm:f>
          </x14:formula1>
          <xm:sqref>IBZ65543:IBZ65566</xm:sqref>
        </x14:dataValidation>
        <x14:dataValidation type="list" allowBlank="1" showInputMessage="1" showErrorMessage="1" xr:uid="{C96650B2-8E28-48FC-A385-25D0751E586D}">
          <x14:formula1>
            <xm:f>項目!A4:$ILM$65538</xm:f>
          </x14:formula1>
          <xm:sqref>ILV65543:ILV65566</xm:sqref>
        </x14:dataValidation>
        <x14:dataValidation type="list" allowBlank="1" showInputMessage="1" showErrorMessage="1" xr:uid="{95ACC833-88E0-43E0-BF05-CD8B704B4D29}">
          <x14:formula1>
            <xm:f>項目!A4:$IVI$65538</xm:f>
          </x14:formula1>
          <xm:sqref>IVR65543:IVR65566</xm:sqref>
        </x14:dataValidation>
        <x14:dataValidation type="list" allowBlank="1" showInputMessage="1" showErrorMessage="1" xr:uid="{0BC8605E-BE64-4078-B38B-A3881A0D2C68}">
          <x14:formula1>
            <xm:f>項目!A4:$JFE$65538</xm:f>
          </x14:formula1>
          <xm:sqref>JFN65543:JFN65566</xm:sqref>
        </x14:dataValidation>
        <x14:dataValidation type="list" allowBlank="1" showInputMessage="1" showErrorMessage="1" xr:uid="{61D52CC9-67B0-4750-A10A-48E1EF9A24EE}">
          <x14:formula1>
            <xm:f>項目!A4:$JPA$65538</xm:f>
          </x14:formula1>
          <xm:sqref>JPJ65543:JPJ65566</xm:sqref>
        </x14:dataValidation>
        <x14:dataValidation type="list" allowBlank="1" showInputMessage="1" showErrorMessage="1" xr:uid="{E9ECA2DF-E7F8-471C-ACE6-9687E2F6FACA}">
          <x14:formula1>
            <xm:f>項目!A4:$JYW$65538</xm:f>
          </x14:formula1>
          <xm:sqref>JZF65543:JZF65566</xm:sqref>
        </x14:dataValidation>
        <x14:dataValidation type="list" allowBlank="1" showInputMessage="1" showErrorMessage="1" xr:uid="{98EB3D55-ACE3-44BE-80DB-BE0730C85B1F}">
          <x14:formula1>
            <xm:f>項目!A4:$KIS$65538</xm:f>
          </x14:formula1>
          <xm:sqref>KJB65543:KJB65566</xm:sqref>
        </x14:dataValidation>
        <x14:dataValidation type="list" allowBlank="1" showInputMessage="1" showErrorMessage="1" xr:uid="{B1E51E10-52E6-4F2C-8978-17B03C285313}">
          <x14:formula1>
            <xm:f>項目!A4:$KSO$65538</xm:f>
          </x14:formula1>
          <xm:sqref>KSX65543:KSX65566</xm:sqref>
        </x14:dataValidation>
        <x14:dataValidation type="list" allowBlank="1" showInputMessage="1" showErrorMessage="1" xr:uid="{86A88120-AFCB-4481-9C93-92B5DBB2E59E}">
          <x14:formula1>
            <xm:f>項目!A4:$LCK$65538</xm:f>
          </x14:formula1>
          <xm:sqref>LCT65543:LCT65566</xm:sqref>
        </x14:dataValidation>
        <x14:dataValidation type="list" allowBlank="1" showInputMessage="1" showErrorMessage="1" xr:uid="{7F010846-C4B4-4AD0-8B32-67EAF16806D3}">
          <x14:formula1>
            <xm:f>項目!A4:$LMG$65538</xm:f>
          </x14:formula1>
          <xm:sqref>LMP65543:LMP65566</xm:sqref>
        </x14:dataValidation>
        <x14:dataValidation type="list" allowBlank="1" showInputMessage="1" showErrorMessage="1" xr:uid="{0E733A19-11D4-42AC-A70A-6DC74C6F6214}">
          <x14:formula1>
            <xm:f>項目!A4:$LWC$65538</xm:f>
          </x14:formula1>
          <xm:sqref>LWL65543:LWL65566</xm:sqref>
        </x14:dataValidation>
        <x14:dataValidation type="list" allowBlank="1" showInputMessage="1" showErrorMessage="1" xr:uid="{0E308CD6-4FDA-4176-B145-23B39307B513}">
          <x14:formula1>
            <xm:f>項目!A4:$MFY$65538</xm:f>
          </x14:formula1>
          <xm:sqref>MGH65543:MGH65566</xm:sqref>
        </x14:dataValidation>
        <x14:dataValidation type="list" allowBlank="1" showInputMessage="1" showErrorMessage="1" xr:uid="{A7C11B77-2332-4B33-A0D2-65E342D4D0EC}">
          <x14:formula1>
            <xm:f>項目!A4:$MPU$65538</xm:f>
          </x14:formula1>
          <xm:sqref>MQD65543:MQD65566</xm:sqref>
        </x14:dataValidation>
        <x14:dataValidation type="list" allowBlank="1" showInputMessage="1" showErrorMessage="1" xr:uid="{A2A55462-55A9-48AF-8570-FB2237B1D977}">
          <x14:formula1>
            <xm:f>項目!A4:$MZQ$65538</xm:f>
          </x14:formula1>
          <xm:sqref>MZZ65543:MZZ65566</xm:sqref>
        </x14:dataValidation>
        <x14:dataValidation type="list" allowBlank="1" showInputMessage="1" showErrorMessage="1" xr:uid="{67E3BBCF-EE25-4803-AC7D-56E43041F0C3}">
          <x14:formula1>
            <xm:f>項目!A4:$NJM$65538</xm:f>
          </x14:formula1>
          <xm:sqref>NJV65543:NJV65566</xm:sqref>
        </x14:dataValidation>
        <x14:dataValidation type="list" allowBlank="1" showInputMessage="1" showErrorMessage="1" xr:uid="{D916AE65-4CBF-4077-9894-81B2AD29F7CE}">
          <x14:formula1>
            <xm:f>項目!A4:$NTI$65538</xm:f>
          </x14:formula1>
          <xm:sqref>NTR65543:NTR65566</xm:sqref>
        </x14:dataValidation>
        <x14:dataValidation type="list" allowBlank="1" showInputMessage="1" showErrorMessage="1" xr:uid="{BA965BAC-1547-4C88-9A41-140067EFCE53}">
          <x14:formula1>
            <xm:f>項目!A4:$ODE$65538</xm:f>
          </x14:formula1>
          <xm:sqref>ODN65543:ODN65566</xm:sqref>
        </x14:dataValidation>
        <x14:dataValidation type="list" allowBlank="1" showInputMessage="1" showErrorMessage="1" xr:uid="{E89CE32F-FB3E-4493-A5DB-EF956D8F9B92}">
          <x14:formula1>
            <xm:f>項目!A4:$ONA$65538</xm:f>
          </x14:formula1>
          <xm:sqref>ONJ65543:ONJ65566</xm:sqref>
        </x14:dataValidation>
        <x14:dataValidation type="list" allowBlank="1" showInputMessage="1" showErrorMessage="1" xr:uid="{5E46532F-B62D-4E3B-B04E-9362D8F228EF}">
          <x14:formula1>
            <xm:f>項目!A4:$OWW$65538</xm:f>
          </x14:formula1>
          <xm:sqref>OXF65543:OXF65566</xm:sqref>
        </x14:dataValidation>
        <x14:dataValidation type="list" allowBlank="1" showInputMessage="1" showErrorMessage="1" xr:uid="{51107387-9A3E-4F17-AA3E-6B737AE197AC}">
          <x14:formula1>
            <xm:f>項目!A4:$PGS$65538</xm:f>
          </x14:formula1>
          <xm:sqref>PHB65543:PHB65566</xm:sqref>
        </x14:dataValidation>
        <x14:dataValidation type="list" allowBlank="1" showInputMessage="1" showErrorMessage="1" xr:uid="{3687BC08-294A-415E-8E51-2D83FD561705}">
          <x14:formula1>
            <xm:f>項目!A4:$PQO$65538</xm:f>
          </x14:formula1>
          <xm:sqref>PQX65543:PQX65566</xm:sqref>
        </x14:dataValidation>
        <x14:dataValidation type="list" allowBlank="1" showInputMessage="1" showErrorMessage="1" xr:uid="{7FEC5090-CF48-4B10-B561-47AE9057411A}">
          <x14:formula1>
            <xm:f>項目!A4:$QAK$65538</xm:f>
          </x14:formula1>
          <xm:sqref>QAT65543:QAT65566</xm:sqref>
        </x14:dataValidation>
        <x14:dataValidation type="list" allowBlank="1" showInputMessage="1" showErrorMessage="1" xr:uid="{7A049F23-D15A-406F-8EC2-15332DDFFE98}">
          <x14:formula1>
            <xm:f>項目!A4:$QKG$65538</xm:f>
          </x14:formula1>
          <xm:sqref>QKP65543:QKP65566</xm:sqref>
        </x14:dataValidation>
        <x14:dataValidation type="list" allowBlank="1" showInputMessage="1" showErrorMessage="1" xr:uid="{CD5E1A24-3AB4-4F03-8E5E-D23800A6FAD9}">
          <x14:formula1>
            <xm:f>項目!A4:$QUC$65538</xm:f>
          </x14:formula1>
          <xm:sqref>QUL65543:QUL65566</xm:sqref>
        </x14:dataValidation>
        <x14:dataValidation type="list" allowBlank="1" showInputMessage="1" showErrorMessage="1" xr:uid="{468DC468-3BA9-48FD-931B-7AC6F2BCE289}">
          <x14:formula1>
            <xm:f>項目!A4:$RDY$65538</xm:f>
          </x14:formula1>
          <xm:sqref>REH65543:REH65566</xm:sqref>
        </x14:dataValidation>
        <x14:dataValidation type="list" allowBlank="1" showInputMessage="1" showErrorMessage="1" xr:uid="{DE80C7DA-DF61-44D8-A51F-1096EFD42A35}">
          <x14:formula1>
            <xm:f>項目!A4:$RNU$65538</xm:f>
          </x14:formula1>
          <xm:sqref>ROD65543:ROD65566</xm:sqref>
        </x14:dataValidation>
        <x14:dataValidation type="list" allowBlank="1" showInputMessage="1" showErrorMessage="1" xr:uid="{43121592-6E14-450A-BA57-1B84791C0738}">
          <x14:formula1>
            <xm:f>項目!A4:$RXQ$65538</xm:f>
          </x14:formula1>
          <xm:sqref>RXZ65543:RXZ65566</xm:sqref>
        </x14:dataValidation>
        <x14:dataValidation type="list" allowBlank="1" showInputMessage="1" showErrorMessage="1" xr:uid="{B33F0B8E-3E93-411A-B4D8-A74E3D5A475F}">
          <x14:formula1>
            <xm:f>項目!A4:$SHM$65538</xm:f>
          </x14:formula1>
          <xm:sqref>SHV65543:SHV65566</xm:sqref>
        </x14:dataValidation>
        <x14:dataValidation type="list" allowBlank="1" showInputMessage="1" showErrorMessage="1" xr:uid="{A36DEC94-29A7-452F-82FF-B8AF5DFD1AD2}">
          <x14:formula1>
            <xm:f>項目!A4:$SRI$65538</xm:f>
          </x14:formula1>
          <xm:sqref>SRR65543:SRR65566</xm:sqref>
        </x14:dataValidation>
        <x14:dataValidation type="list" allowBlank="1" showInputMessage="1" showErrorMessage="1" xr:uid="{03663C77-8D3E-4FB6-988F-8B5062ED2A41}">
          <x14:formula1>
            <xm:f>項目!A4:$TBE$65538</xm:f>
          </x14:formula1>
          <xm:sqref>TBN65543:TBN65566</xm:sqref>
        </x14:dataValidation>
        <x14:dataValidation type="list" allowBlank="1" showInputMessage="1" showErrorMessage="1" xr:uid="{A900EC73-1736-4A71-A80E-F3688DE20CFB}">
          <x14:formula1>
            <xm:f>項目!A4:$TLA$65538</xm:f>
          </x14:formula1>
          <xm:sqref>TLJ65543:TLJ65566</xm:sqref>
        </x14:dataValidation>
        <x14:dataValidation type="list" allowBlank="1" showInputMessage="1" showErrorMessage="1" xr:uid="{60BF7143-DE56-4FAD-8774-8BA3B6070353}">
          <x14:formula1>
            <xm:f>項目!A4:$TUW$65538</xm:f>
          </x14:formula1>
          <xm:sqref>TVF65543:TVF65566</xm:sqref>
        </x14:dataValidation>
        <x14:dataValidation type="list" allowBlank="1" showInputMessage="1" showErrorMessage="1" xr:uid="{5813AD2A-2B9D-4BFE-82CB-DD8063EA629C}">
          <x14:formula1>
            <xm:f>項目!A4:$UES$65538</xm:f>
          </x14:formula1>
          <xm:sqref>UFB65543:UFB65566</xm:sqref>
        </x14:dataValidation>
        <x14:dataValidation type="list" allowBlank="1" showInputMessage="1" showErrorMessage="1" xr:uid="{B862353A-529E-4565-909A-BA758EA79F5A}">
          <x14:formula1>
            <xm:f>項目!A4:$UOO$65538</xm:f>
          </x14:formula1>
          <xm:sqref>UOX65543:UOX65566</xm:sqref>
        </x14:dataValidation>
        <x14:dataValidation type="list" allowBlank="1" showInputMessage="1" showErrorMessage="1" xr:uid="{3ACCD728-4459-4E71-B2D5-24D5C06B5207}">
          <x14:formula1>
            <xm:f>項目!A4:$UYK$65538</xm:f>
          </x14:formula1>
          <xm:sqref>UYT65543:UYT65566</xm:sqref>
        </x14:dataValidation>
        <x14:dataValidation type="list" allowBlank="1" showInputMessage="1" showErrorMessage="1" xr:uid="{24E2A522-D1C4-4043-98CD-C18192E157D8}">
          <x14:formula1>
            <xm:f>項目!A4:$VIG$65538</xm:f>
          </x14:formula1>
          <xm:sqref>VIP65543:VIP65566</xm:sqref>
        </x14:dataValidation>
        <x14:dataValidation type="list" allowBlank="1" showInputMessage="1" showErrorMessage="1" xr:uid="{9AE22A22-688A-432C-826B-6EF6F6BD0434}">
          <x14:formula1>
            <xm:f>項目!A4:$VSC$65538</xm:f>
          </x14:formula1>
          <xm:sqref>VSL65543:VSL65566</xm:sqref>
        </x14:dataValidation>
        <x14:dataValidation type="list" allowBlank="1" showInputMessage="1" showErrorMessage="1" xr:uid="{4C8D7874-99E6-4DCA-A3FB-CC0628621664}">
          <x14:formula1>
            <xm:f>項目!A4:$WBY$65538</xm:f>
          </x14:formula1>
          <xm:sqref>WCH65543:WCH65566</xm:sqref>
        </x14:dataValidation>
        <x14:dataValidation type="list" allowBlank="1" showInputMessage="1" showErrorMessage="1" xr:uid="{1F05DAD8-5882-402E-BDCA-5355FE6F5E88}">
          <x14:formula1>
            <xm:f>項目!A4:$WLU$65538</xm:f>
          </x14:formula1>
          <xm:sqref>WMD65543:WMD65566</xm:sqref>
        </x14:dataValidation>
        <x14:dataValidation type="list" allowBlank="1" showInputMessage="1" showErrorMessage="1" xr:uid="{DCCC672F-7965-404F-AA78-7D0627F003EE}">
          <x14:formula1>
            <xm:f>項目!A4:$WVQ$65538</xm:f>
          </x14:formula1>
          <xm:sqref>WVZ65543:WVZ65566</xm:sqref>
        </x14:dataValidation>
        <x14:dataValidation type="list" allowBlank="1" showInputMessage="1" showErrorMessage="1" xr:uid="{D06CC733-7C5F-4DDB-993F-5CD4A91F8113}">
          <x14:formula1>
            <xm:f>項目!A4:$K$131074</xm:f>
          </x14:formula1>
          <xm:sqref>R131079:R131102</xm:sqref>
        </x14:dataValidation>
        <x14:dataValidation type="list" allowBlank="1" showInputMessage="1" showErrorMessage="1" xr:uid="{0CF3B2E2-D5EF-45EC-9C96-0BDFE0209050}">
          <x14:formula1>
            <xm:f>項目!A4:$JE$131074</xm:f>
          </x14:formula1>
          <xm:sqref>JN131079:JN131102</xm:sqref>
        </x14:dataValidation>
        <x14:dataValidation type="list" allowBlank="1" showInputMessage="1" showErrorMessage="1" xr:uid="{38582292-80DC-4BDB-959E-4481A5C7A2F9}">
          <x14:formula1>
            <xm:f>項目!A4:$TA$131074</xm:f>
          </x14:formula1>
          <xm:sqref>TJ131079:TJ131102</xm:sqref>
        </x14:dataValidation>
        <x14:dataValidation type="list" allowBlank="1" showInputMessage="1" showErrorMessage="1" xr:uid="{435FA342-5B70-45DD-8FD0-707A3335128C}">
          <x14:formula1>
            <xm:f>項目!A4:$ACW$131074</xm:f>
          </x14:formula1>
          <xm:sqref>ADF131079:ADF131102</xm:sqref>
        </x14:dataValidation>
        <x14:dataValidation type="list" allowBlank="1" showInputMessage="1" showErrorMessage="1" xr:uid="{28DBAA76-7E43-4C57-90BB-828F8A82306E}">
          <x14:formula1>
            <xm:f>項目!A4:$AMS$131074</xm:f>
          </x14:formula1>
          <xm:sqref>ANB131079:ANB131102</xm:sqref>
        </x14:dataValidation>
        <x14:dataValidation type="list" allowBlank="1" showInputMessage="1" showErrorMessage="1" xr:uid="{555840E7-5FFD-4281-87E8-34FB87B0A93E}">
          <x14:formula1>
            <xm:f>項目!A4:$AWO$131074</xm:f>
          </x14:formula1>
          <xm:sqref>AWX131079:AWX131102</xm:sqref>
        </x14:dataValidation>
        <x14:dataValidation type="list" allowBlank="1" showInputMessage="1" showErrorMessage="1" xr:uid="{4C643E8B-368F-44C4-AF9B-49CEB494451C}">
          <x14:formula1>
            <xm:f>項目!A4:$BGK$131074</xm:f>
          </x14:formula1>
          <xm:sqref>BGT131079:BGT131102</xm:sqref>
        </x14:dataValidation>
        <x14:dataValidation type="list" allowBlank="1" showInputMessage="1" showErrorMessage="1" xr:uid="{2996A8DF-8631-4CFE-A15A-9696C5766210}">
          <x14:formula1>
            <xm:f>項目!A4:$BQG$131074</xm:f>
          </x14:formula1>
          <xm:sqref>BQP131079:BQP131102</xm:sqref>
        </x14:dataValidation>
        <x14:dataValidation type="list" allowBlank="1" showInputMessage="1" showErrorMessage="1" xr:uid="{5D50DD9B-C3A3-412E-8482-C1E6065A122C}">
          <x14:formula1>
            <xm:f>項目!A4:$CAC$131074</xm:f>
          </x14:formula1>
          <xm:sqref>CAL131079:CAL131102</xm:sqref>
        </x14:dataValidation>
        <x14:dataValidation type="list" allowBlank="1" showInputMessage="1" showErrorMessage="1" xr:uid="{4C8052CF-015E-4F05-A73B-56A461C55F21}">
          <x14:formula1>
            <xm:f>項目!A4:$CJY$131074</xm:f>
          </x14:formula1>
          <xm:sqref>CKH131079:CKH131102</xm:sqref>
        </x14:dataValidation>
        <x14:dataValidation type="list" allowBlank="1" showInputMessage="1" showErrorMessage="1" xr:uid="{C5F9FB98-FC62-447F-B2E0-5DB6BB867C24}">
          <x14:formula1>
            <xm:f>項目!A4:$CTU$131074</xm:f>
          </x14:formula1>
          <xm:sqref>CUD131079:CUD131102</xm:sqref>
        </x14:dataValidation>
        <x14:dataValidation type="list" allowBlank="1" showInputMessage="1" showErrorMessage="1" xr:uid="{D1C193EB-6F7B-4EF9-9BC3-0800D77C8CF4}">
          <x14:formula1>
            <xm:f>項目!A4:$DDQ$131074</xm:f>
          </x14:formula1>
          <xm:sqref>DDZ131079:DDZ131102</xm:sqref>
        </x14:dataValidation>
        <x14:dataValidation type="list" allowBlank="1" showInputMessage="1" showErrorMessage="1" xr:uid="{98EB1CBB-9B58-4D01-AC47-1F173FFE596C}">
          <x14:formula1>
            <xm:f>項目!A4:$DNM$131074</xm:f>
          </x14:formula1>
          <xm:sqref>DNV131079:DNV131102</xm:sqref>
        </x14:dataValidation>
        <x14:dataValidation type="list" allowBlank="1" showInputMessage="1" showErrorMessage="1" xr:uid="{2D7C30CA-6DA7-4F1D-B7A7-30C865BC9A11}">
          <x14:formula1>
            <xm:f>項目!A4:$DXI$131074</xm:f>
          </x14:formula1>
          <xm:sqref>DXR131079:DXR131102</xm:sqref>
        </x14:dataValidation>
        <x14:dataValidation type="list" allowBlank="1" showInputMessage="1" showErrorMessage="1" xr:uid="{86F6B8AF-67B7-467A-BDDF-26A5E316E9E6}">
          <x14:formula1>
            <xm:f>項目!A4:$EHE$131074</xm:f>
          </x14:formula1>
          <xm:sqref>EHN131079:EHN131102</xm:sqref>
        </x14:dataValidation>
        <x14:dataValidation type="list" allowBlank="1" showInputMessage="1" showErrorMessage="1" xr:uid="{DF91B8DB-7674-49B8-B35B-E28BE696F018}">
          <x14:formula1>
            <xm:f>項目!A4:$ERA$131074</xm:f>
          </x14:formula1>
          <xm:sqref>ERJ131079:ERJ131102</xm:sqref>
        </x14:dataValidation>
        <x14:dataValidation type="list" allowBlank="1" showInputMessage="1" showErrorMessage="1" xr:uid="{185FAAB5-0200-4305-A418-7D445FCE8910}">
          <x14:formula1>
            <xm:f>項目!A4:$FAW$131074</xm:f>
          </x14:formula1>
          <xm:sqref>FBF131079:FBF131102</xm:sqref>
        </x14:dataValidation>
        <x14:dataValidation type="list" allowBlank="1" showInputMessage="1" showErrorMessage="1" xr:uid="{DBB6FD24-0D2B-40B7-B060-C003E0EB467E}">
          <x14:formula1>
            <xm:f>項目!A4:$FKS$131074</xm:f>
          </x14:formula1>
          <xm:sqref>FLB131079:FLB131102</xm:sqref>
        </x14:dataValidation>
        <x14:dataValidation type="list" allowBlank="1" showInputMessage="1" showErrorMessage="1" xr:uid="{20FEEC97-CE98-40F6-A390-91827FA1A306}">
          <x14:formula1>
            <xm:f>項目!A4:$FUO$131074</xm:f>
          </x14:formula1>
          <xm:sqref>FUX131079:FUX131102</xm:sqref>
        </x14:dataValidation>
        <x14:dataValidation type="list" allowBlank="1" showInputMessage="1" showErrorMessage="1" xr:uid="{F8073485-3861-4CDF-8696-8970CFAB2300}">
          <x14:formula1>
            <xm:f>項目!A4:$GEK$131074</xm:f>
          </x14:formula1>
          <xm:sqref>GET131079:GET131102</xm:sqref>
        </x14:dataValidation>
        <x14:dataValidation type="list" allowBlank="1" showInputMessage="1" showErrorMessage="1" xr:uid="{95264274-FF8B-4C7D-AC9B-985AA8C12229}">
          <x14:formula1>
            <xm:f>項目!A4:$GOG$131074</xm:f>
          </x14:formula1>
          <xm:sqref>GOP131079:GOP131102</xm:sqref>
        </x14:dataValidation>
        <x14:dataValidation type="list" allowBlank="1" showInputMessage="1" showErrorMessage="1" xr:uid="{5EFEFFBD-0D5F-4DEB-A94A-C0620D7A570C}">
          <x14:formula1>
            <xm:f>項目!A4:$GYC$131074</xm:f>
          </x14:formula1>
          <xm:sqref>GYL131079:GYL131102</xm:sqref>
        </x14:dataValidation>
        <x14:dataValidation type="list" allowBlank="1" showInputMessage="1" showErrorMessage="1" xr:uid="{ACB41950-6A59-4D6E-871A-87A36B1E2FB3}">
          <x14:formula1>
            <xm:f>項目!A4:$HHY$131074</xm:f>
          </x14:formula1>
          <xm:sqref>HIH131079:HIH131102</xm:sqref>
        </x14:dataValidation>
        <x14:dataValidation type="list" allowBlank="1" showInputMessage="1" showErrorMessage="1" xr:uid="{E40ED31A-FF97-4411-BC06-A73833A0E9BF}">
          <x14:formula1>
            <xm:f>項目!A4:$HRU$131074</xm:f>
          </x14:formula1>
          <xm:sqref>HSD131079:HSD131102</xm:sqref>
        </x14:dataValidation>
        <x14:dataValidation type="list" allowBlank="1" showInputMessage="1" showErrorMessage="1" xr:uid="{5F0102FA-E270-4B6F-BCD1-18CEF9FEB33B}">
          <x14:formula1>
            <xm:f>項目!A4:$IBQ$131074</xm:f>
          </x14:formula1>
          <xm:sqref>IBZ131079:IBZ131102</xm:sqref>
        </x14:dataValidation>
        <x14:dataValidation type="list" allowBlank="1" showInputMessage="1" showErrorMessage="1" xr:uid="{F7C67524-A3BA-44E4-9696-E6362131083D}">
          <x14:formula1>
            <xm:f>項目!A4:$ILM$131074</xm:f>
          </x14:formula1>
          <xm:sqref>ILV131079:ILV131102</xm:sqref>
        </x14:dataValidation>
        <x14:dataValidation type="list" allowBlank="1" showInputMessage="1" showErrorMessage="1" xr:uid="{6D45FBA9-35FD-4538-966C-A2D52B346557}">
          <x14:formula1>
            <xm:f>項目!A4:$IVI$131074</xm:f>
          </x14:formula1>
          <xm:sqref>IVR131079:IVR131102</xm:sqref>
        </x14:dataValidation>
        <x14:dataValidation type="list" allowBlank="1" showInputMessage="1" showErrorMessage="1" xr:uid="{A3846E50-7AE5-4DF0-9BA8-0AC646F3C30F}">
          <x14:formula1>
            <xm:f>項目!A4:$JFE$131074</xm:f>
          </x14:formula1>
          <xm:sqref>JFN131079:JFN131102</xm:sqref>
        </x14:dataValidation>
        <x14:dataValidation type="list" allowBlank="1" showInputMessage="1" showErrorMessage="1" xr:uid="{1BCD8360-CFD5-4E7A-A521-BF548B3778CB}">
          <x14:formula1>
            <xm:f>項目!A4:$JPA$131074</xm:f>
          </x14:formula1>
          <xm:sqref>JPJ131079:JPJ131102</xm:sqref>
        </x14:dataValidation>
        <x14:dataValidation type="list" allowBlank="1" showInputMessage="1" showErrorMessage="1" xr:uid="{91B37770-C3E5-4BEC-A695-6D58917352A5}">
          <x14:formula1>
            <xm:f>項目!A4:$JYW$131074</xm:f>
          </x14:formula1>
          <xm:sqref>JZF131079:JZF131102</xm:sqref>
        </x14:dataValidation>
        <x14:dataValidation type="list" allowBlank="1" showInputMessage="1" showErrorMessage="1" xr:uid="{503C36DD-D7F5-48A3-BC52-28861D9962B8}">
          <x14:formula1>
            <xm:f>項目!A4:$KIS$131074</xm:f>
          </x14:formula1>
          <xm:sqref>KJB131079:KJB131102</xm:sqref>
        </x14:dataValidation>
        <x14:dataValidation type="list" allowBlank="1" showInputMessage="1" showErrorMessage="1" xr:uid="{8169A544-590F-4EB1-A688-EF36C48B6250}">
          <x14:formula1>
            <xm:f>項目!A4:$KSO$131074</xm:f>
          </x14:formula1>
          <xm:sqref>KSX131079:KSX131102</xm:sqref>
        </x14:dataValidation>
        <x14:dataValidation type="list" allowBlank="1" showInputMessage="1" showErrorMessage="1" xr:uid="{BAAA97F4-D888-48BB-8841-001DD56A0F09}">
          <x14:formula1>
            <xm:f>項目!A4:$LCK$131074</xm:f>
          </x14:formula1>
          <xm:sqref>LCT131079:LCT131102</xm:sqref>
        </x14:dataValidation>
        <x14:dataValidation type="list" allowBlank="1" showInputMessage="1" showErrorMessage="1" xr:uid="{9B696FBC-9618-4639-913E-BFE746EBC8FC}">
          <x14:formula1>
            <xm:f>項目!A4:$LMG$131074</xm:f>
          </x14:formula1>
          <xm:sqref>LMP131079:LMP131102</xm:sqref>
        </x14:dataValidation>
        <x14:dataValidation type="list" allowBlank="1" showInputMessage="1" showErrorMessage="1" xr:uid="{A03200AD-D5E7-4CFC-A034-63CD27640FFC}">
          <x14:formula1>
            <xm:f>項目!A4:$LWC$131074</xm:f>
          </x14:formula1>
          <xm:sqref>LWL131079:LWL131102</xm:sqref>
        </x14:dataValidation>
        <x14:dataValidation type="list" allowBlank="1" showInputMessage="1" showErrorMessage="1" xr:uid="{CCD5D3A8-A559-42F5-A59C-F1445CDBF21F}">
          <x14:formula1>
            <xm:f>項目!A4:$MFY$131074</xm:f>
          </x14:formula1>
          <xm:sqref>MGH131079:MGH131102</xm:sqref>
        </x14:dataValidation>
        <x14:dataValidation type="list" allowBlank="1" showInputMessage="1" showErrorMessage="1" xr:uid="{12C6B59A-2E2F-4E74-BD38-C660B66A2067}">
          <x14:formula1>
            <xm:f>項目!A4:$MPU$131074</xm:f>
          </x14:formula1>
          <xm:sqref>MQD131079:MQD131102</xm:sqref>
        </x14:dataValidation>
        <x14:dataValidation type="list" allowBlank="1" showInputMessage="1" showErrorMessage="1" xr:uid="{2069E379-0AD4-45D4-9A8E-FAB2C7D009EB}">
          <x14:formula1>
            <xm:f>項目!A4:$MZQ$131074</xm:f>
          </x14:formula1>
          <xm:sqref>MZZ131079:MZZ131102</xm:sqref>
        </x14:dataValidation>
        <x14:dataValidation type="list" allowBlank="1" showInputMessage="1" showErrorMessage="1" xr:uid="{143E4546-F193-4D34-8194-F434487D347D}">
          <x14:formula1>
            <xm:f>項目!A4:$NJM$131074</xm:f>
          </x14:formula1>
          <xm:sqref>NJV131079:NJV131102</xm:sqref>
        </x14:dataValidation>
        <x14:dataValidation type="list" allowBlank="1" showInputMessage="1" showErrorMessage="1" xr:uid="{5831D944-195F-4586-94C0-AA3A2A5E57E5}">
          <x14:formula1>
            <xm:f>項目!A4:$NTI$131074</xm:f>
          </x14:formula1>
          <xm:sqref>NTR131079:NTR131102</xm:sqref>
        </x14:dataValidation>
        <x14:dataValidation type="list" allowBlank="1" showInputMessage="1" showErrorMessage="1" xr:uid="{F7F3723E-D4AB-4E1F-BF65-F4C0F2F8AF50}">
          <x14:formula1>
            <xm:f>項目!A4:$ODE$131074</xm:f>
          </x14:formula1>
          <xm:sqref>ODN131079:ODN131102</xm:sqref>
        </x14:dataValidation>
        <x14:dataValidation type="list" allowBlank="1" showInputMessage="1" showErrorMessage="1" xr:uid="{EA02017E-C708-4DBC-8DE7-CD6F5CE601D3}">
          <x14:formula1>
            <xm:f>項目!A4:$ONA$131074</xm:f>
          </x14:formula1>
          <xm:sqref>ONJ131079:ONJ131102</xm:sqref>
        </x14:dataValidation>
        <x14:dataValidation type="list" allowBlank="1" showInputMessage="1" showErrorMessage="1" xr:uid="{EEA4AF0D-9658-4BAF-B423-695B8889DDDD}">
          <x14:formula1>
            <xm:f>項目!A4:$OWW$131074</xm:f>
          </x14:formula1>
          <xm:sqref>OXF131079:OXF131102</xm:sqref>
        </x14:dataValidation>
        <x14:dataValidation type="list" allowBlank="1" showInputMessage="1" showErrorMessage="1" xr:uid="{7543426B-A705-4D21-9AD9-C89A4AA31855}">
          <x14:formula1>
            <xm:f>項目!A4:$PGS$131074</xm:f>
          </x14:formula1>
          <xm:sqref>PHB131079:PHB131102</xm:sqref>
        </x14:dataValidation>
        <x14:dataValidation type="list" allowBlank="1" showInputMessage="1" showErrorMessage="1" xr:uid="{B53C47E2-DDCE-42B0-B7A3-EED8922CDEBC}">
          <x14:formula1>
            <xm:f>項目!A4:$PQO$131074</xm:f>
          </x14:formula1>
          <xm:sqref>PQX131079:PQX131102</xm:sqref>
        </x14:dataValidation>
        <x14:dataValidation type="list" allowBlank="1" showInputMessage="1" showErrorMessage="1" xr:uid="{1A1284F0-76B3-49B3-869D-F27AA559B9C8}">
          <x14:formula1>
            <xm:f>項目!A4:$QAK$131074</xm:f>
          </x14:formula1>
          <xm:sqref>QAT131079:QAT131102</xm:sqref>
        </x14:dataValidation>
        <x14:dataValidation type="list" allowBlank="1" showInputMessage="1" showErrorMessage="1" xr:uid="{6873B1BE-41B5-4602-A879-6C832E82F5E3}">
          <x14:formula1>
            <xm:f>項目!A4:$QKG$131074</xm:f>
          </x14:formula1>
          <xm:sqref>QKP131079:QKP131102</xm:sqref>
        </x14:dataValidation>
        <x14:dataValidation type="list" allowBlank="1" showInputMessage="1" showErrorMessage="1" xr:uid="{6586C8BD-CDC9-4DFB-9148-E91ED9ED3F50}">
          <x14:formula1>
            <xm:f>項目!A4:$QUC$131074</xm:f>
          </x14:formula1>
          <xm:sqref>QUL131079:QUL131102</xm:sqref>
        </x14:dataValidation>
        <x14:dataValidation type="list" allowBlank="1" showInputMessage="1" showErrorMessage="1" xr:uid="{85188B8E-725A-4384-87FA-79C74BC78591}">
          <x14:formula1>
            <xm:f>項目!A4:$RDY$131074</xm:f>
          </x14:formula1>
          <xm:sqref>REH131079:REH131102</xm:sqref>
        </x14:dataValidation>
        <x14:dataValidation type="list" allowBlank="1" showInputMessage="1" showErrorMessage="1" xr:uid="{C0C8AA60-1129-4F38-9FBF-13C8FFBD2D2F}">
          <x14:formula1>
            <xm:f>項目!A4:$RNU$131074</xm:f>
          </x14:formula1>
          <xm:sqref>ROD131079:ROD131102</xm:sqref>
        </x14:dataValidation>
        <x14:dataValidation type="list" allowBlank="1" showInputMessage="1" showErrorMessage="1" xr:uid="{9EC7B7F7-8EE1-4359-8EE4-8B36AE22DBC3}">
          <x14:formula1>
            <xm:f>項目!A4:$RXQ$131074</xm:f>
          </x14:formula1>
          <xm:sqref>RXZ131079:RXZ131102</xm:sqref>
        </x14:dataValidation>
        <x14:dataValidation type="list" allowBlank="1" showInputMessage="1" showErrorMessage="1" xr:uid="{07174111-F13F-422A-A8BA-E89780416282}">
          <x14:formula1>
            <xm:f>項目!A4:$SHM$131074</xm:f>
          </x14:formula1>
          <xm:sqref>SHV131079:SHV131102</xm:sqref>
        </x14:dataValidation>
        <x14:dataValidation type="list" allowBlank="1" showInputMessage="1" showErrorMessage="1" xr:uid="{5513DEC3-4ABF-411F-A16C-98141449AB30}">
          <x14:formula1>
            <xm:f>項目!A4:$SRI$131074</xm:f>
          </x14:formula1>
          <xm:sqref>SRR131079:SRR131102</xm:sqref>
        </x14:dataValidation>
        <x14:dataValidation type="list" allowBlank="1" showInputMessage="1" showErrorMessage="1" xr:uid="{87DFAAF7-1163-49E1-B666-EB92962B43C3}">
          <x14:formula1>
            <xm:f>項目!A4:$TBE$131074</xm:f>
          </x14:formula1>
          <xm:sqref>TBN131079:TBN131102</xm:sqref>
        </x14:dataValidation>
        <x14:dataValidation type="list" allowBlank="1" showInputMessage="1" showErrorMessage="1" xr:uid="{3FD32C26-39DB-44F9-8E3D-7D7A5A242341}">
          <x14:formula1>
            <xm:f>項目!A4:$TLA$131074</xm:f>
          </x14:formula1>
          <xm:sqref>TLJ131079:TLJ131102</xm:sqref>
        </x14:dataValidation>
        <x14:dataValidation type="list" allowBlank="1" showInputMessage="1" showErrorMessage="1" xr:uid="{E72139AF-924A-42FB-A0EE-246D6FF28E82}">
          <x14:formula1>
            <xm:f>項目!A4:$TUW$131074</xm:f>
          </x14:formula1>
          <xm:sqref>TVF131079:TVF131102</xm:sqref>
        </x14:dataValidation>
        <x14:dataValidation type="list" allowBlank="1" showInputMessage="1" showErrorMessage="1" xr:uid="{5944233F-8B4F-4B22-9FDD-F598A2A8F6DE}">
          <x14:formula1>
            <xm:f>項目!A4:$UES$131074</xm:f>
          </x14:formula1>
          <xm:sqref>UFB131079:UFB131102</xm:sqref>
        </x14:dataValidation>
        <x14:dataValidation type="list" allowBlank="1" showInputMessage="1" showErrorMessage="1" xr:uid="{C8F25273-A2BB-4068-9B6D-C0C8C0B0A942}">
          <x14:formula1>
            <xm:f>項目!A4:$UOO$131074</xm:f>
          </x14:formula1>
          <xm:sqref>UOX131079:UOX131102</xm:sqref>
        </x14:dataValidation>
        <x14:dataValidation type="list" allowBlank="1" showInputMessage="1" showErrorMessage="1" xr:uid="{58AE1B87-6412-4E6E-95DE-DB43E38C8D5C}">
          <x14:formula1>
            <xm:f>項目!A4:$UYK$131074</xm:f>
          </x14:formula1>
          <xm:sqref>UYT131079:UYT131102</xm:sqref>
        </x14:dataValidation>
        <x14:dataValidation type="list" allowBlank="1" showInputMessage="1" showErrorMessage="1" xr:uid="{4B9CFFD9-9C60-4E1B-A045-A65208B12B3A}">
          <x14:formula1>
            <xm:f>項目!A4:$VIG$131074</xm:f>
          </x14:formula1>
          <xm:sqref>VIP131079:VIP131102</xm:sqref>
        </x14:dataValidation>
        <x14:dataValidation type="list" allowBlank="1" showInputMessage="1" showErrorMessage="1" xr:uid="{E3E85188-3AA0-457B-B63F-234FF93BC4F1}">
          <x14:formula1>
            <xm:f>項目!A4:$VSC$131074</xm:f>
          </x14:formula1>
          <xm:sqref>VSL131079:VSL131102</xm:sqref>
        </x14:dataValidation>
        <x14:dataValidation type="list" allowBlank="1" showInputMessage="1" showErrorMessage="1" xr:uid="{11AFF3AA-EDA9-48E4-B8E8-2299189C2F99}">
          <x14:formula1>
            <xm:f>項目!A4:$WBY$131074</xm:f>
          </x14:formula1>
          <xm:sqref>WCH131079:WCH131102</xm:sqref>
        </x14:dataValidation>
        <x14:dataValidation type="list" allowBlank="1" showInputMessage="1" showErrorMessage="1" xr:uid="{A0E2DADF-BEFE-4C8C-AE72-07D99A70C882}">
          <x14:formula1>
            <xm:f>項目!A4:$WLU$131074</xm:f>
          </x14:formula1>
          <xm:sqref>WMD131079:WMD131102</xm:sqref>
        </x14:dataValidation>
        <x14:dataValidation type="list" allowBlank="1" showInputMessage="1" showErrorMessage="1" xr:uid="{9B9056B7-B921-490D-847E-54FE855EF628}">
          <x14:formula1>
            <xm:f>項目!A4:$WVQ$131074</xm:f>
          </x14:formula1>
          <xm:sqref>WVZ131079:WVZ131102</xm:sqref>
        </x14:dataValidation>
        <x14:dataValidation type="list" allowBlank="1" showInputMessage="1" showErrorMessage="1" xr:uid="{5DD30509-CD55-49AA-B504-49F5E3B030E2}">
          <x14:formula1>
            <xm:f>項目!A4:$K$196610</xm:f>
          </x14:formula1>
          <xm:sqref>R196615:R196638</xm:sqref>
        </x14:dataValidation>
        <x14:dataValidation type="list" allowBlank="1" showInputMessage="1" showErrorMessage="1" xr:uid="{BADF6CF6-DDE9-4ADE-A067-C2274D80E54D}">
          <x14:formula1>
            <xm:f>項目!A4:$JE$196610</xm:f>
          </x14:formula1>
          <xm:sqref>JN196615:JN196638</xm:sqref>
        </x14:dataValidation>
        <x14:dataValidation type="list" allowBlank="1" showInputMessage="1" showErrorMessage="1" xr:uid="{DFD2282E-4CD7-41A2-9976-A8E4A746AD80}">
          <x14:formula1>
            <xm:f>項目!A4:$TA$196610</xm:f>
          </x14:formula1>
          <xm:sqref>TJ196615:TJ196638</xm:sqref>
        </x14:dataValidation>
        <x14:dataValidation type="list" allowBlank="1" showInputMessage="1" showErrorMessage="1" xr:uid="{2612BD61-7B4B-4849-BD37-293DD1230711}">
          <x14:formula1>
            <xm:f>項目!A4:$ACW$196610</xm:f>
          </x14:formula1>
          <xm:sqref>ADF196615:ADF196638</xm:sqref>
        </x14:dataValidation>
        <x14:dataValidation type="list" allowBlank="1" showInputMessage="1" showErrorMessage="1" xr:uid="{54553147-3232-4DA2-9831-D4BA15967E40}">
          <x14:formula1>
            <xm:f>項目!A4:$AMS$196610</xm:f>
          </x14:formula1>
          <xm:sqref>ANB196615:ANB196638</xm:sqref>
        </x14:dataValidation>
        <x14:dataValidation type="list" allowBlank="1" showInputMessage="1" showErrorMessage="1" xr:uid="{B600866F-FE93-4370-A7F1-3EBA3E088707}">
          <x14:formula1>
            <xm:f>項目!A4:$AWO$196610</xm:f>
          </x14:formula1>
          <xm:sqref>AWX196615:AWX196638</xm:sqref>
        </x14:dataValidation>
        <x14:dataValidation type="list" allowBlank="1" showInputMessage="1" showErrorMessage="1" xr:uid="{1212555F-39A0-434B-9082-2328664EB878}">
          <x14:formula1>
            <xm:f>項目!A4:$BGK$196610</xm:f>
          </x14:formula1>
          <xm:sqref>BGT196615:BGT196638</xm:sqref>
        </x14:dataValidation>
        <x14:dataValidation type="list" allowBlank="1" showInputMessage="1" showErrorMessage="1" xr:uid="{11FE8E0E-12BF-4A6B-8CED-5559397D952C}">
          <x14:formula1>
            <xm:f>項目!A4:$BQG$196610</xm:f>
          </x14:formula1>
          <xm:sqref>BQP196615:BQP196638</xm:sqref>
        </x14:dataValidation>
        <x14:dataValidation type="list" allowBlank="1" showInputMessage="1" showErrorMessage="1" xr:uid="{81818DBA-1BBD-4AEE-9BA8-CDF611B5E669}">
          <x14:formula1>
            <xm:f>項目!A4:$CAC$196610</xm:f>
          </x14:formula1>
          <xm:sqref>CAL196615:CAL196638</xm:sqref>
        </x14:dataValidation>
        <x14:dataValidation type="list" allowBlank="1" showInputMessage="1" showErrorMessage="1" xr:uid="{F6B20E01-CA69-47C3-BF78-52813AB1187D}">
          <x14:formula1>
            <xm:f>項目!A4:$CJY$196610</xm:f>
          </x14:formula1>
          <xm:sqref>CKH196615:CKH196638</xm:sqref>
        </x14:dataValidation>
        <x14:dataValidation type="list" allowBlank="1" showInputMessage="1" showErrorMessage="1" xr:uid="{D932EB72-581A-4718-B2C8-47EA601002A4}">
          <x14:formula1>
            <xm:f>項目!A4:$CTU$196610</xm:f>
          </x14:formula1>
          <xm:sqref>CUD196615:CUD196638</xm:sqref>
        </x14:dataValidation>
        <x14:dataValidation type="list" allowBlank="1" showInputMessage="1" showErrorMessage="1" xr:uid="{E4C15D71-1E33-4FFE-9381-9AC72196058B}">
          <x14:formula1>
            <xm:f>項目!A4:$DDQ$196610</xm:f>
          </x14:formula1>
          <xm:sqref>DDZ196615:DDZ196638</xm:sqref>
        </x14:dataValidation>
        <x14:dataValidation type="list" allowBlank="1" showInputMessage="1" showErrorMessage="1" xr:uid="{24905A63-F4B8-41C2-93CA-2644284E901B}">
          <x14:formula1>
            <xm:f>項目!A4:$DNM$196610</xm:f>
          </x14:formula1>
          <xm:sqref>DNV196615:DNV196638</xm:sqref>
        </x14:dataValidation>
        <x14:dataValidation type="list" allowBlank="1" showInputMessage="1" showErrorMessage="1" xr:uid="{D466A5F1-00E7-4E70-A8E8-7AC81C298E74}">
          <x14:formula1>
            <xm:f>項目!A4:$DXI$196610</xm:f>
          </x14:formula1>
          <xm:sqref>DXR196615:DXR196638</xm:sqref>
        </x14:dataValidation>
        <x14:dataValidation type="list" allowBlank="1" showInputMessage="1" showErrorMessage="1" xr:uid="{9BBBAC2C-63F6-4288-8EEA-91D8BA6045A2}">
          <x14:formula1>
            <xm:f>項目!A4:$EHE$196610</xm:f>
          </x14:formula1>
          <xm:sqref>EHN196615:EHN196638</xm:sqref>
        </x14:dataValidation>
        <x14:dataValidation type="list" allowBlank="1" showInputMessage="1" showErrorMessage="1" xr:uid="{82C73153-DFB9-47A6-98CE-8C9DB7D408E5}">
          <x14:formula1>
            <xm:f>項目!A4:$ERA$196610</xm:f>
          </x14:formula1>
          <xm:sqref>ERJ196615:ERJ196638</xm:sqref>
        </x14:dataValidation>
        <x14:dataValidation type="list" allowBlank="1" showInputMessage="1" showErrorMessage="1" xr:uid="{8D1882BF-23A4-4D31-81DB-7E1B4985EC75}">
          <x14:formula1>
            <xm:f>項目!A4:$FAW$196610</xm:f>
          </x14:formula1>
          <xm:sqref>FBF196615:FBF196638</xm:sqref>
        </x14:dataValidation>
        <x14:dataValidation type="list" allowBlank="1" showInputMessage="1" showErrorMessage="1" xr:uid="{53336CBE-CBB0-418B-B7BF-8E241E159A1B}">
          <x14:formula1>
            <xm:f>項目!A4:$FKS$196610</xm:f>
          </x14:formula1>
          <xm:sqref>FLB196615:FLB196638</xm:sqref>
        </x14:dataValidation>
        <x14:dataValidation type="list" allowBlank="1" showInputMessage="1" showErrorMessage="1" xr:uid="{1DB43B5B-E4D2-42B0-BF3E-984A5607EFC6}">
          <x14:formula1>
            <xm:f>項目!A4:$FUO$196610</xm:f>
          </x14:formula1>
          <xm:sqref>FUX196615:FUX196638</xm:sqref>
        </x14:dataValidation>
        <x14:dataValidation type="list" allowBlank="1" showInputMessage="1" showErrorMessage="1" xr:uid="{A39C922C-6BA8-411A-83D3-97D03247D1E7}">
          <x14:formula1>
            <xm:f>項目!A4:$GEK$196610</xm:f>
          </x14:formula1>
          <xm:sqref>GET196615:GET196638</xm:sqref>
        </x14:dataValidation>
        <x14:dataValidation type="list" allowBlank="1" showInputMessage="1" showErrorMessage="1" xr:uid="{30092465-2693-41F5-821D-90B289C630D4}">
          <x14:formula1>
            <xm:f>項目!A4:$GOG$196610</xm:f>
          </x14:formula1>
          <xm:sqref>GOP196615:GOP196638</xm:sqref>
        </x14:dataValidation>
        <x14:dataValidation type="list" allowBlank="1" showInputMessage="1" showErrorMessage="1" xr:uid="{46DC9CEF-9504-4440-89E0-A6C49C7A6542}">
          <x14:formula1>
            <xm:f>項目!A4:$GYC$196610</xm:f>
          </x14:formula1>
          <xm:sqref>GYL196615:GYL196638</xm:sqref>
        </x14:dataValidation>
        <x14:dataValidation type="list" allowBlank="1" showInputMessage="1" showErrorMessage="1" xr:uid="{24E829D6-20B7-4288-A1AB-D221D7BEBCE5}">
          <x14:formula1>
            <xm:f>項目!A4:$HHY$196610</xm:f>
          </x14:formula1>
          <xm:sqref>HIH196615:HIH196638</xm:sqref>
        </x14:dataValidation>
        <x14:dataValidation type="list" allowBlank="1" showInputMessage="1" showErrorMessage="1" xr:uid="{1E95FFAE-F313-4494-B447-95C96857D757}">
          <x14:formula1>
            <xm:f>項目!A4:$HRU$196610</xm:f>
          </x14:formula1>
          <xm:sqref>HSD196615:HSD196638</xm:sqref>
        </x14:dataValidation>
        <x14:dataValidation type="list" allowBlank="1" showInputMessage="1" showErrorMessage="1" xr:uid="{4E295FCA-16BF-4399-88C3-C80D862597E3}">
          <x14:formula1>
            <xm:f>項目!A4:$IBQ$196610</xm:f>
          </x14:formula1>
          <xm:sqref>IBZ196615:IBZ196638</xm:sqref>
        </x14:dataValidation>
        <x14:dataValidation type="list" allowBlank="1" showInputMessage="1" showErrorMessage="1" xr:uid="{39B1C03E-F8A6-486B-9400-EA90A20CF321}">
          <x14:formula1>
            <xm:f>項目!A4:$ILM$196610</xm:f>
          </x14:formula1>
          <xm:sqref>ILV196615:ILV196638</xm:sqref>
        </x14:dataValidation>
        <x14:dataValidation type="list" allowBlank="1" showInputMessage="1" showErrorMessage="1" xr:uid="{334B7CF8-5265-4445-891D-FB2D568C1EA7}">
          <x14:formula1>
            <xm:f>項目!A4:$IVI$196610</xm:f>
          </x14:formula1>
          <xm:sqref>IVR196615:IVR196638</xm:sqref>
        </x14:dataValidation>
        <x14:dataValidation type="list" allowBlank="1" showInputMessage="1" showErrorMessage="1" xr:uid="{FFAAE883-519E-4157-99F7-4EC1276917E3}">
          <x14:formula1>
            <xm:f>項目!A4:$JFE$196610</xm:f>
          </x14:formula1>
          <xm:sqref>JFN196615:JFN196638</xm:sqref>
        </x14:dataValidation>
        <x14:dataValidation type="list" allowBlank="1" showInputMessage="1" showErrorMessage="1" xr:uid="{8BA4C9E4-7F53-44EB-9BB8-FCAA4904C751}">
          <x14:formula1>
            <xm:f>項目!A4:$JPA$196610</xm:f>
          </x14:formula1>
          <xm:sqref>JPJ196615:JPJ196638</xm:sqref>
        </x14:dataValidation>
        <x14:dataValidation type="list" allowBlank="1" showInputMessage="1" showErrorMessage="1" xr:uid="{49BBC552-EDFA-44F9-941A-E9EC5B200856}">
          <x14:formula1>
            <xm:f>項目!A4:$JYW$196610</xm:f>
          </x14:formula1>
          <xm:sqref>JZF196615:JZF196638</xm:sqref>
        </x14:dataValidation>
        <x14:dataValidation type="list" allowBlank="1" showInputMessage="1" showErrorMessage="1" xr:uid="{32257F6B-11C8-4D24-ABAF-8974E87F3994}">
          <x14:formula1>
            <xm:f>項目!A4:$KIS$196610</xm:f>
          </x14:formula1>
          <xm:sqref>KJB196615:KJB196638</xm:sqref>
        </x14:dataValidation>
        <x14:dataValidation type="list" allowBlank="1" showInputMessage="1" showErrorMessage="1" xr:uid="{FB46D2F2-97AF-4AA5-A134-442A73592AD0}">
          <x14:formula1>
            <xm:f>項目!A4:$KSO$196610</xm:f>
          </x14:formula1>
          <xm:sqref>KSX196615:KSX196638</xm:sqref>
        </x14:dataValidation>
        <x14:dataValidation type="list" allowBlank="1" showInputMessage="1" showErrorMessage="1" xr:uid="{DA6930D5-C3E9-4D59-917F-E3914D87B59C}">
          <x14:formula1>
            <xm:f>項目!A4:$LCK$196610</xm:f>
          </x14:formula1>
          <xm:sqref>LCT196615:LCT196638</xm:sqref>
        </x14:dataValidation>
        <x14:dataValidation type="list" allowBlank="1" showInputMessage="1" showErrorMessage="1" xr:uid="{B2A6A035-FE68-42BF-B35D-DE6DEC168799}">
          <x14:formula1>
            <xm:f>項目!A4:$LMG$196610</xm:f>
          </x14:formula1>
          <xm:sqref>LMP196615:LMP196638</xm:sqref>
        </x14:dataValidation>
        <x14:dataValidation type="list" allowBlank="1" showInputMessage="1" showErrorMessage="1" xr:uid="{DF8E9D43-4661-41D2-852C-0CDB095E4EFA}">
          <x14:formula1>
            <xm:f>項目!A4:$LWC$196610</xm:f>
          </x14:formula1>
          <xm:sqref>LWL196615:LWL196638</xm:sqref>
        </x14:dataValidation>
        <x14:dataValidation type="list" allowBlank="1" showInputMessage="1" showErrorMessage="1" xr:uid="{70DA9D30-F2F6-42F9-A2CA-1235053A25FD}">
          <x14:formula1>
            <xm:f>項目!A4:$MFY$196610</xm:f>
          </x14:formula1>
          <xm:sqref>MGH196615:MGH196638</xm:sqref>
        </x14:dataValidation>
        <x14:dataValidation type="list" allowBlank="1" showInputMessage="1" showErrorMessage="1" xr:uid="{32E77A37-385C-440A-9DF9-93A3A837D3F9}">
          <x14:formula1>
            <xm:f>項目!A4:$MPU$196610</xm:f>
          </x14:formula1>
          <xm:sqref>MQD196615:MQD196638</xm:sqref>
        </x14:dataValidation>
        <x14:dataValidation type="list" allowBlank="1" showInputMessage="1" showErrorMessage="1" xr:uid="{41788BE6-E190-42B3-A78B-F49D07DFEF8A}">
          <x14:formula1>
            <xm:f>項目!A4:$MZQ$196610</xm:f>
          </x14:formula1>
          <xm:sqref>MZZ196615:MZZ196638</xm:sqref>
        </x14:dataValidation>
        <x14:dataValidation type="list" allowBlank="1" showInputMessage="1" showErrorMessage="1" xr:uid="{F64016CD-A0FC-4E0A-ACC1-4EE416B4CB1A}">
          <x14:formula1>
            <xm:f>項目!A4:$NJM$196610</xm:f>
          </x14:formula1>
          <xm:sqref>NJV196615:NJV196638</xm:sqref>
        </x14:dataValidation>
        <x14:dataValidation type="list" allowBlank="1" showInputMessage="1" showErrorMessage="1" xr:uid="{C3C25CA8-01C7-4A48-9ACA-555760D0C190}">
          <x14:formula1>
            <xm:f>項目!A4:$NTI$196610</xm:f>
          </x14:formula1>
          <xm:sqref>NTR196615:NTR196638</xm:sqref>
        </x14:dataValidation>
        <x14:dataValidation type="list" allowBlank="1" showInputMessage="1" showErrorMessage="1" xr:uid="{41B52D7E-C9C3-4E84-B690-1B3E1E5D99DC}">
          <x14:formula1>
            <xm:f>項目!A4:$ODE$196610</xm:f>
          </x14:formula1>
          <xm:sqref>ODN196615:ODN196638</xm:sqref>
        </x14:dataValidation>
        <x14:dataValidation type="list" allowBlank="1" showInputMessage="1" showErrorMessage="1" xr:uid="{99DD3615-3D54-46C3-A77E-53D1E130F79A}">
          <x14:formula1>
            <xm:f>項目!A4:$ONA$196610</xm:f>
          </x14:formula1>
          <xm:sqref>ONJ196615:ONJ196638</xm:sqref>
        </x14:dataValidation>
        <x14:dataValidation type="list" allowBlank="1" showInputMessage="1" showErrorMessage="1" xr:uid="{19E67A59-1905-4188-A279-A3B161D525B1}">
          <x14:formula1>
            <xm:f>項目!A4:$OWW$196610</xm:f>
          </x14:formula1>
          <xm:sqref>OXF196615:OXF196638</xm:sqref>
        </x14:dataValidation>
        <x14:dataValidation type="list" allowBlank="1" showInputMessage="1" showErrorMessage="1" xr:uid="{0E258EFB-5430-4620-82EA-6C080297D493}">
          <x14:formula1>
            <xm:f>項目!A4:$PGS$196610</xm:f>
          </x14:formula1>
          <xm:sqref>PHB196615:PHB196638</xm:sqref>
        </x14:dataValidation>
        <x14:dataValidation type="list" allowBlank="1" showInputMessage="1" showErrorMessage="1" xr:uid="{EFCE5DDA-79B1-4B8F-8773-2FA79861CC3E}">
          <x14:formula1>
            <xm:f>項目!A4:$PQO$196610</xm:f>
          </x14:formula1>
          <xm:sqref>PQX196615:PQX196638</xm:sqref>
        </x14:dataValidation>
        <x14:dataValidation type="list" allowBlank="1" showInputMessage="1" showErrorMessage="1" xr:uid="{B1D54707-3298-419A-9F0B-D7D8FCC43675}">
          <x14:formula1>
            <xm:f>項目!A4:$QAK$196610</xm:f>
          </x14:formula1>
          <xm:sqref>QAT196615:QAT196638</xm:sqref>
        </x14:dataValidation>
        <x14:dataValidation type="list" allowBlank="1" showInputMessage="1" showErrorMessage="1" xr:uid="{BA4472CC-D01D-4EE2-8B75-16CCF263EECE}">
          <x14:formula1>
            <xm:f>項目!A4:$QKG$196610</xm:f>
          </x14:formula1>
          <xm:sqref>QKP196615:QKP196638</xm:sqref>
        </x14:dataValidation>
        <x14:dataValidation type="list" allowBlank="1" showInputMessage="1" showErrorMessage="1" xr:uid="{F10962D8-2098-430B-B538-0FAACD7E2C9E}">
          <x14:formula1>
            <xm:f>項目!A4:$QUC$196610</xm:f>
          </x14:formula1>
          <xm:sqref>QUL196615:QUL196638</xm:sqref>
        </x14:dataValidation>
        <x14:dataValidation type="list" allowBlank="1" showInputMessage="1" showErrorMessage="1" xr:uid="{6B8660AC-D813-4607-8902-DCBE01A82181}">
          <x14:formula1>
            <xm:f>項目!A4:$RDY$196610</xm:f>
          </x14:formula1>
          <xm:sqref>REH196615:REH196638</xm:sqref>
        </x14:dataValidation>
        <x14:dataValidation type="list" allowBlank="1" showInputMessage="1" showErrorMessage="1" xr:uid="{62C616D3-B64A-45EC-A6DB-6E6A38D7507A}">
          <x14:formula1>
            <xm:f>項目!A4:$RNU$196610</xm:f>
          </x14:formula1>
          <xm:sqref>ROD196615:ROD196638</xm:sqref>
        </x14:dataValidation>
        <x14:dataValidation type="list" allowBlank="1" showInputMessage="1" showErrorMessage="1" xr:uid="{9F310144-DC1A-4ADC-9CDB-FDEF9E4AF295}">
          <x14:formula1>
            <xm:f>項目!A4:$RXQ$196610</xm:f>
          </x14:formula1>
          <xm:sqref>RXZ196615:RXZ196638</xm:sqref>
        </x14:dataValidation>
        <x14:dataValidation type="list" allowBlank="1" showInputMessage="1" showErrorMessage="1" xr:uid="{591FF878-3B57-4408-B900-075E679E5543}">
          <x14:formula1>
            <xm:f>項目!A4:$SHM$196610</xm:f>
          </x14:formula1>
          <xm:sqref>SHV196615:SHV196638</xm:sqref>
        </x14:dataValidation>
        <x14:dataValidation type="list" allowBlank="1" showInputMessage="1" showErrorMessage="1" xr:uid="{11C531F9-6D5F-48B5-BAEE-3EB4C4F3F39A}">
          <x14:formula1>
            <xm:f>項目!A4:$SRI$196610</xm:f>
          </x14:formula1>
          <xm:sqref>SRR196615:SRR196638</xm:sqref>
        </x14:dataValidation>
        <x14:dataValidation type="list" allowBlank="1" showInputMessage="1" showErrorMessage="1" xr:uid="{426B0593-3911-4A94-8D51-73F5060EFCF0}">
          <x14:formula1>
            <xm:f>項目!A4:$TBE$196610</xm:f>
          </x14:formula1>
          <xm:sqref>TBN196615:TBN196638</xm:sqref>
        </x14:dataValidation>
        <x14:dataValidation type="list" allowBlank="1" showInputMessage="1" showErrorMessage="1" xr:uid="{1799C3F4-909E-442F-80A3-870306F4A3E6}">
          <x14:formula1>
            <xm:f>項目!A4:$TLA$196610</xm:f>
          </x14:formula1>
          <xm:sqref>TLJ196615:TLJ196638</xm:sqref>
        </x14:dataValidation>
        <x14:dataValidation type="list" allowBlank="1" showInputMessage="1" showErrorMessage="1" xr:uid="{A265FB86-073A-469F-85C8-FB99C72987EF}">
          <x14:formula1>
            <xm:f>項目!A4:$TUW$196610</xm:f>
          </x14:formula1>
          <xm:sqref>TVF196615:TVF196638</xm:sqref>
        </x14:dataValidation>
        <x14:dataValidation type="list" allowBlank="1" showInputMessage="1" showErrorMessage="1" xr:uid="{DD6975E4-E7D2-4F92-8F85-848305767801}">
          <x14:formula1>
            <xm:f>項目!A4:$UES$196610</xm:f>
          </x14:formula1>
          <xm:sqref>UFB196615:UFB196638</xm:sqref>
        </x14:dataValidation>
        <x14:dataValidation type="list" allowBlank="1" showInputMessage="1" showErrorMessage="1" xr:uid="{C1C44720-98D9-44D4-8CDD-E2E84B4AECF4}">
          <x14:formula1>
            <xm:f>項目!A4:$UOO$196610</xm:f>
          </x14:formula1>
          <xm:sqref>UOX196615:UOX196638</xm:sqref>
        </x14:dataValidation>
        <x14:dataValidation type="list" allowBlank="1" showInputMessage="1" showErrorMessage="1" xr:uid="{468B01A2-205A-496E-AD05-FE92F2DB293B}">
          <x14:formula1>
            <xm:f>項目!A4:$UYK$196610</xm:f>
          </x14:formula1>
          <xm:sqref>UYT196615:UYT196638</xm:sqref>
        </x14:dataValidation>
        <x14:dataValidation type="list" allowBlank="1" showInputMessage="1" showErrorMessage="1" xr:uid="{CB391FFD-7B0C-4254-9B50-9F8C6F2961DF}">
          <x14:formula1>
            <xm:f>項目!A4:$VIG$196610</xm:f>
          </x14:formula1>
          <xm:sqref>VIP196615:VIP196638</xm:sqref>
        </x14:dataValidation>
        <x14:dataValidation type="list" allowBlank="1" showInputMessage="1" showErrorMessage="1" xr:uid="{D3D1703C-5230-4FAC-B98B-45DA1A4ACE79}">
          <x14:formula1>
            <xm:f>項目!A4:$VSC$196610</xm:f>
          </x14:formula1>
          <xm:sqref>VSL196615:VSL196638</xm:sqref>
        </x14:dataValidation>
        <x14:dataValidation type="list" allowBlank="1" showInputMessage="1" showErrorMessage="1" xr:uid="{9A6E8022-8977-4D59-9D55-2F1874DBCE9F}">
          <x14:formula1>
            <xm:f>項目!A4:$WBY$196610</xm:f>
          </x14:formula1>
          <xm:sqref>WCH196615:WCH196638</xm:sqref>
        </x14:dataValidation>
        <x14:dataValidation type="list" allowBlank="1" showInputMessage="1" showErrorMessage="1" xr:uid="{BC52CF3F-4F16-47CD-AAC2-3525877A511B}">
          <x14:formula1>
            <xm:f>項目!A4:$WLU$196610</xm:f>
          </x14:formula1>
          <xm:sqref>WMD196615:WMD196638</xm:sqref>
        </x14:dataValidation>
        <x14:dataValidation type="list" allowBlank="1" showInputMessage="1" showErrorMessage="1" xr:uid="{DDEF7E0A-9D5B-4BC5-8610-D18B2ED94D5B}">
          <x14:formula1>
            <xm:f>項目!A4:$WVQ$196610</xm:f>
          </x14:formula1>
          <xm:sqref>WVZ196615:WVZ196638</xm:sqref>
        </x14:dataValidation>
        <x14:dataValidation type="list" allowBlank="1" showInputMessage="1" showErrorMessage="1" xr:uid="{42B730DC-03FC-4476-BDC9-CA29BECE7DA7}">
          <x14:formula1>
            <xm:f>項目!A4:$K$262146</xm:f>
          </x14:formula1>
          <xm:sqref>R262151:R262174</xm:sqref>
        </x14:dataValidation>
        <x14:dataValidation type="list" allowBlank="1" showInputMessage="1" showErrorMessage="1" xr:uid="{5FEA1AC4-24D7-479A-96CB-B78BE48F47FD}">
          <x14:formula1>
            <xm:f>項目!A4:$JE$262146</xm:f>
          </x14:formula1>
          <xm:sqref>JN262151:JN262174</xm:sqref>
        </x14:dataValidation>
        <x14:dataValidation type="list" allowBlank="1" showInputMessage="1" showErrorMessage="1" xr:uid="{44039F03-121C-4CA4-8730-4A28B748830B}">
          <x14:formula1>
            <xm:f>項目!A4:$TA$262146</xm:f>
          </x14:formula1>
          <xm:sqref>TJ262151:TJ262174</xm:sqref>
        </x14:dataValidation>
        <x14:dataValidation type="list" allowBlank="1" showInputMessage="1" showErrorMessage="1" xr:uid="{B1A041FE-6088-4140-A6C2-3C8E499F9BEC}">
          <x14:formula1>
            <xm:f>項目!A4:$ACW$262146</xm:f>
          </x14:formula1>
          <xm:sqref>ADF262151:ADF262174</xm:sqref>
        </x14:dataValidation>
        <x14:dataValidation type="list" allowBlank="1" showInputMessage="1" showErrorMessage="1" xr:uid="{3D1264CE-31E9-44FE-ADEF-1EAC29D10034}">
          <x14:formula1>
            <xm:f>項目!A4:$AMS$262146</xm:f>
          </x14:formula1>
          <xm:sqref>ANB262151:ANB262174</xm:sqref>
        </x14:dataValidation>
        <x14:dataValidation type="list" allowBlank="1" showInputMessage="1" showErrorMessage="1" xr:uid="{82D522C0-1CDF-4DBB-9CEF-201BFEC97238}">
          <x14:formula1>
            <xm:f>項目!A4:$AWO$262146</xm:f>
          </x14:formula1>
          <xm:sqref>AWX262151:AWX262174</xm:sqref>
        </x14:dataValidation>
        <x14:dataValidation type="list" allowBlank="1" showInputMessage="1" showErrorMessage="1" xr:uid="{6FEC9B3E-5CED-43ED-9B5F-49B63411260E}">
          <x14:formula1>
            <xm:f>項目!A4:$BGK$262146</xm:f>
          </x14:formula1>
          <xm:sqref>BGT262151:BGT262174</xm:sqref>
        </x14:dataValidation>
        <x14:dataValidation type="list" allowBlank="1" showInputMessage="1" showErrorMessage="1" xr:uid="{ABBBF6C2-4CF2-4E0F-A1B9-088E90ECB765}">
          <x14:formula1>
            <xm:f>項目!A4:$BQG$262146</xm:f>
          </x14:formula1>
          <xm:sqref>BQP262151:BQP262174</xm:sqref>
        </x14:dataValidation>
        <x14:dataValidation type="list" allowBlank="1" showInputMessage="1" showErrorMessage="1" xr:uid="{D0661600-542D-42A5-9492-B011A7211331}">
          <x14:formula1>
            <xm:f>項目!A4:$CAC$262146</xm:f>
          </x14:formula1>
          <xm:sqref>CAL262151:CAL262174</xm:sqref>
        </x14:dataValidation>
        <x14:dataValidation type="list" allowBlank="1" showInputMessage="1" showErrorMessage="1" xr:uid="{9BB04DD6-3B9E-42A0-9E8D-BF09C1D1E252}">
          <x14:formula1>
            <xm:f>項目!A4:$CJY$262146</xm:f>
          </x14:formula1>
          <xm:sqref>CKH262151:CKH262174</xm:sqref>
        </x14:dataValidation>
        <x14:dataValidation type="list" allowBlank="1" showInputMessage="1" showErrorMessage="1" xr:uid="{F55A9992-E907-45B9-B3A3-A00C983A1024}">
          <x14:formula1>
            <xm:f>項目!A4:$CTU$262146</xm:f>
          </x14:formula1>
          <xm:sqref>CUD262151:CUD262174</xm:sqref>
        </x14:dataValidation>
        <x14:dataValidation type="list" allowBlank="1" showInputMessage="1" showErrorMessage="1" xr:uid="{085CB7D2-D122-4425-9A2A-165D9B8172D6}">
          <x14:formula1>
            <xm:f>項目!A4:$DDQ$262146</xm:f>
          </x14:formula1>
          <xm:sqref>DDZ262151:DDZ262174</xm:sqref>
        </x14:dataValidation>
        <x14:dataValidation type="list" allowBlank="1" showInputMessage="1" showErrorMessage="1" xr:uid="{46ABCDE0-D587-484C-95CF-1622B46C8543}">
          <x14:formula1>
            <xm:f>項目!A4:$DNM$262146</xm:f>
          </x14:formula1>
          <xm:sqref>DNV262151:DNV262174</xm:sqref>
        </x14:dataValidation>
        <x14:dataValidation type="list" allowBlank="1" showInputMessage="1" showErrorMessage="1" xr:uid="{012A2D21-24B1-42E6-A1BF-F331B539D7FB}">
          <x14:formula1>
            <xm:f>項目!A4:$DXI$262146</xm:f>
          </x14:formula1>
          <xm:sqref>DXR262151:DXR262174</xm:sqref>
        </x14:dataValidation>
        <x14:dataValidation type="list" allowBlank="1" showInputMessage="1" showErrorMessage="1" xr:uid="{91465593-EE6C-4117-ADB6-3A60D8EDD663}">
          <x14:formula1>
            <xm:f>項目!A4:$EHE$262146</xm:f>
          </x14:formula1>
          <xm:sqref>EHN262151:EHN262174</xm:sqref>
        </x14:dataValidation>
        <x14:dataValidation type="list" allowBlank="1" showInputMessage="1" showErrorMessage="1" xr:uid="{EC670199-5307-466D-92FC-577C56CA73B1}">
          <x14:formula1>
            <xm:f>項目!A4:$ERA$262146</xm:f>
          </x14:formula1>
          <xm:sqref>ERJ262151:ERJ262174</xm:sqref>
        </x14:dataValidation>
        <x14:dataValidation type="list" allowBlank="1" showInputMessage="1" showErrorMessage="1" xr:uid="{FC10D0B5-0352-49C8-8265-B41D7319CDBF}">
          <x14:formula1>
            <xm:f>項目!A4:$FAW$262146</xm:f>
          </x14:formula1>
          <xm:sqref>FBF262151:FBF262174</xm:sqref>
        </x14:dataValidation>
        <x14:dataValidation type="list" allowBlank="1" showInputMessage="1" showErrorMessage="1" xr:uid="{C8892708-1A84-4D6F-9525-0B41390AEFB1}">
          <x14:formula1>
            <xm:f>項目!A4:$FKS$262146</xm:f>
          </x14:formula1>
          <xm:sqref>FLB262151:FLB262174</xm:sqref>
        </x14:dataValidation>
        <x14:dataValidation type="list" allowBlank="1" showInputMessage="1" showErrorMessage="1" xr:uid="{3D87A3EC-F8B8-4343-9AD2-4D4ECE39B11D}">
          <x14:formula1>
            <xm:f>項目!A4:$FUO$262146</xm:f>
          </x14:formula1>
          <xm:sqref>FUX262151:FUX262174</xm:sqref>
        </x14:dataValidation>
        <x14:dataValidation type="list" allowBlank="1" showInputMessage="1" showErrorMessage="1" xr:uid="{9A9D5D7F-DBA0-445F-9994-9944C5A57115}">
          <x14:formula1>
            <xm:f>項目!A4:$GEK$262146</xm:f>
          </x14:formula1>
          <xm:sqref>GET262151:GET262174</xm:sqref>
        </x14:dataValidation>
        <x14:dataValidation type="list" allowBlank="1" showInputMessage="1" showErrorMessage="1" xr:uid="{DC9DFE61-EA20-4FAE-AFC9-DC2B2AED5F89}">
          <x14:formula1>
            <xm:f>項目!A4:$GOG$262146</xm:f>
          </x14:formula1>
          <xm:sqref>GOP262151:GOP262174</xm:sqref>
        </x14:dataValidation>
        <x14:dataValidation type="list" allowBlank="1" showInputMessage="1" showErrorMessage="1" xr:uid="{3561D913-2919-491F-88B0-334929692DE0}">
          <x14:formula1>
            <xm:f>項目!A4:$GYC$262146</xm:f>
          </x14:formula1>
          <xm:sqref>GYL262151:GYL262174</xm:sqref>
        </x14:dataValidation>
        <x14:dataValidation type="list" allowBlank="1" showInputMessage="1" showErrorMessage="1" xr:uid="{679FB23B-629A-4E7A-9C13-35C1CE5F74A7}">
          <x14:formula1>
            <xm:f>項目!A4:$HHY$262146</xm:f>
          </x14:formula1>
          <xm:sqref>HIH262151:HIH262174</xm:sqref>
        </x14:dataValidation>
        <x14:dataValidation type="list" allowBlank="1" showInputMessage="1" showErrorMessage="1" xr:uid="{2027BB0C-0B85-4F35-B60C-F380498EC277}">
          <x14:formula1>
            <xm:f>項目!A4:$HRU$262146</xm:f>
          </x14:formula1>
          <xm:sqref>HSD262151:HSD262174</xm:sqref>
        </x14:dataValidation>
        <x14:dataValidation type="list" allowBlank="1" showInputMessage="1" showErrorMessage="1" xr:uid="{8FA586A1-E123-4952-BCC2-709EBB1253C1}">
          <x14:formula1>
            <xm:f>項目!A4:$IBQ$262146</xm:f>
          </x14:formula1>
          <xm:sqref>IBZ262151:IBZ262174</xm:sqref>
        </x14:dataValidation>
        <x14:dataValidation type="list" allowBlank="1" showInputMessage="1" showErrorMessage="1" xr:uid="{A88CCAD6-EF13-4109-B4B2-67B4595F6B7D}">
          <x14:formula1>
            <xm:f>項目!A4:$ILM$262146</xm:f>
          </x14:formula1>
          <xm:sqref>ILV262151:ILV262174</xm:sqref>
        </x14:dataValidation>
        <x14:dataValidation type="list" allowBlank="1" showInputMessage="1" showErrorMessage="1" xr:uid="{E5E37C43-C472-4AB3-A302-27A12610734B}">
          <x14:formula1>
            <xm:f>項目!A4:$IVI$262146</xm:f>
          </x14:formula1>
          <xm:sqref>IVR262151:IVR262174</xm:sqref>
        </x14:dataValidation>
        <x14:dataValidation type="list" allowBlank="1" showInputMessage="1" showErrorMessage="1" xr:uid="{B90A8433-61D6-4BE9-95F5-F93F88CA74D9}">
          <x14:formula1>
            <xm:f>項目!A4:$JFE$262146</xm:f>
          </x14:formula1>
          <xm:sqref>JFN262151:JFN262174</xm:sqref>
        </x14:dataValidation>
        <x14:dataValidation type="list" allowBlank="1" showInputMessage="1" showErrorMessage="1" xr:uid="{D149C6A8-D89A-4684-BC0C-E49C4FA36BE6}">
          <x14:formula1>
            <xm:f>項目!A4:$JPA$262146</xm:f>
          </x14:formula1>
          <xm:sqref>JPJ262151:JPJ262174</xm:sqref>
        </x14:dataValidation>
        <x14:dataValidation type="list" allowBlank="1" showInputMessage="1" showErrorMessage="1" xr:uid="{B2477715-4470-4E47-BA4F-9C1442B2CA28}">
          <x14:formula1>
            <xm:f>項目!A4:$JYW$262146</xm:f>
          </x14:formula1>
          <xm:sqref>JZF262151:JZF262174</xm:sqref>
        </x14:dataValidation>
        <x14:dataValidation type="list" allowBlank="1" showInputMessage="1" showErrorMessage="1" xr:uid="{9DB6F8ED-307A-431B-9133-92D237BF0903}">
          <x14:formula1>
            <xm:f>項目!A4:$KIS$262146</xm:f>
          </x14:formula1>
          <xm:sqref>KJB262151:KJB262174</xm:sqref>
        </x14:dataValidation>
        <x14:dataValidation type="list" allowBlank="1" showInputMessage="1" showErrorMessage="1" xr:uid="{B974C68F-EC23-450E-910A-34CFDB4E3A3A}">
          <x14:formula1>
            <xm:f>項目!A4:$KSO$262146</xm:f>
          </x14:formula1>
          <xm:sqref>KSX262151:KSX262174</xm:sqref>
        </x14:dataValidation>
        <x14:dataValidation type="list" allowBlank="1" showInputMessage="1" showErrorMessage="1" xr:uid="{4AE41E83-EA16-45CD-973F-40D2765C3487}">
          <x14:formula1>
            <xm:f>項目!A4:$LCK$262146</xm:f>
          </x14:formula1>
          <xm:sqref>LCT262151:LCT262174</xm:sqref>
        </x14:dataValidation>
        <x14:dataValidation type="list" allowBlank="1" showInputMessage="1" showErrorMessage="1" xr:uid="{83DB8937-B118-4C7F-A7CB-6933035BF32F}">
          <x14:formula1>
            <xm:f>項目!A4:$LMG$262146</xm:f>
          </x14:formula1>
          <xm:sqref>LMP262151:LMP262174</xm:sqref>
        </x14:dataValidation>
        <x14:dataValidation type="list" allowBlank="1" showInputMessage="1" showErrorMessage="1" xr:uid="{B38533CF-C45F-40FA-A9D4-3EE521C55E17}">
          <x14:formula1>
            <xm:f>項目!A4:$LWC$262146</xm:f>
          </x14:formula1>
          <xm:sqref>LWL262151:LWL262174</xm:sqref>
        </x14:dataValidation>
        <x14:dataValidation type="list" allowBlank="1" showInputMessage="1" showErrorMessage="1" xr:uid="{32BFDAD0-6975-4C16-B81E-DC230D22081D}">
          <x14:formula1>
            <xm:f>項目!A4:$MFY$262146</xm:f>
          </x14:formula1>
          <xm:sqref>MGH262151:MGH262174</xm:sqref>
        </x14:dataValidation>
        <x14:dataValidation type="list" allowBlank="1" showInputMessage="1" showErrorMessage="1" xr:uid="{B960284A-131E-4CFB-85C1-7EEE74BFF60A}">
          <x14:formula1>
            <xm:f>項目!A4:$MPU$262146</xm:f>
          </x14:formula1>
          <xm:sqref>MQD262151:MQD262174</xm:sqref>
        </x14:dataValidation>
        <x14:dataValidation type="list" allowBlank="1" showInputMessage="1" showErrorMessage="1" xr:uid="{C95963BC-2166-4C82-9ADD-0F96C4080681}">
          <x14:formula1>
            <xm:f>項目!A4:$MZQ$262146</xm:f>
          </x14:formula1>
          <xm:sqref>MZZ262151:MZZ262174</xm:sqref>
        </x14:dataValidation>
        <x14:dataValidation type="list" allowBlank="1" showInputMessage="1" showErrorMessage="1" xr:uid="{61B2F13B-D60D-4617-B05D-E767F15B0020}">
          <x14:formula1>
            <xm:f>項目!A4:$NJM$262146</xm:f>
          </x14:formula1>
          <xm:sqref>NJV262151:NJV262174</xm:sqref>
        </x14:dataValidation>
        <x14:dataValidation type="list" allowBlank="1" showInputMessage="1" showErrorMessage="1" xr:uid="{8CCAFD8A-A4BF-4974-8F90-AD6D487E2CF3}">
          <x14:formula1>
            <xm:f>項目!A4:$NTI$262146</xm:f>
          </x14:formula1>
          <xm:sqref>NTR262151:NTR262174</xm:sqref>
        </x14:dataValidation>
        <x14:dataValidation type="list" allowBlank="1" showInputMessage="1" showErrorMessage="1" xr:uid="{1B31CA26-1FD4-4FE6-85F4-B274A60C4317}">
          <x14:formula1>
            <xm:f>項目!A4:$ODE$262146</xm:f>
          </x14:formula1>
          <xm:sqref>ODN262151:ODN262174</xm:sqref>
        </x14:dataValidation>
        <x14:dataValidation type="list" allowBlank="1" showInputMessage="1" showErrorMessage="1" xr:uid="{6A21F015-2F3B-4463-8C12-11A4150E8F06}">
          <x14:formula1>
            <xm:f>項目!A4:$ONA$262146</xm:f>
          </x14:formula1>
          <xm:sqref>ONJ262151:ONJ262174</xm:sqref>
        </x14:dataValidation>
        <x14:dataValidation type="list" allowBlank="1" showInputMessage="1" showErrorMessage="1" xr:uid="{BE396D9C-7E70-49E3-B77B-21E7C91BAC70}">
          <x14:formula1>
            <xm:f>項目!A4:$OWW$262146</xm:f>
          </x14:formula1>
          <xm:sqref>OXF262151:OXF262174</xm:sqref>
        </x14:dataValidation>
        <x14:dataValidation type="list" allowBlank="1" showInputMessage="1" showErrorMessage="1" xr:uid="{3B836DBC-150D-460B-8351-45A6742D66AB}">
          <x14:formula1>
            <xm:f>項目!A4:$PGS$262146</xm:f>
          </x14:formula1>
          <xm:sqref>PHB262151:PHB262174</xm:sqref>
        </x14:dataValidation>
        <x14:dataValidation type="list" allowBlank="1" showInputMessage="1" showErrorMessage="1" xr:uid="{C89321C1-5250-4B05-A02B-4FD3957EB020}">
          <x14:formula1>
            <xm:f>項目!A4:$PQO$262146</xm:f>
          </x14:formula1>
          <xm:sqref>PQX262151:PQX262174</xm:sqref>
        </x14:dataValidation>
        <x14:dataValidation type="list" allowBlank="1" showInputMessage="1" showErrorMessage="1" xr:uid="{5B582AF7-DE40-4025-B502-28F221208197}">
          <x14:formula1>
            <xm:f>項目!A4:$QAK$262146</xm:f>
          </x14:formula1>
          <xm:sqref>QAT262151:QAT262174</xm:sqref>
        </x14:dataValidation>
        <x14:dataValidation type="list" allowBlank="1" showInputMessage="1" showErrorMessage="1" xr:uid="{B12F08F9-0F77-4166-8BF5-DC4C37F37503}">
          <x14:formula1>
            <xm:f>項目!A4:$QKG$262146</xm:f>
          </x14:formula1>
          <xm:sqref>QKP262151:QKP262174</xm:sqref>
        </x14:dataValidation>
        <x14:dataValidation type="list" allowBlank="1" showInputMessage="1" showErrorMessage="1" xr:uid="{56040C45-BA7C-4B3A-AD52-5C62A4481F74}">
          <x14:formula1>
            <xm:f>項目!A4:$QUC$262146</xm:f>
          </x14:formula1>
          <xm:sqref>QUL262151:QUL262174</xm:sqref>
        </x14:dataValidation>
        <x14:dataValidation type="list" allowBlank="1" showInputMessage="1" showErrorMessage="1" xr:uid="{5AF86C93-EEEA-4585-973B-7210531C675B}">
          <x14:formula1>
            <xm:f>項目!A4:$RDY$262146</xm:f>
          </x14:formula1>
          <xm:sqref>REH262151:REH262174</xm:sqref>
        </x14:dataValidation>
        <x14:dataValidation type="list" allowBlank="1" showInputMessage="1" showErrorMessage="1" xr:uid="{DBFB1938-3F59-40CB-A1AB-2ACC9DE0D266}">
          <x14:formula1>
            <xm:f>項目!A4:$RNU$262146</xm:f>
          </x14:formula1>
          <xm:sqref>ROD262151:ROD262174</xm:sqref>
        </x14:dataValidation>
        <x14:dataValidation type="list" allowBlank="1" showInputMessage="1" showErrorMessage="1" xr:uid="{A2FFBBF6-4AD1-48FD-B34F-4FEFE7422D3E}">
          <x14:formula1>
            <xm:f>項目!A4:$RXQ$262146</xm:f>
          </x14:formula1>
          <xm:sqref>RXZ262151:RXZ262174</xm:sqref>
        </x14:dataValidation>
        <x14:dataValidation type="list" allowBlank="1" showInputMessage="1" showErrorMessage="1" xr:uid="{4E758375-B6CE-40B1-9C92-9B44E554FB89}">
          <x14:formula1>
            <xm:f>項目!A4:$SHM$262146</xm:f>
          </x14:formula1>
          <xm:sqref>SHV262151:SHV262174</xm:sqref>
        </x14:dataValidation>
        <x14:dataValidation type="list" allowBlank="1" showInputMessage="1" showErrorMessage="1" xr:uid="{F885D164-F47C-42D7-B24A-E99B29F5CA9B}">
          <x14:formula1>
            <xm:f>項目!A4:$SRI$262146</xm:f>
          </x14:formula1>
          <xm:sqref>SRR262151:SRR262174</xm:sqref>
        </x14:dataValidation>
        <x14:dataValidation type="list" allowBlank="1" showInputMessage="1" showErrorMessage="1" xr:uid="{6462DE80-A5AB-4618-B854-A8746F287E6E}">
          <x14:formula1>
            <xm:f>項目!A4:$TBE$262146</xm:f>
          </x14:formula1>
          <xm:sqref>TBN262151:TBN262174</xm:sqref>
        </x14:dataValidation>
        <x14:dataValidation type="list" allowBlank="1" showInputMessage="1" showErrorMessage="1" xr:uid="{702E547F-E93F-4922-A7CE-674B28108404}">
          <x14:formula1>
            <xm:f>項目!A4:$TLA$262146</xm:f>
          </x14:formula1>
          <xm:sqref>TLJ262151:TLJ262174</xm:sqref>
        </x14:dataValidation>
        <x14:dataValidation type="list" allowBlank="1" showInputMessage="1" showErrorMessage="1" xr:uid="{AC544A12-9612-4B1D-BFF1-752AE55B0C77}">
          <x14:formula1>
            <xm:f>項目!A4:$TUW$262146</xm:f>
          </x14:formula1>
          <xm:sqref>TVF262151:TVF262174</xm:sqref>
        </x14:dataValidation>
        <x14:dataValidation type="list" allowBlank="1" showInputMessage="1" showErrorMessage="1" xr:uid="{0EC7D384-031B-41EB-B104-D1030E72CC2A}">
          <x14:formula1>
            <xm:f>項目!A4:$UES$262146</xm:f>
          </x14:formula1>
          <xm:sqref>UFB262151:UFB262174</xm:sqref>
        </x14:dataValidation>
        <x14:dataValidation type="list" allowBlank="1" showInputMessage="1" showErrorMessage="1" xr:uid="{5112787F-09A7-45AD-B57D-A7B35F095415}">
          <x14:formula1>
            <xm:f>項目!A4:$UOO$262146</xm:f>
          </x14:formula1>
          <xm:sqref>UOX262151:UOX262174</xm:sqref>
        </x14:dataValidation>
        <x14:dataValidation type="list" allowBlank="1" showInputMessage="1" showErrorMessage="1" xr:uid="{3F498F61-75B2-4244-8CD5-1F4939924635}">
          <x14:formula1>
            <xm:f>項目!A4:$UYK$262146</xm:f>
          </x14:formula1>
          <xm:sqref>UYT262151:UYT262174</xm:sqref>
        </x14:dataValidation>
        <x14:dataValidation type="list" allowBlank="1" showInputMessage="1" showErrorMessage="1" xr:uid="{E553B848-1779-4621-9CBC-63D084F88879}">
          <x14:formula1>
            <xm:f>項目!A4:$VIG$262146</xm:f>
          </x14:formula1>
          <xm:sqref>VIP262151:VIP262174</xm:sqref>
        </x14:dataValidation>
        <x14:dataValidation type="list" allowBlank="1" showInputMessage="1" showErrorMessage="1" xr:uid="{86F88525-7754-486F-8209-F75A2B3C2AB3}">
          <x14:formula1>
            <xm:f>項目!A4:$VSC$262146</xm:f>
          </x14:formula1>
          <xm:sqref>VSL262151:VSL262174</xm:sqref>
        </x14:dataValidation>
        <x14:dataValidation type="list" allowBlank="1" showInputMessage="1" showErrorMessage="1" xr:uid="{25CB73CA-A9BF-48E6-BCF4-A648FE24A86B}">
          <x14:formula1>
            <xm:f>項目!A4:$WBY$262146</xm:f>
          </x14:formula1>
          <xm:sqref>WCH262151:WCH262174</xm:sqref>
        </x14:dataValidation>
        <x14:dataValidation type="list" allowBlank="1" showInputMessage="1" showErrorMessage="1" xr:uid="{3BE3CBAC-C325-4B07-B561-84A7DE9B3B70}">
          <x14:formula1>
            <xm:f>項目!A4:$WLU$262146</xm:f>
          </x14:formula1>
          <xm:sqref>WMD262151:WMD262174</xm:sqref>
        </x14:dataValidation>
        <x14:dataValidation type="list" allowBlank="1" showInputMessage="1" showErrorMessage="1" xr:uid="{93E83FFB-FB53-4019-A22C-4BC3183B8269}">
          <x14:formula1>
            <xm:f>項目!A4:$WVQ$262146</xm:f>
          </x14:formula1>
          <xm:sqref>WVZ262151:WVZ262174</xm:sqref>
        </x14:dataValidation>
        <x14:dataValidation type="list" allowBlank="1" showInputMessage="1" showErrorMessage="1" xr:uid="{F8A82E2B-0757-43BC-940B-D438226F13DE}">
          <x14:formula1>
            <xm:f>項目!A4:$K$327682</xm:f>
          </x14:formula1>
          <xm:sqref>R327687:R327710</xm:sqref>
        </x14:dataValidation>
        <x14:dataValidation type="list" allowBlank="1" showInputMessage="1" showErrorMessage="1" xr:uid="{86635446-F302-4725-881A-8FDEC641C932}">
          <x14:formula1>
            <xm:f>項目!A4:$JE$327682</xm:f>
          </x14:formula1>
          <xm:sqref>JN327687:JN327710</xm:sqref>
        </x14:dataValidation>
        <x14:dataValidation type="list" allowBlank="1" showInputMessage="1" showErrorMessage="1" xr:uid="{58332EE9-068B-4803-A9B2-E50C30E5BC96}">
          <x14:formula1>
            <xm:f>項目!A4:$TA$327682</xm:f>
          </x14:formula1>
          <xm:sqref>TJ327687:TJ327710</xm:sqref>
        </x14:dataValidation>
        <x14:dataValidation type="list" allowBlank="1" showInputMessage="1" showErrorMessage="1" xr:uid="{9A2A3B2A-5408-4233-94B0-13DD79701B03}">
          <x14:formula1>
            <xm:f>項目!A4:$ACW$327682</xm:f>
          </x14:formula1>
          <xm:sqref>ADF327687:ADF327710</xm:sqref>
        </x14:dataValidation>
        <x14:dataValidation type="list" allowBlank="1" showInputMessage="1" showErrorMessage="1" xr:uid="{E6639856-887B-4D67-B23C-021D85C0831A}">
          <x14:formula1>
            <xm:f>項目!A4:$AMS$327682</xm:f>
          </x14:formula1>
          <xm:sqref>ANB327687:ANB327710</xm:sqref>
        </x14:dataValidation>
        <x14:dataValidation type="list" allowBlank="1" showInputMessage="1" showErrorMessage="1" xr:uid="{82FCA0E4-0E59-4478-8029-629A4561A2AA}">
          <x14:formula1>
            <xm:f>項目!A4:$AWO$327682</xm:f>
          </x14:formula1>
          <xm:sqref>AWX327687:AWX327710</xm:sqref>
        </x14:dataValidation>
        <x14:dataValidation type="list" allowBlank="1" showInputMessage="1" showErrorMessage="1" xr:uid="{7861F141-B4E2-4BE8-85A3-7FA1A93D7C42}">
          <x14:formula1>
            <xm:f>項目!A4:$BGK$327682</xm:f>
          </x14:formula1>
          <xm:sqref>BGT327687:BGT327710</xm:sqref>
        </x14:dataValidation>
        <x14:dataValidation type="list" allowBlank="1" showInputMessage="1" showErrorMessage="1" xr:uid="{4729365E-2F43-4818-9161-743C54EB5D8F}">
          <x14:formula1>
            <xm:f>項目!A4:$BQG$327682</xm:f>
          </x14:formula1>
          <xm:sqref>BQP327687:BQP327710</xm:sqref>
        </x14:dataValidation>
        <x14:dataValidation type="list" allowBlank="1" showInputMessage="1" showErrorMessage="1" xr:uid="{4CA00998-5715-4F92-87B3-2EA75EC25950}">
          <x14:formula1>
            <xm:f>項目!A4:$CAC$327682</xm:f>
          </x14:formula1>
          <xm:sqref>CAL327687:CAL327710</xm:sqref>
        </x14:dataValidation>
        <x14:dataValidation type="list" allowBlank="1" showInputMessage="1" showErrorMessage="1" xr:uid="{3162DEA5-DF21-44C0-9277-D111E56C6D0A}">
          <x14:formula1>
            <xm:f>項目!A4:$CJY$327682</xm:f>
          </x14:formula1>
          <xm:sqref>CKH327687:CKH327710</xm:sqref>
        </x14:dataValidation>
        <x14:dataValidation type="list" allowBlank="1" showInputMessage="1" showErrorMessage="1" xr:uid="{0B1DF1CB-FB34-4C6A-8903-95236F16707F}">
          <x14:formula1>
            <xm:f>項目!A4:$CTU$327682</xm:f>
          </x14:formula1>
          <xm:sqref>CUD327687:CUD327710</xm:sqref>
        </x14:dataValidation>
        <x14:dataValidation type="list" allowBlank="1" showInputMessage="1" showErrorMessage="1" xr:uid="{5C5D848C-B3CD-4633-9CFB-A5C88DC687C3}">
          <x14:formula1>
            <xm:f>項目!A4:$DDQ$327682</xm:f>
          </x14:formula1>
          <xm:sqref>DDZ327687:DDZ327710</xm:sqref>
        </x14:dataValidation>
        <x14:dataValidation type="list" allowBlank="1" showInputMessage="1" showErrorMessage="1" xr:uid="{2CDF1612-119D-4E7C-87DE-DB39F9B93C24}">
          <x14:formula1>
            <xm:f>項目!A4:$DNM$327682</xm:f>
          </x14:formula1>
          <xm:sqref>DNV327687:DNV327710</xm:sqref>
        </x14:dataValidation>
        <x14:dataValidation type="list" allowBlank="1" showInputMessage="1" showErrorMessage="1" xr:uid="{48710AE9-1C14-4D83-B345-2CF25CE09A34}">
          <x14:formula1>
            <xm:f>項目!A4:$DXI$327682</xm:f>
          </x14:formula1>
          <xm:sqref>DXR327687:DXR327710</xm:sqref>
        </x14:dataValidation>
        <x14:dataValidation type="list" allowBlank="1" showInputMessage="1" showErrorMessage="1" xr:uid="{B518D7F4-5479-40F9-93CD-6DF3E82B5EAD}">
          <x14:formula1>
            <xm:f>項目!A4:$EHE$327682</xm:f>
          </x14:formula1>
          <xm:sqref>EHN327687:EHN327710</xm:sqref>
        </x14:dataValidation>
        <x14:dataValidation type="list" allowBlank="1" showInputMessage="1" showErrorMessage="1" xr:uid="{2340310B-E502-4566-9B6C-BA8DBAF25A6F}">
          <x14:formula1>
            <xm:f>項目!A4:$ERA$327682</xm:f>
          </x14:formula1>
          <xm:sqref>ERJ327687:ERJ327710</xm:sqref>
        </x14:dataValidation>
        <x14:dataValidation type="list" allowBlank="1" showInputMessage="1" showErrorMessage="1" xr:uid="{C5B17944-75A2-48C1-B7C2-CBB086ABBD73}">
          <x14:formula1>
            <xm:f>項目!A4:$FAW$327682</xm:f>
          </x14:formula1>
          <xm:sqref>FBF327687:FBF327710</xm:sqref>
        </x14:dataValidation>
        <x14:dataValidation type="list" allowBlank="1" showInputMessage="1" showErrorMessage="1" xr:uid="{5A299718-2502-42A5-88EA-60F69200FC51}">
          <x14:formula1>
            <xm:f>項目!A4:$FKS$327682</xm:f>
          </x14:formula1>
          <xm:sqref>FLB327687:FLB327710</xm:sqref>
        </x14:dataValidation>
        <x14:dataValidation type="list" allowBlank="1" showInputMessage="1" showErrorMessage="1" xr:uid="{2CE0888C-F256-4F12-8EFB-B03D49E27F1B}">
          <x14:formula1>
            <xm:f>項目!A4:$FUO$327682</xm:f>
          </x14:formula1>
          <xm:sqref>FUX327687:FUX327710</xm:sqref>
        </x14:dataValidation>
        <x14:dataValidation type="list" allowBlank="1" showInputMessage="1" showErrorMessage="1" xr:uid="{5F9B2ABE-7007-453C-A140-CA9A3CD88DB1}">
          <x14:formula1>
            <xm:f>項目!A4:$GEK$327682</xm:f>
          </x14:formula1>
          <xm:sqref>GET327687:GET327710</xm:sqref>
        </x14:dataValidation>
        <x14:dataValidation type="list" allowBlank="1" showInputMessage="1" showErrorMessage="1" xr:uid="{7342DC07-F21C-4A14-941E-A5C0F3008944}">
          <x14:formula1>
            <xm:f>項目!A4:$GOG$327682</xm:f>
          </x14:formula1>
          <xm:sqref>GOP327687:GOP327710</xm:sqref>
        </x14:dataValidation>
        <x14:dataValidation type="list" allowBlank="1" showInputMessage="1" showErrorMessage="1" xr:uid="{8DD50673-6FB3-4126-913E-09A409472443}">
          <x14:formula1>
            <xm:f>項目!A4:$GYC$327682</xm:f>
          </x14:formula1>
          <xm:sqref>GYL327687:GYL327710</xm:sqref>
        </x14:dataValidation>
        <x14:dataValidation type="list" allowBlank="1" showInputMessage="1" showErrorMessage="1" xr:uid="{117CDAFB-DDCC-49BB-9D85-6550F72E4A3B}">
          <x14:formula1>
            <xm:f>項目!A4:$HHY$327682</xm:f>
          </x14:formula1>
          <xm:sqref>HIH327687:HIH327710</xm:sqref>
        </x14:dataValidation>
        <x14:dataValidation type="list" allowBlank="1" showInputMessage="1" showErrorMessage="1" xr:uid="{F191B0FC-280C-4882-92DA-439FE79CED21}">
          <x14:formula1>
            <xm:f>項目!A4:$HRU$327682</xm:f>
          </x14:formula1>
          <xm:sqref>HSD327687:HSD327710</xm:sqref>
        </x14:dataValidation>
        <x14:dataValidation type="list" allowBlank="1" showInputMessage="1" showErrorMessage="1" xr:uid="{33AB5C31-9924-42AB-8FC9-2A42902FC800}">
          <x14:formula1>
            <xm:f>項目!A4:$IBQ$327682</xm:f>
          </x14:formula1>
          <xm:sqref>IBZ327687:IBZ327710</xm:sqref>
        </x14:dataValidation>
        <x14:dataValidation type="list" allowBlank="1" showInputMessage="1" showErrorMessage="1" xr:uid="{F52F9FBF-39A3-42C3-98C6-98FF4C93DB79}">
          <x14:formula1>
            <xm:f>項目!A4:$ILM$327682</xm:f>
          </x14:formula1>
          <xm:sqref>ILV327687:ILV327710</xm:sqref>
        </x14:dataValidation>
        <x14:dataValidation type="list" allowBlank="1" showInputMessage="1" showErrorMessage="1" xr:uid="{CE485CAC-CE22-4821-B182-A2FCA868C90E}">
          <x14:formula1>
            <xm:f>項目!A4:$IVI$327682</xm:f>
          </x14:formula1>
          <xm:sqref>IVR327687:IVR327710</xm:sqref>
        </x14:dataValidation>
        <x14:dataValidation type="list" allowBlank="1" showInputMessage="1" showErrorMessage="1" xr:uid="{575BADF5-708E-4175-BBC2-AC89C635F9E1}">
          <x14:formula1>
            <xm:f>項目!A4:$JFE$327682</xm:f>
          </x14:formula1>
          <xm:sqref>JFN327687:JFN327710</xm:sqref>
        </x14:dataValidation>
        <x14:dataValidation type="list" allowBlank="1" showInputMessage="1" showErrorMessage="1" xr:uid="{24147DB5-CD48-4523-8D26-D21E4F5A4149}">
          <x14:formula1>
            <xm:f>項目!A4:$JPA$327682</xm:f>
          </x14:formula1>
          <xm:sqref>JPJ327687:JPJ327710</xm:sqref>
        </x14:dataValidation>
        <x14:dataValidation type="list" allowBlank="1" showInputMessage="1" showErrorMessage="1" xr:uid="{DA698DB2-9794-4C88-9591-C94D06362A1B}">
          <x14:formula1>
            <xm:f>項目!A4:$JYW$327682</xm:f>
          </x14:formula1>
          <xm:sqref>JZF327687:JZF327710</xm:sqref>
        </x14:dataValidation>
        <x14:dataValidation type="list" allowBlank="1" showInputMessage="1" showErrorMessage="1" xr:uid="{9FF1AFF2-6FB7-4BCB-8C14-DEC6DF6EFBEE}">
          <x14:formula1>
            <xm:f>項目!A4:$KIS$327682</xm:f>
          </x14:formula1>
          <xm:sqref>KJB327687:KJB327710</xm:sqref>
        </x14:dataValidation>
        <x14:dataValidation type="list" allowBlank="1" showInputMessage="1" showErrorMessage="1" xr:uid="{69C69521-FD50-4346-91A5-A7BB7E25D275}">
          <x14:formula1>
            <xm:f>項目!A4:$KSO$327682</xm:f>
          </x14:formula1>
          <xm:sqref>KSX327687:KSX327710</xm:sqref>
        </x14:dataValidation>
        <x14:dataValidation type="list" allowBlank="1" showInputMessage="1" showErrorMessage="1" xr:uid="{9E9831F9-6883-46F1-909B-22A6179097CD}">
          <x14:formula1>
            <xm:f>項目!A4:$LCK$327682</xm:f>
          </x14:formula1>
          <xm:sqref>LCT327687:LCT327710</xm:sqref>
        </x14:dataValidation>
        <x14:dataValidation type="list" allowBlank="1" showInputMessage="1" showErrorMessage="1" xr:uid="{13775023-3A0A-4652-BDF1-475AA50842A7}">
          <x14:formula1>
            <xm:f>項目!A4:$LMG$327682</xm:f>
          </x14:formula1>
          <xm:sqref>LMP327687:LMP327710</xm:sqref>
        </x14:dataValidation>
        <x14:dataValidation type="list" allowBlank="1" showInputMessage="1" showErrorMessage="1" xr:uid="{1EBB3DE5-5538-4469-875D-2F243B87D4A7}">
          <x14:formula1>
            <xm:f>項目!A4:$LWC$327682</xm:f>
          </x14:formula1>
          <xm:sqref>LWL327687:LWL327710</xm:sqref>
        </x14:dataValidation>
        <x14:dataValidation type="list" allowBlank="1" showInputMessage="1" showErrorMessage="1" xr:uid="{D969F7E9-6A27-44AF-9283-4C691476F31E}">
          <x14:formula1>
            <xm:f>項目!A4:$MFY$327682</xm:f>
          </x14:formula1>
          <xm:sqref>MGH327687:MGH327710</xm:sqref>
        </x14:dataValidation>
        <x14:dataValidation type="list" allowBlank="1" showInputMessage="1" showErrorMessage="1" xr:uid="{A4A9D31E-BB85-4BB8-9019-5007D82E7021}">
          <x14:formula1>
            <xm:f>項目!A4:$MPU$327682</xm:f>
          </x14:formula1>
          <xm:sqref>MQD327687:MQD327710</xm:sqref>
        </x14:dataValidation>
        <x14:dataValidation type="list" allowBlank="1" showInputMessage="1" showErrorMessage="1" xr:uid="{544EEF5B-217F-43B0-8AF2-4247CF649EA6}">
          <x14:formula1>
            <xm:f>項目!A4:$MZQ$327682</xm:f>
          </x14:formula1>
          <xm:sqref>MZZ327687:MZZ327710</xm:sqref>
        </x14:dataValidation>
        <x14:dataValidation type="list" allowBlank="1" showInputMessage="1" showErrorMessage="1" xr:uid="{32D49E79-4AAB-407A-B853-D3215E2F8ECD}">
          <x14:formula1>
            <xm:f>項目!A4:$NJM$327682</xm:f>
          </x14:formula1>
          <xm:sqref>NJV327687:NJV327710</xm:sqref>
        </x14:dataValidation>
        <x14:dataValidation type="list" allowBlank="1" showInputMessage="1" showErrorMessage="1" xr:uid="{741CF31A-CC33-4402-9F57-FF75C0797827}">
          <x14:formula1>
            <xm:f>項目!A4:$NTI$327682</xm:f>
          </x14:formula1>
          <xm:sqref>NTR327687:NTR327710</xm:sqref>
        </x14:dataValidation>
        <x14:dataValidation type="list" allowBlank="1" showInputMessage="1" showErrorMessage="1" xr:uid="{36057D20-4B85-4FFD-B0CA-BCE30771E7A0}">
          <x14:formula1>
            <xm:f>項目!A4:$ODE$327682</xm:f>
          </x14:formula1>
          <xm:sqref>ODN327687:ODN327710</xm:sqref>
        </x14:dataValidation>
        <x14:dataValidation type="list" allowBlank="1" showInputMessage="1" showErrorMessage="1" xr:uid="{50D71DBF-BE37-4A36-BD6C-FEC963DCCEBE}">
          <x14:formula1>
            <xm:f>項目!A4:$ONA$327682</xm:f>
          </x14:formula1>
          <xm:sqref>ONJ327687:ONJ327710</xm:sqref>
        </x14:dataValidation>
        <x14:dataValidation type="list" allowBlank="1" showInputMessage="1" showErrorMessage="1" xr:uid="{58E050D6-36F2-4CF8-9812-B579D6B31185}">
          <x14:formula1>
            <xm:f>項目!A4:$OWW$327682</xm:f>
          </x14:formula1>
          <xm:sqref>OXF327687:OXF327710</xm:sqref>
        </x14:dataValidation>
        <x14:dataValidation type="list" allowBlank="1" showInputMessage="1" showErrorMessage="1" xr:uid="{4FBA3B9B-6BFF-4788-9A7A-5AC2F5CE1598}">
          <x14:formula1>
            <xm:f>項目!A4:$PGS$327682</xm:f>
          </x14:formula1>
          <xm:sqref>PHB327687:PHB327710</xm:sqref>
        </x14:dataValidation>
        <x14:dataValidation type="list" allowBlank="1" showInputMessage="1" showErrorMessage="1" xr:uid="{CF4DBAF0-A5E2-45EC-84FA-0C9519B177EF}">
          <x14:formula1>
            <xm:f>項目!A4:$PQO$327682</xm:f>
          </x14:formula1>
          <xm:sqref>PQX327687:PQX327710</xm:sqref>
        </x14:dataValidation>
        <x14:dataValidation type="list" allowBlank="1" showInputMessage="1" showErrorMessage="1" xr:uid="{B5CB8559-5D06-4583-B329-82E710944240}">
          <x14:formula1>
            <xm:f>項目!A4:$QAK$327682</xm:f>
          </x14:formula1>
          <xm:sqref>QAT327687:QAT327710</xm:sqref>
        </x14:dataValidation>
        <x14:dataValidation type="list" allowBlank="1" showInputMessage="1" showErrorMessage="1" xr:uid="{3EB21440-DDB7-460F-8C7D-27F66D463018}">
          <x14:formula1>
            <xm:f>項目!A4:$QKG$327682</xm:f>
          </x14:formula1>
          <xm:sqref>QKP327687:QKP327710</xm:sqref>
        </x14:dataValidation>
        <x14:dataValidation type="list" allowBlank="1" showInputMessage="1" showErrorMessage="1" xr:uid="{C28EEE4B-3294-45A1-BF37-0CAE6CE968DA}">
          <x14:formula1>
            <xm:f>項目!A4:$QUC$327682</xm:f>
          </x14:formula1>
          <xm:sqref>QUL327687:QUL327710</xm:sqref>
        </x14:dataValidation>
        <x14:dataValidation type="list" allowBlank="1" showInputMessage="1" showErrorMessage="1" xr:uid="{BF134F1F-2076-4F87-8064-4DA1BB9F9E10}">
          <x14:formula1>
            <xm:f>項目!A4:$RDY$327682</xm:f>
          </x14:formula1>
          <xm:sqref>REH327687:REH327710</xm:sqref>
        </x14:dataValidation>
        <x14:dataValidation type="list" allowBlank="1" showInputMessage="1" showErrorMessage="1" xr:uid="{0FC9F29A-E9FA-4AB7-AA55-1361F9F7DBA0}">
          <x14:formula1>
            <xm:f>項目!A4:$RNU$327682</xm:f>
          </x14:formula1>
          <xm:sqref>ROD327687:ROD327710</xm:sqref>
        </x14:dataValidation>
        <x14:dataValidation type="list" allowBlank="1" showInputMessage="1" showErrorMessage="1" xr:uid="{CB5DA171-8F77-4456-A348-459194FE38A9}">
          <x14:formula1>
            <xm:f>項目!A4:$RXQ$327682</xm:f>
          </x14:formula1>
          <xm:sqref>RXZ327687:RXZ327710</xm:sqref>
        </x14:dataValidation>
        <x14:dataValidation type="list" allowBlank="1" showInputMessage="1" showErrorMessage="1" xr:uid="{005B55CD-A367-4932-9028-B7622F852685}">
          <x14:formula1>
            <xm:f>項目!A4:$SHM$327682</xm:f>
          </x14:formula1>
          <xm:sqref>SHV327687:SHV327710</xm:sqref>
        </x14:dataValidation>
        <x14:dataValidation type="list" allowBlank="1" showInputMessage="1" showErrorMessage="1" xr:uid="{3845BCC1-96A3-4370-BE4B-A915D0E38493}">
          <x14:formula1>
            <xm:f>項目!A4:$SRI$327682</xm:f>
          </x14:formula1>
          <xm:sqref>SRR327687:SRR327710</xm:sqref>
        </x14:dataValidation>
        <x14:dataValidation type="list" allowBlank="1" showInputMessage="1" showErrorMessage="1" xr:uid="{F1071407-422B-4B52-A4C2-CED183EFE8D2}">
          <x14:formula1>
            <xm:f>項目!A4:$TBE$327682</xm:f>
          </x14:formula1>
          <xm:sqref>TBN327687:TBN327710</xm:sqref>
        </x14:dataValidation>
        <x14:dataValidation type="list" allowBlank="1" showInputMessage="1" showErrorMessage="1" xr:uid="{27ADD4F0-3AB2-421E-8EFC-30F059A09DEE}">
          <x14:formula1>
            <xm:f>項目!A4:$TLA$327682</xm:f>
          </x14:formula1>
          <xm:sqref>TLJ327687:TLJ327710</xm:sqref>
        </x14:dataValidation>
        <x14:dataValidation type="list" allowBlank="1" showInputMessage="1" showErrorMessage="1" xr:uid="{7A559659-53C3-426E-A077-EE206DDA68E7}">
          <x14:formula1>
            <xm:f>項目!A4:$TUW$327682</xm:f>
          </x14:formula1>
          <xm:sqref>TVF327687:TVF327710</xm:sqref>
        </x14:dataValidation>
        <x14:dataValidation type="list" allowBlank="1" showInputMessage="1" showErrorMessage="1" xr:uid="{58421E2B-80A4-4E3D-9E1B-32DC9D438784}">
          <x14:formula1>
            <xm:f>項目!A4:$UES$327682</xm:f>
          </x14:formula1>
          <xm:sqref>UFB327687:UFB327710</xm:sqref>
        </x14:dataValidation>
        <x14:dataValidation type="list" allowBlank="1" showInputMessage="1" showErrorMessage="1" xr:uid="{8F7EE585-4AE2-4A0B-87FB-CCC6F87E356C}">
          <x14:formula1>
            <xm:f>項目!A4:$UOO$327682</xm:f>
          </x14:formula1>
          <xm:sqref>UOX327687:UOX327710</xm:sqref>
        </x14:dataValidation>
        <x14:dataValidation type="list" allowBlank="1" showInputMessage="1" showErrorMessage="1" xr:uid="{DB81705E-0751-4851-B3AF-10521660858B}">
          <x14:formula1>
            <xm:f>項目!A4:$UYK$327682</xm:f>
          </x14:formula1>
          <xm:sqref>UYT327687:UYT327710</xm:sqref>
        </x14:dataValidation>
        <x14:dataValidation type="list" allowBlank="1" showInputMessage="1" showErrorMessage="1" xr:uid="{D89B4D3E-4DF3-4ACB-807F-41B63B6F8AD5}">
          <x14:formula1>
            <xm:f>項目!A4:$VIG$327682</xm:f>
          </x14:formula1>
          <xm:sqref>VIP327687:VIP327710</xm:sqref>
        </x14:dataValidation>
        <x14:dataValidation type="list" allowBlank="1" showInputMessage="1" showErrorMessage="1" xr:uid="{E301E7C6-EDE0-4153-B55D-D3F1E376AD86}">
          <x14:formula1>
            <xm:f>項目!A4:$VSC$327682</xm:f>
          </x14:formula1>
          <xm:sqref>VSL327687:VSL327710</xm:sqref>
        </x14:dataValidation>
        <x14:dataValidation type="list" allowBlank="1" showInputMessage="1" showErrorMessage="1" xr:uid="{8BBA0283-AAE7-4D05-9479-388FCE94C700}">
          <x14:formula1>
            <xm:f>項目!A4:$WBY$327682</xm:f>
          </x14:formula1>
          <xm:sqref>WCH327687:WCH327710</xm:sqref>
        </x14:dataValidation>
        <x14:dataValidation type="list" allowBlank="1" showInputMessage="1" showErrorMessage="1" xr:uid="{3900EA87-894F-45DE-B0DA-637DF13DE364}">
          <x14:formula1>
            <xm:f>項目!A4:$WLU$327682</xm:f>
          </x14:formula1>
          <xm:sqref>WMD327687:WMD327710</xm:sqref>
        </x14:dataValidation>
        <x14:dataValidation type="list" allowBlank="1" showInputMessage="1" showErrorMessage="1" xr:uid="{F37ED8EB-D757-4FEE-9FCF-F48C4369119E}">
          <x14:formula1>
            <xm:f>項目!A4:$WVQ$327682</xm:f>
          </x14:formula1>
          <xm:sqref>WVZ327687:WVZ327710</xm:sqref>
        </x14:dataValidation>
        <x14:dataValidation type="list" allowBlank="1" showInputMessage="1" showErrorMessage="1" xr:uid="{4AF76B6A-7240-4884-86E0-A348EE6555BC}">
          <x14:formula1>
            <xm:f>項目!A4:$K$393218</xm:f>
          </x14:formula1>
          <xm:sqref>R393223:R393246</xm:sqref>
        </x14:dataValidation>
        <x14:dataValidation type="list" allowBlank="1" showInputMessage="1" showErrorMessage="1" xr:uid="{304F9D85-52D5-4BA6-931E-D36A79FD6C4C}">
          <x14:formula1>
            <xm:f>項目!A4:$JE$393218</xm:f>
          </x14:formula1>
          <xm:sqref>JN393223:JN393246</xm:sqref>
        </x14:dataValidation>
        <x14:dataValidation type="list" allowBlank="1" showInputMessage="1" showErrorMessage="1" xr:uid="{A201FAFA-5558-4B2D-BB56-2581D0110F27}">
          <x14:formula1>
            <xm:f>項目!A4:$TA$393218</xm:f>
          </x14:formula1>
          <xm:sqref>TJ393223:TJ393246</xm:sqref>
        </x14:dataValidation>
        <x14:dataValidation type="list" allowBlank="1" showInputMessage="1" showErrorMessage="1" xr:uid="{29379ED9-A5D6-48A7-9B00-CE3BD8DE89AA}">
          <x14:formula1>
            <xm:f>項目!A4:$ACW$393218</xm:f>
          </x14:formula1>
          <xm:sqref>ADF393223:ADF393246</xm:sqref>
        </x14:dataValidation>
        <x14:dataValidation type="list" allowBlank="1" showInputMessage="1" showErrorMessage="1" xr:uid="{7E12B659-25D1-43F1-BE42-1FE18CE66EF5}">
          <x14:formula1>
            <xm:f>項目!A4:$AMS$393218</xm:f>
          </x14:formula1>
          <xm:sqref>ANB393223:ANB393246</xm:sqref>
        </x14:dataValidation>
        <x14:dataValidation type="list" allowBlank="1" showInputMessage="1" showErrorMessage="1" xr:uid="{09D6CE92-2C23-49FB-97F9-11FDCF1D755A}">
          <x14:formula1>
            <xm:f>項目!A4:$AWO$393218</xm:f>
          </x14:formula1>
          <xm:sqref>AWX393223:AWX393246</xm:sqref>
        </x14:dataValidation>
        <x14:dataValidation type="list" allowBlank="1" showInputMessage="1" showErrorMessage="1" xr:uid="{6083F2E5-6B36-4649-B1BF-936F79897E37}">
          <x14:formula1>
            <xm:f>項目!A4:$BGK$393218</xm:f>
          </x14:formula1>
          <xm:sqref>BGT393223:BGT393246</xm:sqref>
        </x14:dataValidation>
        <x14:dataValidation type="list" allowBlank="1" showInputMessage="1" showErrorMessage="1" xr:uid="{460D8137-5A34-40CA-B755-37DA029EEBCA}">
          <x14:formula1>
            <xm:f>項目!A4:$BQG$393218</xm:f>
          </x14:formula1>
          <xm:sqref>BQP393223:BQP393246</xm:sqref>
        </x14:dataValidation>
        <x14:dataValidation type="list" allowBlank="1" showInputMessage="1" showErrorMessage="1" xr:uid="{DEDF553C-A657-4201-B65C-D3D610E71442}">
          <x14:formula1>
            <xm:f>項目!A4:$CAC$393218</xm:f>
          </x14:formula1>
          <xm:sqref>CAL393223:CAL393246</xm:sqref>
        </x14:dataValidation>
        <x14:dataValidation type="list" allowBlank="1" showInputMessage="1" showErrorMessage="1" xr:uid="{E04C76A9-38E4-4B4A-9202-D0B00A70DE80}">
          <x14:formula1>
            <xm:f>項目!A4:$CJY$393218</xm:f>
          </x14:formula1>
          <xm:sqref>CKH393223:CKH393246</xm:sqref>
        </x14:dataValidation>
        <x14:dataValidation type="list" allowBlank="1" showInputMessage="1" showErrorMessage="1" xr:uid="{3291E15E-B0CF-4DA7-8B1B-18822B2FC89E}">
          <x14:formula1>
            <xm:f>項目!A4:$CTU$393218</xm:f>
          </x14:formula1>
          <xm:sqref>CUD393223:CUD393246</xm:sqref>
        </x14:dataValidation>
        <x14:dataValidation type="list" allowBlank="1" showInputMessage="1" showErrorMessage="1" xr:uid="{552E269C-656E-4B64-AC59-6D19D27ED025}">
          <x14:formula1>
            <xm:f>項目!A4:$DDQ$393218</xm:f>
          </x14:formula1>
          <xm:sqref>DDZ393223:DDZ393246</xm:sqref>
        </x14:dataValidation>
        <x14:dataValidation type="list" allowBlank="1" showInputMessage="1" showErrorMessage="1" xr:uid="{75F6B46B-926F-4357-A5FA-366E6EB1F679}">
          <x14:formula1>
            <xm:f>項目!A4:$DNM$393218</xm:f>
          </x14:formula1>
          <xm:sqref>DNV393223:DNV393246</xm:sqref>
        </x14:dataValidation>
        <x14:dataValidation type="list" allowBlank="1" showInputMessage="1" showErrorMessage="1" xr:uid="{14B2E2A5-0621-4B4B-9B52-2886EDE311FD}">
          <x14:formula1>
            <xm:f>項目!A4:$DXI$393218</xm:f>
          </x14:formula1>
          <xm:sqref>DXR393223:DXR393246</xm:sqref>
        </x14:dataValidation>
        <x14:dataValidation type="list" allowBlank="1" showInputMessage="1" showErrorMessage="1" xr:uid="{BB051EF5-4415-484C-B44A-80B1467C116B}">
          <x14:formula1>
            <xm:f>項目!A4:$EHE$393218</xm:f>
          </x14:formula1>
          <xm:sqref>EHN393223:EHN393246</xm:sqref>
        </x14:dataValidation>
        <x14:dataValidation type="list" allowBlank="1" showInputMessage="1" showErrorMessage="1" xr:uid="{00731F12-AFF5-4F32-A9EF-027F79DE5B49}">
          <x14:formula1>
            <xm:f>項目!A4:$ERA$393218</xm:f>
          </x14:formula1>
          <xm:sqref>ERJ393223:ERJ393246</xm:sqref>
        </x14:dataValidation>
        <x14:dataValidation type="list" allowBlank="1" showInputMessage="1" showErrorMessage="1" xr:uid="{70418A5F-375E-4153-9D9B-FE23CBBF94A8}">
          <x14:formula1>
            <xm:f>項目!A4:$FAW$393218</xm:f>
          </x14:formula1>
          <xm:sqref>FBF393223:FBF393246</xm:sqref>
        </x14:dataValidation>
        <x14:dataValidation type="list" allowBlank="1" showInputMessage="1" showErrorMessage="1" xr:uid="{D7325A92-56E2-45FD-83A5-339F555EB0D7}">
          <x14:formula1>
            <xm:f>項目!A4:$FKS$393218</xm:f>
          </x14:formula1>
          <xm:sqref>FLB393223:FLB393246</xm:sqref>
        </x14:dataValidation>
        <x14:dataValidation type="list" allowBlank="1" showInputMessage="1" showErrorMessage="1" xr:uid="{811F2E7D-3A86-4E12-843A-6880B7E6078E}">
          <x14:formula1>
            <xm:f>項目!A4:$FUO$393218</xm:f>
          </x14:formula1>
          <xm:sqref>FUX393223:FUX393246</xm:sqref>
        </x14:dataValidation>
        <x14:dataValidation type="list" allowBlank="1" showInputMessage="1" showErrorMessage="1" xr:uid="{B85198CB-8081-4572-84B0-A7F19C66B3E2}">
          <x14:formula1>
            <xm:f>項目!A4:$GEK$393218</xm:f>
          </x14:formula1>
          <xm:sqref>GET393223:GET393246</xm:sqref>
        </x14:dataValidation>
        <x14:dataValidation type="list" allowBlank="1" showInputMessage="1" showErrorMessage="1" xr:uid="{021AAD0C-FC69-4FB9-BF63-71A3A57B1EF0}">
          <x14:formula1>
            <xm:f>項目!A4:$GOG$393218</xm:f>
          </x14:formula1>
          <xm:sqref>GOP393223:GOP393246</xm:sqref>
        </x14:dataValidation>
        <x14:dataValidation type="list" allowBlank="1" showInputMessage="1" showErrorMessage="1" xr:uid="{C0D2652D-9652-4AC9-8BAE-D742D8AA8968}">
          <x14:formula1>
            <xm:f>項目!A4:$GYC$393218</xm:f>
          </x14:formula1>
          <xm:sqref>GYL393223:GYL393246</xm:sqref>
        </x14:dataValidation>
        <x14:dataValidation type="list" allowBlank="1" showInputMessage="1" showErrorMessage="1" xr:uid="{7EFA3F6E-FBA5-409F-B659-12A621DB8699}">
          <x14:formula1>
            <xm:f>項目!A4:$HHY$393218</xm:f>
          </x14:formula1>
          <xm:sqref>HIH393223:HIH393246</xm:sqref>
        </x14:dataValidation>
        <x14:dataValidation type="list" allowBlank="1" showInputMessage="1" showErrorMessage="1" xr:uid="{A7B561A0-5D23-4C33-A150-445D0F6A6FA0}">
          <x14:formula1>
            <xm:f>項目!A4:$HRU$393218</xm:f>
          </x14:formula1>
          <xm:sqref>HSD393223:HSD393246</xm:sqref>
        </x14:dataValidation>
        <x14:dataValidation type="list" allowBlank="1" showInputMessage="1" showErrorMessage="1" xr:uid="{2D340D9C-B241-488A-AA5C-49F8C6BE04FF}">
          <x14:formula1>
            <xm:f>項目!A4:$IBQ$393218</xm:f>
          </x14:formula1>
          <xm:sqref>IBZ393223:IBZ393246</xm:sqref>
        </x14:dataValidation>
        <x14:dataValidation type="list" allowBlank="1" showInputMessage="1" showErrorMessage="1" xr:uid="{D0658D2B-2A53-42FA-9BD5-E3C38C489A5D}">
          <x14:formula1>
            <xm:f>項目!A4:$ILM$393218</xm:f>
          </x14:formula1>
          <xm:sqref>ILV393223:ILV393246</xm:sqref>
        </x14:dataValidation>
        <x14:dataValidation type="list" allowBlank="1" showInputMessage="1" showErrorMessage="1" xr:uid="{389AF9A5-4E58-4367-9761-6AC7B773EF0B}">
          <x14:formula1>
            <xm:f>項目!A4:$IVI$393218</xm:f>
          </x14:formula1>
          <xm:sqref>IVR393223:IVR393246</xm:sqref>
        </x14:dataValidation>
        <x14:dataValidation type="list" allowBlank="1" showInputMessage="1" showErrorMessage="1" xr:uid="{1C3F004B-50B5-455F-A92C-5189A0C4DC90}">
          <x14:formula1>
            <xm:f>項目!A4:$JFE$393218</xm:f>
          </x14:formula1>
          <xm:sqref>JFN393223:JFN393246</xm:sqref>
        </x14:dataValidation>
        <x14:dataValidation type="list" allowBlank="1" showInputMessage="1" showErrorMessage="1" xr:uid="{D0B3B03A-DD8A-451B-A4BA-EEF576395C27}">
          <x14:formula1>
            <xm:f>項目!A4:$JPA$393218</xm:f>
          </x14:formula1>
          <xm:sqref>JPJ393223:JPJ393246</xm:sqref>
        </x14:dataValidation>
        <x14:dataValidation type="list" allowBlank="1" showInputMessage="1" showErrorMessage="1" xr:uid="{9459BD61-28C9-46A5-8331-E00711F3FA0B}">
          <x14:formula1>
            <xm:f>項目!A4:$JYW$393218</xm:f>
          </x14:formula1>
          <xm:sqref>JZF393223:JZF393246</xm:sqref>
        </x14:dataValidation>
        <x14:dataValidation type="list" allowBlank="1" showInputMessage="1" showErrorMessage="1" xr:uid="{6A9B30DE-3E17-4FBA-B5EC-C947EEE9B4B4}">
          <x14:formula1>
            <xm:f>項目!A4:$KIS$393218</xm:f>
          </x14:formula1>
          <xm:sqref>KJB393223:KJB393246</xm:sqref>
        </x14:dataValidation>
        <x14:dataValidation type="list" allowBlank="1" showInputMessage="1" showErrorMessage="1" xr:uid="{ABCFCA7C-7F47-4A0D-9268-DD32925DD5B5}">
          <x14:formula1>
            <xm:f>項目!A4:$KSO$393218</xm:f>
          </x14:formula1>
          <xm:sqref>KSX393223:KSX393246</xm:sqref>
        </x14:dataValidation>
        <x14:dataValidation type="list" allowBlank="1" showInputMessage="1" showErrorMessage="1" xr:uid="{09ADC562-7B99-4FBA-9B20-6EA976BC3120}">
          <x14:formula1>
            <xm:f>項目!A4:$LCK$393218</xm:f>
          </x14:formula1>
          <xm:sqref>LCT393223:LCT393246</xm:sqref>
        </x14:dataValidation>
        <x14:dataValidation type="list" allowBlank="1" showInputMessage="1" showErrorMessage="1" xr:uid="{7EACD239-6B81-4702-A02B-DC8ACBD7F0A7}">
          <x14:formula1>
            <xm:f>項目!A4:$LMG$393218</xm:f>
          </x14:formula1>
          <xm:sqref>LMP393223:LMP393246</xm:sqref>
        </x14:dataValidation>
        <x14:dataValidation type="list" allowBlank="1" showInputMessage="1" showErrorMessage="1" xr:uid="{60497FCF-0FD8-4E85-967A-95081E4214A6}">
          <x14:formula1>
            <xm:f>項目!A4:$LWC$393218</xm:f>
          </x14:formula1>
          <xm:sqref>LWL393223:LWL393246</xm:sqref>
        </x14:dataValidation>
        <x14:dataValidation type="list" allowBlank="1" showInputMessage="1" showErrorMessage="1" xr:uid="{0BD0DCBF-B1FF-454A-863F-E6EEE0325B47}">
          <x14:formula1>
            <xm:f>項目!A4:$MFY$393218</xm:f>
          </x14:formula1>
          <xm:sqref>MGH393223:MGH393246</xm:sqref>
        </x14:dataValidation>
        <x14:dataValidation type="list" allowBlank="1" showInputMessage="1" showErrorMessage="1" xr:uid="{A1ED9E27-A19C-40BA-9A12-01D38EA0F18E}">
          <x14:formula1>
            <xm:f>項目!A4:$MPU$393218</xm:f>
          </x14:formula1>
          <xm:sqref>MQD393223:MQD393246</xm:sqref>
        </x14:dataValidation>
        <x14:dataValidation type="list" allowBlank="1" showInputMessage="1" showErrorMessage="1" xr:uid="{5CE2F3C9-2BFC-4FCA-AEF6-9F261F290E61}">
          <x14:formula1>
            <xm:f>項目!A4:$MZQ$393218</xm:f>
          </x14:formula1>
          <xm:sqref>MZZ393223:MZZ393246</xm:sqref>
        </x14:dataValidation>
        <x14:dataValidation type="list" allowBlank="1" showInputMessage="1" showErrorMessage="1" xr:uid="{9463E3E2-394D-482E-BFEB-093A2BAB8463}">
          <x14:formula1>
            <xm:f>項目!A4:$NJM$393218</xm:f>
          </x14:formula1>
          <xm:sqref>NJV393223:NJV393246</xm:sqref>
        </x14:dataValidation>
        <x14:dataValidation type="list" allowBlank="1" showInputMessage="1" showErrorMessage="1" xr:uid="{CEEB0BC0-5627-4BB1-A82A-180940F29220}">
          <x14:formula1>
            <xm:f>項目!A4:$NTI$393218</xm:f>
          </x14:formula1>
          <xm:sqref>NTR393223:NTR393246</xm:sqref>
        </x14:dataValidation>
        <x14:dataValidation type="list" allowBlank="1" showInputMessage="1" showErrorMessage="1" xr:uid="{B2D644AA-0F6A-40FD-BA83-04E298CF2DAF}">
          <x14:formula1>
            <xm:f>項目!A4:$ODE$393218</xm:f>
          </x14:formula1>
          <xm:sqref>ODN393223:ODN393246</xm:sqref>
        </x14:dataValidation>
        <x14:dataValidation type="list" allowBlank="1" showInputMessage="1" showErrorMessage="1" xr:uid="{12F8B402-9E2C-4BD8-AADF-4CF1DE57673B}">
          <x14:formula1>
            <xm:f>項目!A4:$ONA$393218</xm:f>
          </x14:formula1>
          <xm:sqref>ONJ393223:ONJ393246</xm:sqref>
        </x14:dataValidation>
        <x14:dataValidation type="list" allowBlank="1" showInputMessage="1" showErrorMessage="1" xr:uid="{A690F1DB-CAFB-495F-9F35-BD19B1D8E441}">
          <x14:formula1>
            <xm:f>項目!A4:$OWW$393218</xm:f>
          </x14:formula1>
          <xm:sqref>OXF393223:OXF393246</xm:sqref>
        </x14:dataValidation>
        <x14:dataValidation type="list" allowBlank="1" showInputMessage="1" showErrorMessage="1" xr:uid="{7E28FEB5-477F-4650-9668-0A5387B11162}">
          <x14:formula1>
            <xm:f>項目!A4:$PGS$393218</xm:f>
          </x14:formula1>
          <xm:sqref>PHB393223:PHB393246</xm:sqref>
        </x14:dataValidation>
        <x14:dataValidation type="list" allowBlank="1" showInputMessage="1" showErrorMessage="1" xr:uid="{00DB3FD5-D043-4AA1-89BC-17451405C13E}">
          <x14:formula1>
            <xm:f>項目!A4:$PQO$393218</xm:f>
          </x14:formula1>
          <xm:sqref>PQX393223:PQX393246</xm:sqref>
        </x14:dataValidation>
        <x14:dataValidation type="list" allowBlank="1" showInputMessage="1" showErrorMessage="1" xr:uid="{2B3BDE97-8B23-497D-812C-E7363571B19F}">
          <x14:formula1>
            <xm:f>項目!A4:$QAK$393218</xm:f>
          </x14:formula1>
          <xm:sqref>QAT393223:QAT393246</xm:sqref>
        </x14:dataValidation>
        <x14:dataValidation type="list" allowBlank="1" showInputMessage="1" showErrorMessage="1" xr:uid="{D28F1AFF-713F-4B9A-AFD5-00D73DFCF13D}">
          <x14:formula1>
            <xm:f>項目!A4:$QKG$393218</xm:f>
          </x14:formula1>
          <xm:sqref>QKP393223:QKP393246</xm:sqref>
        </x14:dataValidation>
        <x14:dataValidation type="list" allowBlank="1" showInputMessage="1" showErrorMessage="1" xr:uid="{E1960EF7-17BC-4B9F-B134-C718D9331C21}">
          <x14:formula1>
            <xm:f>項目!A4:$QUC$393218</xm:f>
          </x14:formula1>
          <xm:sqref>QUL393223:QUL393246</xm:sqref>
        </x14:dataValidation>
        <x14:dataValidation type="list" allowBlank="1" showInputMessage="1" showErrorMessage="1" xr:uid="{82401322-A29A-4E1A-B80A-178545D86DE0}">
          <x14:formula1>
            <xm:f>項目!A4:$RDY$393218</xm:f>
          </x14:formula1>
          <xm:sqref>REH393223:REH393246</xm:sqref>
        </x14:dataValidation>
        <x14:dataValidation type="list" allowBlank="1" showInputMessage="1" showErrorMessage="1" xr:uid="{4A6EF9C4-5DB1-442C-B34B-8B038DF2E108}">
          <x14:formula1>
            <xm:f>項目!A4:$RNU$393218</xm:f>
          </x14:formula1>
          <xm:sqref>ROD393223:ROD393246</xm:sqref>
        </x14:dataValidation>
        <x14:dataValidation type="list" allowBlank="1" showInputMessage="1" showErrorMessage="1" xr:uid="{B116A0A9-26F9-48B2-A742-2F1110E46577}">
          <x14:formula1>
            <xm:f>項目!A4:$RXQ$393218</xm:f>
          </x14:formula1>
          <xm:sqref>RXZ393223:RXZ393246</xm:sqref>
        </x14:dataValidation>
        <x14:dataValidation type="list" allowBlank="1" showInputMessage="1" showErrorMessage="1" xr:uid="{D0700231-CA32-4B67-ACF2-D1876536D551}">
          <x14:formula1>
            <xm:f>項目!A4:$SHM$393218</xm:f>
          </x14:formula1>
          <xm:sqref>SHV393223:SHV393246</xm:sqref>
        </x14:dataValidation>
        <x14:dataValidation type="list" allowBlank="1" showInputMessage="1" showErrorMessage="1" xr:uid="{5811586B-D2DD-4749-A3B9-58C5F359978D}">
          <x14:formula1>
            <xm:f>項目!A4:$SRI$393218</xm:f>
          </x14:formula1>
          <xm:sqref>SRR393223:SRR393246</xm:sqref>
        </x14:dataValidation>
        <x14:dataValidation type="list" allowBlank="1" showInputMessage="1" showErrorMessage="1" xr:uid="{C0D58C7B-6B51-40D1-B897-E0F89F447002}">
          <x14:formula1>
            <xm:f>項目!A4:$TBE$393218</xm:f>
          </x14:formula1>
          <xm:sqref>TBN393223:TBN393246</xm:sqref>
        </x14:dataValidation>
        <x14:dataValidation type="list" allowBlank="1" showInputMessage="1" showErrorMessage="1" xr:uid="{2A100781-9F84-4703-B728-FCFEDBD34081}">
          <x14:formula1>
            <xm:f>項目!A4:$TLA$393218</xm:f>
          </x14:formula1>
          <xm:sqref>TLJ393223:TLJ393246</xm:sqref>
        </x14:dataValidation>
        <x14:dataValidation type="list" allowBlank="1" showInputMessage="1" showErrorMessage="1" xr:uid="{0A620B13-5097-4A03-97D1-765C4CB3EEC5}">
          <x14:formula1>
            <xm:f>項目!A4:$TUW$393218</xm:f>
          </x14:formula1>
          <xm:sqref>TVF393223:TVF393246</xm:sqref>
        </x14:dataValidation>
        <x14:dataValidation type="list" allowBlank="1" showInputMessage="1" showErrorMessage="1" xr:uid="{F4DDDCA9-F136-4B7C-870B-07580836ED3F}">
          <x14:formula1>
            <xm:f>項目!A4:$UES$393218</xm:f>
          </x14:formula1>
          <xm:sqref>UFB393223:UFB393246</xm:sqref>
        </x14:dataValidation>
        <x14:dataValidation type="list" allowBlank="1" showInputMessage="1" showErrorMessage="1" xr:uid="{63A2ED2A-1A72-4B1E-9A81-56CDFAB4DF0F}">
          <x14:formula1>
            <xm:f>項目!A4:$UOO$393218</xm:f>
          </x14:formula1>
          <xm:sqref>UOX393223:UOX393246</xm:sqref>
        </x14:dataValidation>
        <x14:dataValidation type="list" allowBlank="1" showInputMessage="1" showErrorMessage="1" xr:uid="{7238657D-79C8-46AF-9F90-91D221FB3B20}">
          <x14:formula1>
            <xm:f>項目!A4:$UYK$393218</xm:f>
          </x14:formula1>
          <xm:sqref>UYT393223:UYT393246</xm:sqref>
        </x14:dataValidation>
        <x14:dataValidation type="list" allowBlank="1" showInputMessage="1" showErrorMessage="1" xr:uid="{F20CC5F2-46DE-487B-8D79-66C0B0796293}">
          <x14:formula1>
            <xm:f>項目!A4:$VIG$393218</xm:f>
          </x14:formula1>
          <xm:sqref>VIP393223:VIP393246</xm:sqref>
        </x14:dataValidation>
        <x14:dataValidation type="list" allowBlank="1" showInputMessage="1" showErrorMessage="1" xr:uid="{F50B118A-ED64-4AF7-9031-4AB873000ACC}">
          <x14:formula1>
            <xm:f>項目!A4:$VSC$393218</xm:f>
          </x14:formula1>
          <xm:sqref>VSL393223:VSL393246</xm:sqref>
        </x14:dataValidation>
        <x14:dataValidation type="list" allowBlank="1" showInputMessage="1" showErrorMessage="1" xr:uid="{CCC3C5B5-6CBE-423D-8B33-57D7D2669456}">
          <x14:formula1>
            <xm:f>項目!A4:$WBY$393218</xm:f>
          </x14:formula1>
          <xm:sqref>WCH393223:WCH393246</xm:sqref>
        </x14:dataValidation>
        <x14:dataValidation type="list" allowBlank="1" showInputMessage="1" showErrorMessage="1" xr:uid="{04D94C6A-6654-4B01-872B-FA08B3A18A6C}">
          <x14:formula1>
            <xm:f>項目!A4:$WLU$393218</xm:f>
          </x14:formula1>
          <xm:sqref>WMD393223:WMD393246</xm:sqref>
        </x14:dataValidation>
        <x14:dataValidation type="list" allowBlank="1" showInputMessage="1" showErrorMessage="1" xr:uid="{48C434FB-4069-4237-8A49-9570F8AF22F0}">
          <x14:formula1>
            <xm:f>項目!A4:$WVQ$393218</xm:f>
          </x14:formula1>
          <xm:sqref>WVZ393223:WVZ393246</xm:sqref>
        </x14:dataValidation>
        <x14:dataValidation type="list" allowBlank="1" showInputMessage="1" showErrorMessage="1" xr:uid="{8A489432-1FEF-4BC8-AEFE-0F41F9545C7F}">
          <x14:formula1>
            <xm:f>項目!A4:$K$458754</xm:f>
          </x14:formula1>
          <xm:sqref>R458759:R458782</xm:sqref>
        </x14:dataValidation>
        <x14:dataValidation type="list" allowBlank="1" showInputMessage="1" showErrorMessage="1" xr:uid="{226A8F58-DF30-4DB0-9487-F93FAB53EAC1}">
          <x14:formula1>
            <xm:f>項目!A4:$JE$458754</xm:f>
          </x14:formula1>
          <xm:sqref>JN458759:JN458782</xm:sqref>
        </x14:dataValidation>
        <x14:dataValidation type="list" allowBlank="1" showInputMessage="1" showErrorMessage="1" xr:uid="{1E146BB0-3717-43CB-B2AB-CD248F1C50BB}">
          <x14:formula1>
            <xm:f>項目!A4:$TA$458754</xm:f>
          </x14:formula1>
          <xm:sqref>TJ458759:TJ458782</xm:sqref>
        </x14:dataValidation>
        <x14:dataValidation type="list" allowBlank="1" showInputMessage="1" showErrorMessage="1" xr:uid="{A3C83E1F-71E6-4017-9D48-E23335C0CBF3}">
          <x14:formula1>
            <xm:f>項目!A4:$ACW$458754</xm:f>
          </x14:formula1>
          <xm:sqref>ADF458759:ADF458782</xm:sqref>
        </x14:dataValidation>
        <x14:dataValidation type="list" allowBlank="1" showInputMessage="1" showErrorMessage="1" xr:uid="{1B56AD03-9798-430F-8744-3EDFB673B955}">
          <x14:formula1>
            <xm:f>項目!A4:$AMS$458754</xm:f>
          </x14:formula1>
          <xm:sqref>ANB458759:ANB458782</xm:sqref>
        </x14:dataValidation>
        <x14:dataValidation type="list" allowBlank="1" showInputMessage="1" showErrorMessage="1" xr:uid="{889C6324-04A2-4592-A4AE-E0D69D2B6569}">
          <x14:formula1>
            <xm:f>項目!A4:$AWO$458754</xm:f>
          </x14:formula1>
          <xm:sqref>AWX458759:AWX458782</xm:sqref>
        </x14:dataValidation>
        <x14:dataValidation type="list" allowBlank="1" showInputMessage="1" showErrorMessage="1" xr:uid="{7EFFAD8C-3966-4867-BDEA-F8A4C0AD8436}">
          <x14:formula1>
            <xm:f>項目!A4:$BGK$458754</xm:f>
          </x14:formula1>
          <xm:sqref>BGT458759:BGT458782</xm:sqref>
        </x14:dataValidation>
        <x14:dataValidation type="list" allowBlank="1" showInputMessage="1" showErrorMessage="1" xr:uid="{3708F9FB-B5C3-430E-8BBF-677E9FD2ED4A}">
          <x14:formula1>
            <xm:f>項目!A4:$BQG$458754</xm:f>
          </x14:formula1>
          <xm:sqref>BQP458759:BQP458782</xm:sqref>
        </x14:dataValidation>
        <x14:dataValidation type="list" allowBlank="1" showInputMessage="1" showErrorMessage="1" xr:uid="{C8CB7DCD-F2BA-4923-A136-4BF1AA172DE7}">
          <x14:formula1>
            <xm:f>項目!A4:$CAC$458754</xm:f>
          </x14:formula1>
          <xm:sqref>CAL458759:CAL458782</xm:sqref>
        </x14:dataValidation>
        <x14:dataValidation type="list" allowBlank="1" showInputMessage="1" showErrorMessage="1" xr:uid="{7959FBB8-44BF-4B9E-BA41-1A15D963E0A8}">
          <x14:formula1>
            <xm:f>項目!A4:$CJY$458754</xm:f>
          </x14:formula1>
          <xm:sqref>CKH458759:CKH458782</xm:sqref>
        </x14:dataValidation>
        <x14:dataValidation type="list" allowBlank="1" showInputMessage="1" showErrorMessage="1" xr:uid="{F3DEE86B-7B16-4B3E-BF29-BA3174A9E9AB}">
          <x14:formula1>
            <xm:f>項目!A4:$CTU$458754</xm:f>
          </x14:formula1>
          <xm:sqref>CUD458759:CUD458782</xm:sqref>
        </x14:dataValidation>
        <x14:dataValidation type="list" allowBlank="1" showInputMessage="1" showErrorMessage="1" xr:uid="{3CADD636-D318-4CB8-8074-CCAE89DE44F6}">
          <x14:formula1>
            <xm:f>項目!A4:$DDQ$458754</xm:f>
          </x14:formula1>
          <xm:sqref>DDZ458759:DDZ458782</xm:sqref>
        </x14:dataValidation>
        <x14:dataValidation type="list" allowBlank="1" showInputMessage="1" showErrorMessage="1" xr:uid="{A252F05B-F25F-484F-9FDB-CD62DF258C8C}">
          <x14:formula1>
            <xm:f>項目!A4:$DNM$458754</xm:f>
          </x14:formula1>
          <xm:sqref>DNV458759:DNV458782</xm:sqref>
        </x14:dataValidation>
        <x14:dataValidation type="list" allowBlank="1" showInputMessage="1" showErrorMessage="1" xr:uid="{02570710-422D-4A59-8B4E-882D31927728}">
          <x14:formula1>
            <xm:f>項目!A4:$DXI$458754</xm:f>
          </x14:formula1>
          <xm:sqref>DXR458759:DXR458782</xm:sqref>
        </x14:dataValidation>
        <x14:dataValidation type="list" allowBlank="1" showInputMessage="1" showErrorMessage="1" xr:uid="{C32F3918-E890-4187-9A37-88851FDACC59}">
          <x14:formula1>
            <xm:f>項目!A4:$EHE$458754</xm:f>
          </x14:formula1>
          <xm:sqref>EHN458759:EHN458782</xm:sqref>
        </x14:dataValidation>
        <x14:dataValidation type="list" allowBlank="1" showInputMessage="1" showErrorMessage="1" xr:uid="{DC911329-FF40-47AB-BC13-76EB86DF0490}">
          <x14:formula1>
            <xm:f>項目!A4:$ERA$458754</xm:f>
          </x14:formula1>
          <xm:sqref>ERJ458759:ERJ458782</xm:sqref>
        </x14:dataValidation>
        <x14:dataValidation type="list" allowBlank="1" showInputMessage="1" showErrorMessage="1" xr:uid="{077835A6-FDF1-4838-BB14-926A8BB5C148}">
          <x14:formula1>
            <xm:f>項目!A4:$FAW$458754</xm:f>
          </x14:formula1>
          <xm:sqref>FBF458759:FBF458782</xm:sqref>
        </x14:dataValidation>
        <x14:dataValidation type="list" allowBlank="1" showInputMessage="1" showErrorMessage="1" xr:uid="{B562A9EE-84D2-431B-9E4A-5F2301B2CC93}">
          <x14:formula1>
            <xm:f>項目!A4:$FKS$458754</xm:f>
          </x14:formula1>
          <xm:sqref>FLB458759:FLB458782</xm:sqref>
        </x14:dataValidation>
        <x14:dataValidation type="list" allowBlank="1" showInputMessage="1" showErrorMessage="1" xr:uid="{0D82DA52-5901-49A4-80AD-AF640BE0BEED}">
          <x14:formula1>
            <xm:f>項目!A4:$FUO$458754</xm:f>
          </x14:formula1>
          <xm:sqref>FUX458759:FUX458782</xm:sqref>
        </x14:dataValidation>
        <x14:dataValidation type="list" allowBlank="1" showInputMessage="1" showErrorMessage="1" xr:uid="{DBB5583C-8E40-41C3-90AA-EB48C3EEDC60}">
          <x14:formula1>
            <xm:f>項目!A4:$GEK$458754</xm:f>
          </x14:formula1>
          <xm:sqref>GET458759:GET458782</xm:sqref>
        </x14:dataValidation>
        <x14:dataValidation type="list" allowBlank="1" showInputMessage="1" showErrorMessage="1" xr:uid="{BF675CCF-4488-412E-867B-6727A8BEEE63}">
          <x14:formula1>
            <xm:f>項目!A4:$GOG$458754</xm:f>
          </x14:formula1>
          <xm:sqref>GOP458759:GOP458782</xm:sqref>
        </x14:dataValidation>
        <x14:dataValidation type="list" allowBlank="1" showInputMessage="1" showErrorMessage="1" xr:uid="{EE391EBD-824A-4CE7-8564-FB3E47F8F83E}">
          <x14:formula1>
            <xm:f>項目!A4:$GYC$458754</xm:f>
          </x14:formula1>
          <xm:sqref>GYL458759:GYL458782</xm:sqref>
        </x14:dataValidation>
        <x14:dataValidation type="list" allowBlank="1" showInputMessage="1" showErrorMessage="1" xr:uid="{5CCB9EF5-6DCA-4E56-B5BF-67EE7FFC0248}">
          <x14:formula1>
            <xm:f>項目!A4:$HHY$458754</xm:f>
          </x14:formula1>
          <xm:sqref>HIH458759:HIH458782</xm:sqref>
        </x14:dataValidation>
        <x14:dataValidation type="list" allowBlank="1" showInputMessage="1" showErrorMessage="1" xr:uid="{1F1470A9-C172-4361-A890-C47ACC5ED918}">
          <x14:formula1>
            <xm:f>項目!A4:$HRU$458754</xm:f>
          </x14:formula1>
          <xm:sqref>HSD458759:HSD458782</xm:sqref>
        </x14:dataValidation>
        <x14:dataValidation type="list" allowBlank="1" showInputMessage="1" showErrorMessage="1" xr:uid="{8E06F428-B9F7-4656-B0B1-FC9FEB046ACE}">
          <x14:formula1>
            <xm:f>項目!A4:$IBQ$458754</xm:f>
          </x14:formula1>
          <xm:sqref>IBZ458759:IBZ458782</xm:sqref>
        </x14:dataValidation>
        <x14:dataValidation type="list" allowBlank="1" showInputMessage="1" showErrorMessage="1" xr:uid="{54822F2F-0729-4D98-9F26-DAC8FA341C9E}">
          <x14:formula1>
            <xm:f>項目!A4:$ILM$458754</xm:f>
          </x14:formula1>
          <xm:sqref>ILV458759:ILV458782</xm:sqref>
        </x14:dataValidation>
        <x14:dataValidation type="list" allowBlank="1" showInputMessage="1" showErrorMessage="1" xr:uid="{E80C79FD-3AD9-4605-AC70-0C17590439FD}">
          <x14:formula1>
            <xm:f>項目!A4:$IVI$458754</xm:f>
          </x14:formula1>
          <xm:sqref>IVR458759:IVR458782</xm:sqref>
        </x14:dataValidation>
        <x14:dataValidation type="list" allowBlank="1" showInputMessage="1" showErrorMessage="1" xr:uid="{4452BCB5-5356-4A12-BC96-D6EC11FCCC7F}">
          <x14:formula1>
            <xm:f>項目!A4:$JFE$458754</xm:f>
          </x14:formula1>
          <xm:sqref>JFN458759:JFN458782</xm:sqref>
        </x14:dataValidation>
        <x14:dataValidation type="list" allowBlank="1" showInputMessage="1" showErrorMessage="1" xr:uid="{A1AD758C-D0F1-40E5-AA27-2B71ABDAE726}">
          <x14:formula1>
            <xm:f>項目!A4:$JPA$458754</xm:f>
          </x14:formula1>
          <xm:sqref>JPJ458759:JPJ458782</xm:sqref>
        </x14:dataValidation>
        <x14:dataValidation type="list" allowBlank="1" showInputMessage="1" showErrorMessage="1" xr:uid="{45B4BA84-4736-4839-8B8C-F15763760572}">
          <x14:formula1>
            <xm:f>項目!A4:$JYW$458754</xm:f>
          </x14:formula1>
          <xm:sqref>JZF458759:JZF458782</xm:sqref>
        </x14:dataValidation>
        <x14:dataValidation type="list" allowBlank="1" showInputMessage="1" showErrorMessage="1" xr:uid="{8CFB0EE7-0A86-476D-98FF-0B5CC60B4F7B}">
          <x14:formula1>
            <xm:f>項目!A4:$KIS$458754</xm:f>
          </x14:formula1>
          <xm:sqref>KJB458759:KJB458782</xm:sqref>
        </x14:dataValidation>
        <x14:dataValidation type="list" allowBlank="1" showInputMessage="1" showErrorMessage="1" xr:uid="{6DB6EE94-D890-413E-B5E3-029A7C9B483D}">
          <x14:formula1>
            <xm:f>項目!A4:$KSO$458754</xm:f>
          </x14:formula1>
          <xm:sqref>KSX458759:KSX458782</xm:sqref>
        </x14:dataValidation>
        <x14:dataValidation type="list" allowBlank="1" showInputMessage="1" showErrorMessage="1" xr:uid="{5E69EA3D-D5C6-4929-AF29-45EF510B3193}">
          <x14:formula1>
            <xm:f>項目!A4:$LCK$458754</xm:f>
          </x14:formula1>
          <xm:sqref>LCT458759:LCT458782</xm:sqref>
        </x14:dataValidation>
        <x14:dataValidation type="list" allowBlank="1" showInputMessage="1" showErrorMessage="1" xr:uid="{1CB795A4-F79D-4692-B79B-BFC6EB89EB38}">
          <x14:formula1>
            <xm:f>項目!A4:$LMG$458754</xm:f>
          </x14:formula1>
          <xm:sqref>LMP458759:LMP458782</xm:sqref>
        </x14:dataValidation>
        <x14:dataValidation type="list" allowBlank="1" showInputMessage="1" showErrorMessage="1" xr:uid="{7317FFB0-63AC-4E6C-BEF0-40DE9483C712}">
          <x14:formula1>
            <xm:f>項目!A4:$LWC$458754</xm:f>
          </x14:formula1>
          <xm:sqref>LWL458759:LWL458782</xm:sqref>
        </x14:dataValidation>
        <x14:dataValidation type="list" allowBlank="1" showInputMessage="1" showErrorMessage="1" xr:uid="{A28D02A2-F1F9-4F70-A2AC-36515B0D6536}">
          <x14:formula1>
            <xm:f>項目!A4:$MFY$458754</xm:f>
          </x14:formula1>
          <xm:sqref>MGH458759:MGH458782</xm:sqref>
        </x14:dataValidation>
        <x14:dataValidation type="list" allowBlank="1" showInputMessage="1" showErrorMessage="1" xr:uid="{3D34164F-6FDA-4811-90FF-CFEF2FA494DD}">
          <x14:formula1>
            <xm:f>項目!A4:$MPU$458754</xm:f>
          </x14:formula1>
          <xm:sqref>MQD458759:MQD458782</xm:sqref>
        </x14:dataValidation>
        <x14:dataValidation type="list" allowBlank="1" showInputMessage="1" showErrorMessage="1" xr:uid="{D7680650-8798-4EBD-A47A-445542A665E6}">
          <x14:formula1>
            <xm:f>項目!A4:$MZQ$458754</xm:f>
          </x14:formula1>
          <xm:sqref>MZZ458759:MZZ458782</xm:sqref>
        </x14:dataValidation>
        <x14:dataValidation type="list" allowBlank="1" showInputMessage="1" showErrorMessage="1" xr:uid="{A7555B7A-D5B7-4686-B090-3B667BD9FFC9}">
          <x14:formula1>
            <xm:f>項目!A4:$NJM$458754</xm:f>
          </x14:formula1>
          <xm:sqref>NJV458759:NJV458782</xm:sqref>
        </x14:dataValidation>
        <x14:dataValidation type="list" allowBlank="1" showInputMessage="1" showErrorMessage="1" xr:uid="{03F35343-FAB9-4DE9-9161-2AF583B81CF5}">
          <x14:formula1>
            <xm:f>項目!A4:$NTI$458754</xm:f>
          </x14:formula1>
          <xm:sqref>NTR458759:NTR458782</xm:sqref>
        </x14:dataValidation>
        <x14:dataValidation type="list" allowBlank="1" showInputMessage="1" showErrorMessage="1" xr:uid="{81C565CE-BC0C-43B9-8674-109823A18E81}">
          <x14:formula1>
            <xm:f>項目!A4:$ODE$458754</xm:f>
          </x14:formula1>
          <xm:sqref>ODN458759:ODN458782</xm:sqref>
        </x14:dataValidation>
        <x14:dataValidation type="list" allowBlank="1" showInputMessage="1" showErrorMessage="1" xr:uid="{59350743-F12B-40E7-967D-3C475F99682B}">
          <x14:formula1>
            <xm:f>項目!A4:$ONA$458754</xm:f>
          </x14:formula1>
          <xm:sqref>ONJ458759:ONJ458782</xm:sqref>
        </x14:dataValidation>
        <x14:dataValidation type="list" allowBlank="1" showInputMessage="1" showErrorMessage="1" xr:uid="{7612022D-B1D3-4B8B-B57B-751CB713412B}">
          <x14:formula1>
            <xm:f>項目!A4:$OWW$458754</xm:f>
          </x14:formula1>
          <xm:sqref>OXF458759:OXF458782</xm:sqref>
        </x14:dataValidation>
        <x14:dataValidation type="list" allowBlank="1" showInputMessage="1" showErrorMessage="1" xr:uid="{ECC37C01-DDF5-4F96-BAA3-BBA9EC813387}">
          <x14:formula1>
            <xm:f>項目!A4:$PGS$458754</xm:f>
          </x14:formula1>
          <xm:sqref>PHB458759:PHB458782</xm:sqref>
        </x14:dataValidation>
        <x14:dataValidation type="list" allowBlank="1" showInputMessage="1" showErrorMessage="1" xr:uid="{17B901BD-1519-4193-88D5-05EBA1F68782}">
          <x14:formula1>
            <xm:f>項目!A4:$PQO$458754</xm:f>
          </x14:formula1>
          <xm:sqref>PQX458759:PQX458782</xm:sqref>
        </x14:dataValidation>
        <x14:dataValidation type="list" allowBlank="1" showInputMessage="1" showErrorMessage="1" xr:uid="{F2D6B146-1BA9-4C01-B9FC-938E869A9016}">
          <x14:formula1>
            <xm:f>項目!A4:$QAK$458754</xm:f>
          </x14:formula1>
          <xm:sqref>QAT458759:QAT458782</xm:sqref>
        </x14:dataValidation>
        <x14:dataValidation type="list" allowBlank="1" showInputMessage="1" showErrorMessage="1" xr:uid="{FD765DF1-7AD5-4F38-BB7A-82DCEE7099B8}">
          <x14:formula1>
            <xm:f>項目!A4:$QKG$458754</xm:f>
          </x14:formula1>
          <xm:sqref>QKP458759:QKP458782</xm:sqref>
        </x14:dataValidation>
        <x14:dataValidation type="list" allowBlank="1" showInputMessage="1" showErrorMessage="1" xr:uid="{78713A61-6E25-4E58-9D75-0E217DEEEFE1}">
          <x14:formula1>
            <xm:f>項目!A4:$QUC$458754</xm:f>
          </x14:formula1>
          <xm:sqref>QUL458759:QUL458782</xm:sqref>
        </x14:dataValidation>
        <x14:dataValidation type="list" allowBlank="1" showInputMessage="1" showErrorMessage="1" xr:uid="{74CF95D3-6999-48F5-B1D3-DD58C50FF990}">
          <x14:formula1>
            <xm:f>項目!A4:$RDY$458754</xm:f>
          </x14:formula1>
          <xm:sqref>REH458759:REH458782</xm:sqref>
        </x14:dataValidation>
        <x14:dataValidation type="list" allowBlank="1" showInputMessage="1" showErrorMessage="1" xr:uid="{DD3ED704-87E2-412B-9963-46464F77C064}">
          <x14:formula1>
            <xm:f>項目!A4:$RNU$458754</xm:f>
          </x14:formula1>
          <xm:sqref>ROD458759:ROD458782</xm:sqref>
        </x14:dataValidation>
        <x14:dataValidation type="list" allowBlank="1" showInputMessage="1" showErrorMessage="1" xr:uid="{063AC05B-CA14-4C80-9ADC-D4D99C19695D}">
          <x14:formula1>
            <xm:f>項目!A4:$RXQ$458754</xm:f>
          </x14:formula1>
          <xm:sqref>RXZ458759:RXZ458782</xm:sqref>
        </x14:dataValidation>
        <x14:dataValidation type="list" allowBlank="1" showInputMessage="1" showErrorMessage="1" xr:uid="{7FC51636-6020-482D-A767-CA8D4010F351}">
          <x14:formula1>
            <xm:f>項目!A4:$SHM$458754</xm:f>
          </x14:formula1>
          <xm:sqref>SHV458759:SHV458782</xm:sqref>
        </x14:dataValidation>
        <x14:dataValidation type="list" allowBlank="1" showInputMessage="1" showErrorMessage="1" xr:uid="{BA4AD49C-0803-4390-B61C-5221BB6B6456}">
          <x14:formula1>
            <xm:f>項目!A4:$SRI$458754</xm:f>
          </x14:formula1>
          <xm:sqref>SRR458759:SRR458782</xm:sqref>
        </x14:dataValidation>
        <x14:dataValidation type="list" allowBlank="1" showInputMessage="1" showErrorMessage="1" xr:uid="{4042BFE7-CC19-4579-806F-FB7D6B20677C}">
          <x14:formula1>
            <xm:f>項目!A4:$TBE$458754</xm:f>
          </x14:formula1>
          <xm:sqref>TBN458759:TBN458782</xm:sqref>
        </x14:dataValidation>
        <x14:dataValidation type="list" allowBlank="1" showInputMessage="1" showErrorMessage="1" xr:uid="{55B38229-81D8-4E74-93DF-23D7724A367E}">
          <x14:formula1>
            <xm:f>項目!A4:$TLA$458754</xm:f>
          </x14:formula1>
          <xm:sqref>TLJ458759:TLJ458782</xm:sqref>
        </x14:dataValidation>
        <x14:dataValidation type="list" allowBlank="1" showInputMessage="1" showErrorMessage="1" xr:uid="{E60DE098-EF9E-42AD-B0DA-C76C50F058D1}">
          <x14:formula1>
            <xm:f>項目!A4:$TUW$458754</xm:f>
          </x14:formula1>
          <xm:sqref>TVF458759:TVF458782</xm:sqref>
        </x14:dataValidation>
        <x14:dataValidation type="list" allowBlank="1" showInputMessage="1" showErrorMessage="1" xr:uid="{69B60039-043E-45B1-B0FD-D6EE0D47F59D}">
          <x14:formula1>
            <xm:f>項目!A4:$UES$458754</xm:f>
          </x14:formula1>
          <xm:sqref>UFB458759:UFB458782</xm:sqref>
        </x14:dataValidation>
        <x14:dataValidation type="list" allowBlank="1" showInputMessage="1" showErrorMessage="1" xr:uid="{DEC7FD5D-EDA7-4356-A0E7-7A08AB014696}">
          <x14:formula1>
            <xm:f>項目!A4:$UOO$458754</xm:f>
          </x14:formula1>
          <xm:sqref>UOX458759:UOX458782</xm:sqref>
        </x14:dataValidation>
        <x14:dataValidation type="list" allowBlank="1" showInputMessage="1" showErrorMessage="1" xr:uid="{B4492D13-C852-41A7-B8E1-E7F77E92C383}">
          <x14:formula1>
            <xm:f>項目!A4:$UYK$458754</xm:f>
          </x14:formula1>
          <xm:sqref>UYT458759:UYT458782</xm:sqref>
        </x14:dataValidation>
        <x14:dataValidation type="list" allowBlank="1" showInputMessage="1" showErrorMessage="1" xr:uid="{B352EB20-E2F4-4DA1-8934-DEB139B9A461}">
          <x14:formula1>
            <xm:f>項目!A4:$VIG$458754</xm:f>
          </x14:formula1>
          <xm:sqref>VIP458759:VIP458782</xm:sqref>
        </x14:dataValidation>
        <x14:dataValidation type="list" allowBlank="1" showInputMessage="1" showErrorMessage="1" xr:uid="{55E09114-4AB4-4AFA-B252-322A676E1402}">
          <x14:formula1>
            <xm:f>項目!A4:$VSC$458754</xm:f>
          </x14:formula1>
          <xm:sqref>VSL458759:VSL458782</xm:sqref>
        </x14:dataValidation>
        <x14:dataValidation type="list" allowBlank="1" showInputMessage="1" showErrorMessage="1" xr:uid="{B9E36085-F02A-4AC2-8A8A-35DD0B1AAD71}">
          <x14:formula1>
            <xm:f>項目!A4:$WBY$458754</xm:f>
          </x14:formula1>
          <xm:sqref>WCH458759:WCH458782</xm:sqref>
        </x14:dataValidation>
        <x14:dataValidation type="list" allowBlank="1" showInputMessage="1" showErrorMessage="1" xr:uid="{A9764383-9B16-427E-9F41-813FA748BF1F}">
          <x14:formula1>
            <xm:f>項目!A4:$WLU$458754</xm:f>
          </x14:formula1>
          <xm:sqref>WMD458759:WMD458782</xm:sqref>
        </x14:dataValidation>
        <x14:dataValidation type="list" allowBlank="1" showInputMessage="1" showErrorMessage="1" xr:uid="{D147052F-2504-415F-9A9B-E791024D66F5}">
          <x14:formula1>
            <xm:f>項目!A4:$WVQ$458754</xm:f>
          </x14:formula1>
          <xm:sqref>WVZ458759:WVZ458782</xm:sqref>
        </x14:dataValidation>
        <x14:dataValidation type="list" allowBlank="1" showInputMessage="1" showErrorMessage="1" xr:uid="{D9C92B74-5388-4B05-8D0A-2E0C3E12F1E0}">
          <x14:formula1>
            <xm:f>項目!A4:$K$524290</xm:f>
          </x14:formula1>
          <xm:sqref>R524295:R524318</xm:sqref>
        </x14:dataValidation>
        <x14:dataValidation type="list" allowBlank="1" showInputMessage="1" showErrorMessage="1" xr:uid="{E8C5294F-D2B5-45D4-B90B-855332D05638}">
          <x14:formula1>
            <xm:f>項目!A4:$JE$524290</xm:f>
          </x14:formula1>
          <xm:sqref>JN524295:JN524318</xm:sqref>
        </x14:dataValidation>
        <x14:dataValidation type="list" allowBlank="1" showInputMessage="1" showErrorMessage="1" xr:uid="{FE9B3B9D-636F-4BB5-99CA-B963DFFA860F}">
          <x14:formula1>
            <xm:f>項目!A4:$TA$524290</xm:f>
          </x14:formula1>
          <xm:sqref>TJ524295:TJ524318</xm:sqref>
        </x14:dataValidation>
        <x14:dataValidation type="list" allowBlank="1" showInputMessage="1" showErrorMessage="1" xr:uid="{C6BEAEAF-667F-4E98-9230-15F67D4E3989}">
          <x14:formula1>
            <xm:f>項目!A4:$ACW$524290</xm:f>
          </x14:formula1>
          <xm:sqref>ADF524295:ADF524318</xm:sqref>
        </x14:dataValidation>
        <x14:dataValidation type="list" allowBlank="1" showInputMessage="1" showErrorMessage="1" xr:uid="{B6FB6961-F960-4A29-B1D3-A31A348A4BAD}">
          <x14:formula1>
            <xm:f>項目!A4:$AMS$524290</xm:f>
          </x14:formula1>
          <xm:sqref>ANB524295:ANB524318</xm:sqref>
        </x14:dataValidation>
        <x14:dataValidation type="list" allowBlank="1" showInputMessage="1" showErrorMessage="1" xr:uid="{3782CB08-179B-4877-86ED-A9503D6A0402}">
          <x14:formula1>
            <xm:f>項目!A4:$AWO$524290</xm:f>
          </x14:formula1>
          <xm:sqref>AWX524295:AWX524318</xm:sqref>
        </x14:dataValidation>
        <x14:dataValidation type="list" allowBlank="1" showInputMessage="1" showErrorMessage="1" xr:uid="{11F48941-5C32-4FF3-B323-886953B6A8AA}">
          <x14:formula1>
            <xm:f>項目!A4:$BGK$524290</xm:f>
          </x14:formula1>
          <xm:sqref>BGT524295:BGT524318</xm:sqref>
        </x14:dataValidation>
        <x14:dataValidation type="list" allowBlank="1" showInputMessage="1" showErrorMessage="1" xr:uid="{042D67B1-EBF2-42AB-867D-1226E95D2547}">
          <x14:formula1>
            <xm:f>項目!A4:$BQG$524290</xm:f>
          </x14:formula1>
          <xm:sqref>BQP524295:BQP524318</xm:sqref>
        </x14:dataValidation>
        <x14:dataValidation type="list" allowBlank="1" showInputMessage="1" showErrorMessage="1" xr:uid="{A98D8FEC-97EB-4140-AB2C-EDBBD7EFAE2D}">
          <x14:formula1>
            <xm:f>項目!A4:$CAC$524290</xm:f>
          </x14:formula1>
          <xm:sqref>CAL524295:CAL524318</xm:sqref>
        </x14:dataValidation>
        <x14:dataValidation type="list" allowBlank="1" showInputMessage="1" showErrorMessage="1" xr:uid="{9FCBFFE3-99AD-45AE-B3F3-A2EBABD359A5}">
          <x14:formula1>
            <xm:f>項目!A4:$CJY$524290</xm:f>
          </x14:formula1>
          <xm:sqref>CKH524295:CKH524318</xm:sqref>
        </x14:dataValidation>
        <x14:dataValidation type="list" allowBlank="1" showInputMessage="1" showErrorMessage="1" xr:uid="{8AC3F339-3ECE-44D9-9554-C81A362977AE}">
          <x14:formula1>
            <xm:f>項目!A4:$CTU$524290</xm:f>
          </x14:formula1>
          <xm:sqref>CUD524295:CUD524318</xm:sqref>
        </x14:dataValidation>
        <x14:dataValidation type="list" allowBlank="1" showInputMessage="1" showErrorMessage="1" xr:uid="{B1113F4B-43AF-4465-BAFF-05B40F14D388}">
          <x14:formula1>
            <xm:f>項目!A4:$DDQ$524290</xm:f>
          </x14:formula1>
          <xm:sqref>DDZ524295:DDZ524318</xm:sqref>
        </x14:dataValidation>
        <x14:dataValidation type="list" allowBlank="1" showInputMessage="1" showErrorMessage="1" xr:uid="{1749DFC4-5590-4BE6-9A12-B56AEFBC0CA8}">
          <x14:formula1>
            <xm:f>項目!A4:$DNM$524290</xm:f>
          </x14:formula1>
          <xm:sqref>DNV524295:DNV524318</xm:sqref>
        </x14:dataValidation>
        <x14:dataValidation type="list" allowBlank="1" showInputMessage="1" showErrorMessage="1" xr:uid="{3ABA55E2-6143-4C2B-A1E3-A5A64A9FA7BA}">
          <x14:formula1>
            <xm:f>項目!A4:$DXI$524290</xm:f>
          </x14:formula1>
          <xm:sqref>DXR524295:DXR524318</xm:sqref>
        </x14:dataValidation>
        <x14:dataValidation type="list" allowBlank="1" showInputMessage="1" showErrorMessage="1" xr:uid="{CD58E486-D47B-4B39-8D55-5F870867F399}">
          <x14:formula1>
            <xm:f>項目!A4:$EHE$524290</xm:f>
          </x14:formula1>
          <xm:sqref>EHN524295:EHN524318</xm:sqref>
        </x14:dataValidation>
        <x14:dataValidation type="list" allowBlank="1" showInputMessage="1" showErrorMessage="1" xr:uid="{068EA80A-DF87-4189-92ED-21A6A4423457}">
          <x14:formula1>
            <xm:f>項目!A4:$ERA$524290</xm:f>
          </x14:formula1>
          <xm:sqref>ERJ524295:ERJ524318</xm:sqref>
        </x14:dataValidation>
        <x14:dataValidation type="list" allowBlank="1" showInputMessage="1" showErrorMessage="1" xr:uid="{EC5DA313-EF42-4F25-A8AF-AD19270900B7}">
          <x14:formula1>
            <xm:f>項目!A4:$FAW$524290</xm:f>
          </x14:formula1>
          <xm:sqref>FBF524295:FBF524318</xm:sqref>
        </x14:dataValidation>
        <x14:dataValidation type="list" allowBlank="1" showInputMessage="1" showErrorMessage="1" xr:uid="{6C88807B-1284-45DC-9F1F-A9253F17C0EB}">
          <x14:formula1>
            <xm:f>項目!A4:$FKS$524290</xm:f>
          </x14:formula1>
          <xm:sqref>FLB524295:FLB524318</xm:sqref>
        </x14:dataValidation>
        <x14:dataValidation type="list" allowBlank="1" showInputMessage="1" showErrorMessage="1" xr:uid="{66C782D4-DFE8-4B10-BBDF-7E4333DE3299}">
          <x14:formula1>
            <xm:f>項目!A4:$FUO$524290</xm:f>
          </x14:formula1>
          <xm:sqref>FUX524295:FUX524318</xm:sqref>
        </x14:dataValidation>
        <x14:dataValidation type="list" allowBlank="1" showInputMessage="1" showErrorMessage="1" xr:uid="{B1099A2E-235E-4DE0-B5DA-9AAF2B620A73}">
          <x14:formula1>
            <xm:f>項目!A4:$GEK$524290</xm:f>
          </x14:formula1>
          <xm:sqref>GET524295:GET524318</xm:sqref>
        </x14:dataValidation>
        <x14:dataValidation type="list" allowBlank="1" showInputMessage="1" showErrorMessage="1" xr:uid="{8BE2379A-8D76-4BF8-9AC1-A92F1FBF0952}">
          <x14:formula1>
            <xm:f>項目!A4:$GOG$524290</xm:f>
          </x14:formula1>
          <xm:sqref>GOP524295:GOP524318</xm:sqref>
        </x14:dataValidation>
        <x14:dataValidation type="list" allowBlank="1" showInputMessage="1" showErrorMessage="1" xr:uid="{B97C2359-80F2-4272-9295-71102F90B200}">
          <x14:formula1>
            <xm:f>項目!A4:$GYC$524290</xm:f>
          </x14:formula1>
          <xm:sqref>GYL524295:GYL524318</xm:sqref>
        </x14:dataValidation>
        <x14:dataValidation type="list" allowBlank="1" showInputMessage="1" showErrorMessage="1" xr:uid="{0F1457AD-CF80-4D7A-8FD3-F53CE3735311}">
          <x14:formula1>
            <xm:f>項目!A4:$HHY$524290</xm:f>
          </x14:formula1>
          <xm:sqref>HIH524295:HIH524318</xm:sqref>
        </x14:dataValidation>
        <x14:dataValidation type="list" allowBlank="1" showInputMessage="1" showErrorMessage="1" xr:uid="{C652E9FE-6BF3-4207-BFA9-037F4A9FC063}">
          <x14:formula1>
            <xm:f>項目!A4:$HRU$524290</xm:f>
          </x14:formula1>
          <xm:sqref>HSD524295:HSD524318</xm:sqref>
        </x14:dataValidation>
        <x14:dataValidation type="list" allowBlank="1" showInputMessage="1" showErrorMessage="1" xr:uid="{2D089F1E-6449-4BCB-A241-2C72A81BC6CA}">
          <x14:formula1>
            <xm:f>項目!A4:$IBQ$524290</xm:f>
          </x14:formula1>
          <xm:sqref>IBZ524295:IBZ524318</xm:sqref>
        </x14:dataValidation>
        <x14:dataValidation type="list" allowBlank="1" showInputMessage="1" showErrorMessage="1" xr:uid="{2BA41B9D-A0CF-40C3-96C5-B613C2DFF50E}">
          <x14:formula1>
            <xm:f>項目!A4:$ILM$524290</xm:f>
          </x14:formula1>
          <xm:sqref>ILV524295:ILV524318</xm:sqref>
        </x14:dataValidation>
        <x14:dataValidation type="list" allowBlank="1" showInputMessage="1" showErrorMessage="1" xr:uid="{1C60EC80-3640-4295-BBEA-96D08249C5FD}">
          <x14:formula1>
            <xm:f>項目!A4:$IVI$524290</xm:f>
          </x14:formula1>
          <xm:sqref>IVR524295:IVR524318</xm:sqref>
        </x14:dataValidation>
        <x14:dataValidation type="list" allowBlank="1" showInputMessage="1" showErrorMessage="1" xr:uid="{478D37F0-473C-4582-9ED3-5BA603C1C24E}">
          <x14:formula1>
            <xm:f>項目!A4:$JFE$524290</xm:f>
          </x14:formula1>
          <xm:sqref>JFN524295:JFN524318</xm:sqref>
        </x14:dataValidation>
        <x14:dataValidation type="list" allowBlank="1" showInputMessage="1" showErrorMessage="1" xr:uid="{1A5595F3-D499-46F8-9573-68F1CBE1E883}">
          <x14:formula1>
            <xm:f>項目!A4:$JPA$524290</xm:f>
          </x14:formula1>
          <xm:sqref>JPJ524295:JPJ524318</xm:sqref>
        </x14:dataValidation>
        <x14:dataValidation type="list" allowBlank="1" showInputMessage="1" showErrorMessage="1" xr:uid="{E6D2F03E-F1EE-4ED7-99E8-0AC2ABDE175F}">
          <x14:formula1>
            <xm:f>項目!A4:$JYW$524290</xm:f>
          </x14:formula1>
          <xm:sqref>JZF524295:JZF524318</xm:sqref>
        </x14:dataValidation>
        <x14:dataValidation type="list" allowBlank="1" showInputMessage="1" showErrorMessage="1" xr:uid="{38B87055-1510-4621-9CC2-F0579DB6C51F}">
          <x14:formula1>
            <xm:f>項目!A4:$KIS$524290</xm:f>
          </x14:formula1>
          <xm:sqref>KJB524295:KJB524318</xm:sqref>
        </x14:dataValidation>
        <x14:dataValidation type="list" allowBlank="1" showInputMessage="1" showErrorMessage="1" xr:uid="{1F5A7392-B500-4E30-A3BB-99C48E119D13}">
          <x14:formula1>
            <xm:f>項目!A4:$KSO$524290</xm:f>
          </x14:formula1>
          <xm:sqref>KSX524295:KSX524318</xm:sqref>
        </x14:dataValidation>
        <x14:dataValidation type="list" allowBlank="1" showInputMessage="1" showErrorMessage="1" xr:uid="{ACDF75F7-C1F0-4DE0-B49E-772B01538DFA}">
          <x14:formula1>
            <xm:f>項目!A4:$LCK$524290</xm:f>
          </x14:formula1>
          <xm:sqref>LCT524295:LCT524318</xm:sqref>
        </x14:dataValidation>
        <x14:dataValidation type="list" allowBlank="1" showInputMessage="1" showErrorMessage="1" xr:uid="{86FC3041-6D49-49B1-ADB7-80AF0A5A3BDF}">
          <x14:formula1>
            <xm:f>項目!A4:$LMG$524290</xm:f>
          </x14:formula1>
          <xm:sqref>LMP524295:LMP524318</xm:sqref>
        </x14:dataValidation>
        <x14:dataValidation type="list" allowBlank="1" showInputMessage="1" showErrorMessage="1" xr:uid="{49DA57B7-8E3C-4B80-AD24-B96FF984B944}">
          <x14:formula1>
            <xm:f>項目!A4:$LWC$524290</xm:f>
          </x14:formula1>
          <xm:sqref>LWL524295:LWL524318</xm:sqref>
        </x14:dataValidation>
        <x14:dataValidation type="list" allowBlank="1" showInputMessage="1" showErrorMessage="1" xr:uid="{FBB807DA-B93C-4349-99DD-E815268AF86A}">
          <x14:formula1>
            <xm:f>項目!A4:$MFY$524290</xm:f>
          </x14:formula1>
          <xm:sqref>MGH524295:MGH524318</xm:sqref>
        </x14:dataValidation>
        <x14:dataValidation type="list" allowBlank="1" showInputMessage="1" showErrorMessage="1" xr:uid="{414BBA7F-4257-4633-858C-A61DBD568EFD}">
          <x14:formula1>
            <xm:f>項目!A4:$MPU$524290</xm:f>
          </x14:formula1>
          <xm:sqref>MQD524295:MQD524318</xm:sqref>
        </x14:dataValidation>
        <x14:dataValidation type="list" allowBlank="1" showInputMessage="1" showErrorMessage="1" xr:uid="{95F62708-8056-4883-803C-551B19A18BAB}">
          <x14:formula1>
            <xm:f>項目!A4:$MZQ$524290</xm:f>
          </x14:formula1>
          <xm:sqref>MZZ524295:MZZ524318</xm:sqref>
        </x14:dataValidation>
        <x14:dataValidation type="list" allowBlank="1" showInputMessage="1" showErrorMessage="1" xr:uid="{1BE06E69-9EE1-4463-B9F2-58033482C4C2}">
          <x14:formula1>
            <xm:f>項目!A4:$NJM$524290</xm:f>
          </x14:formula1>
          <xm:sqref>NJV524295:NJV524318</xm:sqref>
        </x14:dataValidation>
        <x14:dataValidation type="list" allowBlank="1" showInputMessage="1" showErrorMessage="1" xr:uid="{991D295D-7998-425A-8CB4-68E680D2AD9A}">
          <x14:formula1>
            <xm:f>項目!A4:$NTI$524290</xm:f>
          </x14:formula1>
          <xm:sqref>NTR524295:NTR524318</xm:sqref>
        </x14:dataValidation>
        <x14:dataValidation type="list" allowBlank="1" showInputMessage="1" showErrorMessage="1" xr:uid="{64B12887-E090-43AC-8D95-DA407A2B06A8}">
          <x14:formula1>
            <xm:f>項目!A4:$ODE$524290</xm:f>
          </x14:formula1>
          <xm:sqref>ODN524295:ODN524318</xm:sqref>
        </x14:dataValidation>
        <x14:dataValidation type="list" allowBlank="1" showInputMessage="1" showErrorMessage="1" xr:uid="{148477EF-FEB5-4FE1-B444-CF90E604218C}">
          <x14:formula1>
            <xm:f>項目!A4:$ONA$524290</xm:f>
          </x14:formula1>
          <xm:sqref>ONJ524295:ONJ524318</xm:sqref>
        </x14:dataValidation>
        <x14:dataValidation type="list" allowBlank="1" showInputMessage="1" showErrorMessage="1" xr:uid="{34EEB67B-AD53-464A-9AE3-5C057A1DA7EA}">
          <x14:formula1>
            <xm:f>項目!A4:$OWW$524290</xm:f>
          </x14:formula1>
          <xm:sqref>OXF524295:OXF524318</xm:sqref>
        </x14:dataValidation>
        <x14:dataValidation type="list" allowBlank="1" showInputMessage="1" showErrorMessage="1" xr:uid="{B6BB63EF-D01B-4F32-9AAA-820C84103CFF}">
          <x14:formula1>
            <xm:f>項目!A4:$PGS$524290</xm:f>
          </x14:formula1>
          <xm:sqref>PHB524295:PHB524318</xm:sqref>
        </x14:dataValidation>
        <x14:dataValidation type="list" allowBlank="1" showInputMessage="1" showErrorMessage="1" xr:uid="{DD8E1A67-6620-43E6-A5AB-06F1BD5FC055}">
          <x14:formula1>
            <xm:f>項目!A4:$PQO$524290</xm:f>
          </x14:formula1>
          <xm:sqref>PQX524295:PQX524318</xm:sqref>
        </x14:dataValidation>
        <x14:dataValidation type="list" allowBlank="1" showInputMessage="1" showErrorMessage="1" xr:uid="{8717BF97-9A0A-4BC2-8992-E62732A4E0DA}">
          <x14:formula1>
            <xm:f>項目!A4:$QAK$524290</xm:f>
          </x14:formula1>
          <xm:sqref>QAT524295:QAT524318</xm:sqref>
        </x14:dataValidation>
        <x14:dataValidation type="list" allowBlank="1" showInputMessage="1" showErrorMessage="1" xr:uid="{64B75E2B-61EC-475F-BAC0-9273B0A7A73E}">
          <x14:formula1>
            <xm:f>項目!A4:$QKG$524290</xm:f>
          </x14:formula1>
          <xm:sqref>QKP524295:QKP524318</xm:sqref>
        </x14:dataValidation>
        <x14:dataValidation type="list" allowBlank="1" showInputMessage="1" showErrorMessage="1" xr:uid="{70D26D08-4629-42BD-97CE-D2E842AAE93F}">
          <x14:formula1>
            <xm:f>項目!A4:$QUC$524290</xm:f>
          </x14:formula1>
          <xm:sqref>QUL524295:QUL524318</xm:sqref>
        </x14:dataValidation>
        <x14:dataValidation type="list" allowBlank="1" showInputMessage="1" showErrorMessage="1" xr:uid="{8FA30D55-D007-47A5-B5CC-34914F231CF8}">
          <x14:formula1>
            <xm:f>項目!A4:$RDY$524290</xm:f>
          </x14:formula1>
          <xm:sqref>REH524295:REH524318</xm:sqref>
        </x14:dataValidation>
        <x14:dataValidation type="list" allowBlank="1" showInputMessage="1" showErrorMessage="1" xr:uid="{1D8C76EE-13AC-4768-989F-AA8A549720A6}">
          <x14:formula1>
            <xm:f>項目!A4:$RNU$524290</xm:f>
          </x14:formula1>
          <xm:sqref>ROD524295:ROD524318</xm:sqref>
        </x14:dataValidation>
        <x14:dataValidation type="list" allowBlank="1" showInputMessage="1" showErrorMessage="1" xr:uid="{88ACFDB7-340F-4B3D-AFC5-DD6F0C37D2AF}">
          <x14:formula1>
            <xm:f>項目!A4:$RXQ$524290</xm:f>
          </x14:formula1>
          <xm:sqref>RXZ524295:RXZ524318</xm:sqref>
        </x14:dataValidation>
        <x14:dataValidation type="list" allowBlank="1" showInputMessage="1" showErrorMessage="1" xr:uid="{8A245FE1-3DFD-4046-8BD3-530B6245EB60}">
          <x14:formula1>
            <xm:f>項目!A4:$SHM$524290</xm:f>
          </x14:formula1>
          <xm:sqref>SHV524295:SHV524318</xm:sqref>
        </x14:dataValidation>
        <x14:dataValidation type="list" allowBlank="1" showInputMessage="1" showErrorMessage="1" xr:uid="{34CD06C8-7AD8-4A21-8781-8B3EC95B2086}">
          <x14:formula1>
            <xm:f>項目!A4:$SRI$524290</xm:f>
          </x14:formula1>
          <xm:sqref>SRR524295:SRR524318</xm:sqref>
        </x14:dataValidation>
        <x14:dataValidation type="list" allowBlank="1" showInputMessage="1" showErrorMessage="1" xr:uid="{BF9F8E04-DCC1-4851-9044-3DD99A6A7D4C}">
          <x14:formula1>
            <xm:f>項目!A4:$TBE$524290</xm:f>
          </x14:formula1>
          <xm:sqref>TBN524295:TBN524318</xm:sqref>
        </x14:dataValidation>
        <x14:dataValidation type="list" allowBlank="1" showInputMessage="1" showErrorMessage="1" xr:uid="{74E3FFFC-49A0-45CF-BBCE-8E00C2ECB0B3}">
          <x14:formula1>
            <xm:f>項目!A4:$TLA$524290</xm:f>
          </x14:formula1>
          <xm:sqref>TLJ524295:TLJ524318</xm:sqref>
        </x14:dataValidation>
        <x14:dataValidation type="list" allowBlank="1" showInputMessage="1" showErrorMessage="1" xr:uid="{482D7465-1694-4BA7-821D-8379585C6FC7}">
          <x14:formula1>
            <xm:f>項目!A4:$TUW$524290</xm:f>
          </x14:formula1>
          <xm:sqref>TVF524295:TVF524318</xm:sqref>
        </x14:dataValidation>
        <x14:dataValidation type="list" allowBlank="1" showInputMessage="1" showErrorMessage="1" xr:uid="{746696DD-121D-479E-9F79-FB57A450FA8F}">
          <x14:formula1>
            <xm:f>項目!A4:$UES$524290</xm:f>
          </x14:formula1>
          <xm:sqref>UFB524295:UFB524318</xm:sqref>
        </x14:dataValidation>
        <x14:dataValidation type="list" allowBlank="1" showInputMessage="1" showErrorMessage="1" xr:uid="{0AF9117C-C5C6-4A0C-B701-046AE9BDAC7C}">
          <x14:formula1>
            <xm:f>項目!A4:$UOO$524290</xm:f>
          </x14:formula1>
          <xm:sqref>UOX524295:UOX524318</xm:sqref>
        </x14:dataValidation>
        <x14:dataValidation type="list" allowBlank="1" showInputMessage="1" showErrorMessage="1" xr:uid="{14C9D6B9-7F01-4000-ABFF-8C649DB6975F}">
          <x14:formula1>
            <xm:f>項目!A4:$UYK$524290</xm:f>
          </x14:formula1>
          <xm:sqref>UYT524295:UYT524318</xm:sqref>
        </x14:dataValidation>
        <x14:dataValidation type="list" allowBlank="1" showInputMessage="1" showErrorMessage="1" xr:uid="{E581C608-E127-432D-A9F2-5AD785C2F683}">
          <x14:formula1>
            <xm:f>項目!A4:$VIG$524290</xm:f>
          </x14:formula1>
          <xm:sqref>VIP524295:VIP524318</xm:sqref>
        </x14:dataValidation>
        <x14:dataValidation type="list" allowBlank="1" showInputMessage="1" showErrorMessage="1" xr:uid="{68D52D47-DDEE-479D-9E23-1A5A0969FDED}">
          <x14:formula1>
            <xm:f>項目!A4:$VSC$524290</xm:f>
          </x14:formula1>
          <xm:sqref>VSL524295:VSL524318</xm:sqref>
        </x14:dataValidation>
        <x14:dataValidation type="list" allowBlank="1" showInputMessage="1" showErrorMessage="1" xr:uid="{4B49BE1F-9003-45F9-AD45-77AE60854951}">
          <x14:formula1>
            <xm:f>項目!A4:$WBY$524290</xm:f>
          </x14:formula1>
          <xm:sqref>WCH524295:WCH524318</xm:sqref>
        </x14:dataValidation>
        <x14:dataValidation type="list" allowBlank="1" showInputMessage="1" showErrorMessage="1" xr:uid="{554F533F-94C3-402E-A880-7693A7B72EF3}">
          <x14:formula1>
            <xm:f>項目!A4:$WLU$524290</xm:f>
          </x14:formula1>
          <xm:sqref>WMD524295:WMD524318</xm:sqref>
        </x14:dataValidation>
        <x14:dataValidation type="list" allowBlank="1" showInputMessage="1" showErrorMessage="1" xr:uid="{B99AE8B5-2BB1-4F99-8894-46487765F2C1}">
          <x14:formula1>
            <xm:f>項目!A4:$WVQ$524290</xm:f>
          </x14:formula1>
          <xm:sqref>WVZ524295:WVZ524318</xm:sqref>
        </x14:dataValidation>
        <x14:dataValidation type="list" allowBlank="1" showInputMessage="1" showErrorMessage="1" xr:uid="{3D31793A-326C-4271-A993-0806C49B6724}">
          <x14:formula1>
            <xm:f>項目!A4:$K$589826</xm:f>
          </x14:formula1>
          <xm:sqref>R589831:R589854</xm:sqref>
        </x14:dataValidation>
        <x14:dataValidation type="list" allowBlank="1" showInputMessage="1" showErrorMessage="1" xr:uid="{1E1D2543-698A-4357-B2B1-570A1E516703}">
          <x14:formula1>
            <xm:f>項目!A4:$JE$589826</xm:f>
          </x14:formula1>
          <xm:sqref>JN589831:JN589854</xm:sqref>
        </x14:dataValidation>
        <x14:dataValidation type="list" allowBlank="1" showInputMessage="1" showErrorMessage="1" xr:uid="{4B741206-55FB-4D8A-BA2B-C92F7D2A199C}">
          <x14:formula1>
            <xm:f>項目!A4:$TA$589826</xm:f>
          </x14:formula1>
          <xm:sqref>TJ589831:TJ589854</xm:sqref>
        </x14:dataValidation>
        <x14:dataValidation type="list" allowBlank="1" showInputMessage="1" showErrorMessage="1" xr:uid="{7D5084EE-24EF-4230-BF98-3959B7BD6406}">
          <x14:formula1>
            <xm:f>項目!A4:$ACW$589826</xm:f>
          </x14:formula1>
          <xm:sqref>ADF589831:ADF589854</xm:sqref>
        </x14:dataValidation>
        <x14:dataValidation type="list" allowBlank="1" showInputMessage="1" showErrorMessage="1" xr:uid="{85AC1A1A-8573-4CBB-AB79-1DBA23487728}">
          <x14:formula1>
            <xm:f>項目!A4:$AMS$589826</xm:f>
          </x14:formula1>
          <xm:sqref>ANB589831:ANB589854</xm:sqref>
        </x14:dataValidation>
        <x14:dataValidation type="list" allowBlank="1" showInputMessage="1" showErrorMessage="1" xr:uid="{D493EFDA-AC8B-4DD8-A323-0569B6ECAFF7}">
          <x14:formula1>
            <xm:f>項目!A4:$AWO$589826</xm:f>
          </x14:formula1>
          <xm:sqref>AWX589831:AWX589854</xm:sqref>
        </x14:dataValidation>
        <x14:dataValidation type="list" allowBlank="1" showInputMessage="1" showErrorMessage="1" xr:uid="{BF0C483B-BBF4-49EB-841A-34521F1AB521}">
          <x14:formula1>
            <xm:f>項目!A4:$BGK$589826</xm:f>
          </x14:formula1>
          <xm:sqref>BGT589831:BGT589854</xm:sqref>
        </x14:dataValidation>
        <x14:dataValidation type="list" allowBlank="1" showInputMessage="1" showErrorMessage="1" xr:uid="{A8DF600C-0155-43F7-B692-66EB8C4B6E99}">
          <x14:formula1>
            <xm:f>項目!A4:$BQG$589826</xm:f>
          </x14:formula1>
          <xm:sqref>BQP589831:BQP589854</xm:sqref>
        </x14:dataValidation>
        <x14:dataValidation type="list" allowBlank="1" showInputMessage="1" showErrorMessage="1" xr:uid="{552E05BE-CD7E-479D-A988-EB4E0F7B4718}">
          <x14:formula1>
            <xm:f>項目!A4:$CAC$589826</xm:f>
          </x14:formula1>
          <xm:sqref>CAL589831:CAL589854</xm:sqref>
        </x14:dataValidation>
        <x14:dataValidation type="list" allowBlank="1" showInputMessage="1" showErrorMessage="1" xr:uid="{B697809C-7521-4184-9F35-15E5CE425D32}">
          <x14:formula1>
            <xm:f>項目!A4:$CJY$589826</xm:f>
          </x14:formula1>
          <xm:sqref>CKH589831:CKH589854</xm:sqref>
        </x14:dataValidation>
        <x14:dataValidation type="list" allowBlank="1" showInputMessage="1" showErrorMessage="1" xr:uid="{65AEDA59-F2CD-4B44-89B4-EE19D3ADED91}">
          <x14:formula1>
            <xm:f>項目!A4:$CTU$589826</xm:f>
          </x14:formula1>
          <xm:sqref>CUD589831:CUD589854</xm:sqref>
        </x14:dataValidation>
        <x14:dataValidation type="list" allowBlank="1" showInputMessage="1" showErrorMessage="1" xr:uid="{F21866A6-FEE8-499E-B030-DE35534EEEBA}">
          <x14:formula1>
            <xm:f>項目!A4:$DDQ$589826</xm:f>
          </x14:formula1>
          <xm:sqref>DDZ589831:DDZ589854</xm:sqref>
        </x14:dataValidation>
        <x14:dataValidation type="list" allowBlank="1" showInputMessage="1" showErrorMessage="1" xr:uid="{25DBBDBE-5FF9-4DB1-8D82-BCDCE01371A8}">
          <x14:formula1>
            <xm:f>項目!A4:$DNM$589826</xm:f>
          </x14:formula1>
          <xm:sqref>DNV589831:DNV589854</xm:sqref>
        </x14:dataValidation>
        <x14:dataValidation type="list" allowBlank="1" showInputMessage="1" showErrorMessage="1" xr:uid="{A28BF233-2AEA-480D-8DCF-BB0BE2242668}">
          <x14:formula1>
            <xm:f>項目!A4:$DXI$589826</xm:f>
          </x14:formula1>
          <xm:sqref>DXR589831:DXR589854</xm:sqref>
        </x14:dataValidation>
        <x14:dataValidation type="list" allowBlank="1" showInputMessage="1" showErrorMessage="1" xr:uid="{37922E13-9F88-4513-BCD8-7A88D81A1262}">
          <x14:formula1>
            <xm:f>項目!A4:$EHE$589826</xm:f>
          </x14:formula1>
          <xm:sqref>EHN589831:EHN589854</xm:sqref>
        </x14:dataValidation>
        <x14:dataValidation type="list" allowBlank="1" showInputMessage="1" showErrorMessage="1" xr:uid="{A7B29989-689F-4328-8E4B-0FBFFA3D49B1}">
          <x14:formula1>
            <xm:f>項目!A4:$ERA$589826</xm:f>
          </x14:formula1>
          <xm:sqref>ERJ589831:ERJ589854</xm:sqref>
        </x14:dataValidation>
        <x14:dataValidation type="list" allowBlank="1" showInputMessage="1" showErrorMessage="1" xr:uid="{D2BD810A-4398-41B7-8033-2F0A61DF09C5}">
          <x14:formula1>
            <xm:f>項目!A4:$FAW$589826</xm:f>
          </x14:formula1>
          <xm:sqref>FBF589831:FBF589854</xm:sqref>
        </x14:dataValidation>
        <x14:dataValidation type="list" allowBlank="1" showInputMessage="1" showErrorMessage="1" xr:uid="{8490E6BA-9063-409F-88EE-B3DD02BD2E83}">
          <x14:formula1>
            <xm:f>項目!A4:$FKS$589826</xm:f>
          </x14:formula1>
          <xm:sqref>FLB589831:FLB589854</xm:sqref>
        </x14:dataValidation>
        <x14:dataValidation type="list" allowBlank="1" showInputMessage="1" showErrorMessage="1" xr:uid="{1C3FDCF5-53CE-4858-92E2-DFFABA742506}">
          <x14:formula1>
            <xm:f>項目!A4:$FUO$589826</xm:f>
          </x14:formula1>
          <xm:sqref>FUX589831:FUX589854</xm:sqref>
        </x14:dataValidation>
        <x14:dataValidation type="list" allowBlank="1" showInputMessage="1" showErrorMessage="1" xr:uid="{D6705638-8B61-4CFD-B90C-8DF4F9739708}">
          <x14:formula1>
            <xm:f>項目!A4:$GEK$589826</xm:f>
          </x14:formula1>
          <xm:sqref>GET589831:GET589854</xm:sqref>
        </x14:dataValidation>
        <x14:dataValidation type="list" allowBlank="1" showInputMessage="1" showErrorMessage="1" xr:uid="{EE1036B7-A6F2-4A7F-BA45-A554EA53B065}">
          <x14:formula1>
            <xm:f>項目!A4:$GOG$589826</xm:f>
          </x14:formula1>
          <xm:sqref>GOP589831:GOP589854</xm:sqref>
        </x14:dataValidation>
        <x14:dataValidation type="list" allowBlank="1" showInputMessage="1" showErrorMessage="1" xr:uid="{5AC7317E-03DB-4A23-B998-CAC21D32D04F}">
          <x14:formula1>
            <xm:f>項目!A4:$GYC$589826</xm:f>
          </x14:formula1>
          <xm:sqref>GYL589831:GYL589854</xm:sqref>
        </x14:dataValidation>
        <x14:dataValidation type="list" allowBlank="1" showInputMessage="1" showErrorMessage="1" xr:uid="{D5EFF27E-FF89-4F90-AEF0-198AFD9B150E}">
          <x14:formula1>
            <xm:f>項目!A4:$HHY$589826</xm:f>
          </x14:formula1>
          <xm:sqref>HIH589831:HIH589854</xm:sqref>
        </x14:dataValidation>
        <x14:dataValidation type="list" allowBlank="1" showInputMessage="1" showErrorMessage="1" xr:uid="{A07A4229-0717-4680-A64A-DAB7DD831DAC}">
          <x14:formula1>
            <xm:f>項目!A4:$HRU$589826</xm:f>
          </x14:formula1>
          <xm:sqref>HSD589831:HSD589854</xm:sqref>
        </x14:dataValidation>
        <x14:dataValidation type="list" allowBlank="1" showInputMessage="1" showErrorMessage="1" xr:uid="{F37D3123-7FB5-4E0E-8A83-722BB3AACF4B}">
          <x14:formula1>
            <xm:f>項目!A4:$IBQ$589826</xm:f>
          </x14:formula1>
          <xm:sqref>IBZ589831:IBZ589854</xm:sqref>
        </x14:dataValidation>
        <x14:dataValidation type="list" allowBlank="1" showInputMessage="1" showErrorMessage="1" xr:uid="{1B65B9D8-226F-4F34-A0B4-AA94CB910920}">
          <x14:formula1>
            <xm:f>項目!A4:$ILM$589826</xm:f>
          </x14:formula1>
          <xm:sqref>ILV589831:ILV589854</xm:sqref>
        </x14:dataValidation>
        <x14:dataValidation type="list" allowBlank="1" showInputMessage="1" showErrorMessage="1" xr:uid="{9A9CC38F-7F3A-4EE8-B22C-E572B37D3008}">
          <x14:formula1>
            <xm:f>項目!A4:$IVI$589826</xm:f>
          </x14:formula1>
          <xm:sqref>IVR589831:IVR589854</xm:sqref>
        </x14:dataValidation>
        <x14:dataValidation type="list" allowBlank="1" showInputMessage="1" showErrorMessage="1" xr:uid="{67AEE6BD-2847-4886-9556-FBD6BFC4383B}">
          <x14:formula1>
            <xm:f>項目!A4:$JFE$589826</xm:f>
          </x14:formula1>
          <xm:sqref>JFN589831:JFN589854</xm:sqref>
        </x14:dataValidation>
        <x14:dataValidation type="list" allowBlank="1" showInputMessage="1" showErrorMessage="1" xr:uid="{42199E3C-43AB-46A6-B49F-9108D6F39AFB}">
          <x14:formula1>
            <xm:f>項目!A4:$JPA$589826</xm:f>
          </x14:formula1>
          <xm:sqref>JPJ589831:JPJ589854</xm:sqref>
        </x14:dataValidation>
        <x14:dataValidation type="list" allowBlank="1" showInputMessage="1" showErrorMessage="1" xr:uid="{2682ECFF-CC45-492A-B2EF-FD351DBB69B3}">
          <x14:formula1>
            <xm:f>項目!A4:$JYW$589826</xm:f>
          </x14:formula1>
          <xm:sqref>JZF589831:JZF589854</xm:sqref>
        </x14:dataValidation>
        <x14:dataValidation type="list" allowBlank="1" showInputMessage="1" showErrorMessage="1" xr:uid="{745FA595-8B91-4731-8757-DDDCE4EF1106}">
          <x14:formula1>
            <xm:f>項目!A4:$KIS$589826</xm:f>
          </x14:formula1>
          <xm:sqref>KJB589831:KJB589854</xm:sqref>
        </x14:dataValidation>
        <x14:dataValidation type="list" allowBlank="1" showInputMessage="1" showErrorMessage="1" xr:uid="{0D56714E-4A48-4A90-AB35-2067F8787ED3}">
          <x14:formula1>
            <xm:f>項目!A4:$KSO$589826</xm:f>
          </x14:formula1>
          <xm:sqref>KSX589831:KSX589854</xm:sqref>
        </x14:dataValidation>
        <x14:dataValidation type="list" allowBlank="1" showInputMessage="1" showErrorMessage="1" xr:uid="{B3720DB5-5E64-4F4C-A54F-91279A1FDC07}">
          <x14:formula1>
            <xm:f>項目!A4:$LCK$589826</xm:f>
          </x14:formula1>
          <xm:sqref>LCT589831:LCT589854</xm:sqref>
        </x14:dataValidation>
        <x14:dataValidation type="list" allowBlank="1" showInputMessage="1" showErrorMessage="1" xr:uid="{71134BC9-2863-4ED5-8FCF-C3431D869DF4}">
          <x14:formula1>
            <xm:f>項目!A4:$LMG$589826</xm:f>
          </x14:formula1>
          <xm:sqref>LMP589831:LMP589854</xm:sqref>
        </x14:dataValidation>
        <x14:dataValidation type="list" allowBlank="1" showInputMessage="1" showErrorMessage="1" xr:uid="{B69178AC-720C-4E5B-96E9-6C018DF3D73F}">
          <x14:formula1>
            <xm:f>項目!A4:$LWC$589826</xm:f>
          </x14:formula1>
          <xm:sqref>LWL589831:LWL589854</xm:sqref>
        </x14:dataValidation>
        <x14:dataValidation type="list" allowBlank="1" showInputMessage="1" showErrorMessage="1" xr:uid="{2A47955C-FD76-40FC-8D98-D9852D678388}">
          <x14:formula1>
            <xm:f>項目!A4:$MFY$589826</xm:f>
          </x14:formula1>
          <xm:sqref>MGH589831:MGH589854</xm:sqref>
        </x14:dataValidation>
        <x14:dataValidation type="list" allowBlank="1" showInputMessage="1" showErrorMessage="1" xr:uid="{9C8A0A9B-4475-4F51-B115-811E395EC3AC}">
          <x14:formula1>
            <xm:f>項目!A4:$MPU$589826</xm:f>
          </x14:formula1>
          <xm:sqref>MQD589831:MQD589854</xm:sqref>
        </x14:dataValidation>
        <x14:dataValidation type="list" allowBlank="1" showInputMessage="1" showErrorMessage="1" xr:uid="{20910858-D571-4FE0-A81B-9C3D22937FE2}">
          <x14:formula1>
            <xm:f>項目!A4:$MZQ$589826</xm:f>
          </x14:formula1>
          <xm:sqref>MZZ589831:MZZ589854</xm:sqref>
        </x14:dataValidation>
        <x14:dataValidation type="list" allowBlank="1" showInputMessage="1" showErrorMessage="1" xr:uid="{434C41AD-9067-405F-AF4F-4BF994491BD7}">
          <x14:formula1>
            <xm:f>項目!A4:$NJM$589826</xm:f>
          </x14:formula1>
          <xm:sqref>NJV589831:NJV589854</xm:sqref>
        </x14:dataValidation>
        <x14:dataValidation type="list" allowBlank="1" showInputMessage="1" showErrorMessage="1" xr:uid="{0446D315-F27F-476A-A0B4-9DC3E5B14C7E}">
          <x14:formula1>
            <xm:f>項目!A4:$NTI$589826</xm:f>
          </x14:formula1>
          <xm:sqref>NTR589831:NTR589854</xm:sqref>
        </x14:dataValidation>
        <x14:dataValidation type="list" allowBlank="1" showInputMessage="1" showErrorMessage="1" xr:uid="{DED5C918-0099-448B-AA26-D6B32B2F4C58}">
          <x14:formula1>
            <xm:f>項目!A4:$ODE$589826</xm:f>
          </x14:formula1>
          <xm:sqref>ODN589831:ODN589854</xm:sqref>
        </x14:dataValidation>
        <x14:dataValidation type="list" allowBlank="1" showInputMessage="1" showErrorMessage="1" xr:uid="{25121118-13C8-4D9D-B5FB-936CA32834B5}">
          <x14:formula1>
            <xm:f>項目!A4:$ONA$589826</xm:f>
          </x14:formula1>
          <xm:sqref>ONJ589831:ONJ589854</xm:sqref>
        </x14:dataValidation>
        <x14:dataValidation type="list" allowBlank="1" showInputMessage="1" showErrorMessage="1" xr:uid="{7D623B58-FA9F-47F6-B438-0563AFB6A593}">
          <x14:formula1>
            <xm:f>項目!A4:$OWW$589826</xm:f>
          </x14:formula1>
          <xm:sqref>OXF589831:OXF589854</xm:sqref>
        </x14:dataValidation>
        <x14:dataValidation type="list" allowBlank="1" showInputMessage="1" showErrorMessage="1" xr:uid="{D31EBA1B-9230-48BA-AB0F-3B7719B7E19B}">
          <x14:formula1>
            <xm:f>項目!A4:$PGS$589826</xm:f>
          </x14:formula1>
          <xm:sqref>PHB589831:PHB589854</xm:sqref>
        </x14:dataValidation>
        <x14:dataValidation type="list" allowBlank="1" showInputMessage="1" showErrorMessage="1" xr:uid="{670CC06F-0704-4BE7-88E4-D2ADB7B98279}">
          <x14:formula1>
            <xm:f>項目!A4:$PQO$589826</xm:f>
          </x14:formula1>
          <xm:sqref>PQX589831:PQX589854</xm:sqref>
        </x14:dataValidation>
        <x14:dataValidation type="list" allowBlank="1" showInputMessage="1" showErrorMessage="1" xr:uid="{5AD7337A-40EC-444E-811C-5EB0140D64CB}">
          <x14:formula1>
            <xm:f>項目!A4:$QAK$589826</xm:f>
          </x14:formula1>
          <xm:sqref>QAT589831:QAT589854</xm:sqref>
        </x14:dataValidation>
        <x14:dataValidation type="list" allowBlank="1" showInputMessage="1" showErrorMessage="1" xr:uid="{B13E8793-1218-4523-8B0E-8EF3E75E2F58}">
          <x14:formula1>
            <xm:f>項目!A4:$QKG$589826</xm:f>
          </x14:formula1>
          <xm:sqref>QKP589831:QKP589854</xm:sqref>
        </x14:dataValidation>
        <x14:dataValidation type="list" allowBlank="1" showInputMessage="1" showErrorMessage="1" xr:uid="{90CEF5A0-F836-40E9-A463-66930161CC65}">
          <x14:formula1>
            <xm:f>項目!A4:$QUC$589826</xm:f>
          </x14:formula1>
          <xm:sqref>QUL589831:QUL589854</xm:sqref>
        </x14:dataValidation>
        <x14:dataValidation type="list" allowBlank="1" showInputMessage="1" showErrorMessage="1" xr:uid="{44A94E2E-362B-44A7-A185-E14A2B72CF0D}">
          <x14:formula1>
            <xm:f>項目!A4:$RDY$589826</xm:f>
          </x14:formula1>
          <xm:sqref>REH589831:REH589854</xm:sqref>
        </x14:dataValidation>
        <x14:dataValidation type="list" allowBlank="1" showInputMessage="1" showErrorMessage="1" xr:uid="{E29EA775-0146-4009-AC89-A933A84480C5}">
          <x14:formula1>
            <xm:f>項目!A4:$RNU$589826</xm:f>
          </x14:formula1>
          <xm:sqref>ROD589831:ROD589854</xm:sqref>
        </x14:dataValidation>
        <x14:dataValidation type="list" allowBlank="1" showInputMessage="1" showErrorMessage="1" xr:uid="{F8369030-5D59-4061-B56A-5D7B4C03E994}">
          <x14:formula1>
            <xm:f>項目!A4:$RXQ$589826</xm:f>
          </x14:formula1>
          <xm:sqref>RXZ589831:RXZ589854</xm:sqref>
        </x14:dataValidation>
        <x14:dataValidation type="list" allowBlank="1" showInputMessage="1" showErrorMessage="1" xr:uid="{C9A639B7-4030-4F77-AA8C-AD167CEA1328}">
          <x14:formula1>
            <xm:f>項目!A4:$SHM$589826</xm:f>
          </x14:formula1>
          <xm:sqref>SHV589831:SHV589854</xm:sqref>
        </x14:dataValidation>
        <x14:dataValidation type="list" allowBlank="1" showInputMessage="1" showErrorMessage="1" xr:uid="{DF5CAF6F-A0C8-4149-85D1-B24449003D8F}">
          <x14:formula1>
            <xm:f>項目!A4:$SRI$589826</xm:f>
          </x14:formula1>
          <xm:sqref>SRR589831:SRR589854</xm:sqref>
        </x14:dataValidation>
        <x14:dataValidation type="list" allowBlank="1" showInputMessage="1" showErrorMessage="1" xr:uid="{04EB3586-EA3F-4E36-8BA6-42011C99CFC5}">
          <x14:formula1>
            <xm:f>項目!A4:$TBE$589826</xm:f>
          </x14:formula1>
          <xm:sqref>TBN589831:TBN589854</xm:sqref>
        </x14:dataValidation>
        <x14:dataValidation type="list" allowBlank="1" showInputMessage="1" showErrorMessage="1" xr:uid="{D2034B51-5DB1-4A06-93BD-83DDC149C70E}">
          <x14:formula1>
            <xm:f>項目!A4:$TLA$589826</xm:f>
          </x14:formula1>
          <xm:sqref>TLJ589831:TLJ589854</xm:sqref>
        </x14:dataValidation>
        <x14:dataValidation type="list" allowBlank="1" showInputMessage="1" showErrorMessage="1" xr:uid="{6439FD62-C205-459B-9687-DFB9533DC0CC}">
          <x14:formula1>
            <xm:f>項目!A4:$TUW$589826</xm:f>
          </x14:formula1>
          <xm:sqref>TVF589831:TVF589854</xm:sqref>
        </x14:dataValidation>
        <x14:dataValidation type="list" allowBlank="1" showInputMessage="1" showErrorMessage="1" xr:uid="{28713661-2848-4420-9EC6-9DABAAE55013}">
          <x14:formula1>
            <xm:f>項目!A4:$UES$589826</xm:f>
          </x14:formula1>
          <xm:sqref>UFB589831:UFB589854</xm:sqref>
        </x14:dataValidation>
        <x14:dataValidation type="list" allowBlank="1" showInputMessage="1" showErrorMessage="1" xr:uid="{44FD240A-0F6C-4CBA-A29F-8D72B58A7D32}">
          <x14:formula1>
            <xm:f>項目!A4:$UOO$589826</xm:f>
          </x14:formula1>
          <xm:sqref>UOX589831:UOX589854</xm:sqref>
        </x14:dataValidation>
        <x14:dataValidation type="list" allowBlank="1" showInputMessage="1" showErrorMessage="1" xr:uid="{533E6847-C3CE-4117-944B-EDDB806C79B5}">
          <x14:formula1>
            <xm:f>項目!A4:$UYK$589826</xm:f>
          </x14:formula1>
          <xm:sqref>UYT589831:UYT589854</xm:sqref>
        </x14:dataValidation>
        <x14:dataValidation type="list" allowBlank="1" showInputMessage="1" showErrorMessage="1" xr:uid="{AC09F16A-E5C9-4BFA-AE60-4402A8A4BB12}">
          <x14:formula1>
            <xm:f>項目!A4:$VIG$589826</xm:f>
          </x14:formula1>
          <xm:sqref>VIP589831:VIP589854</xm:sqref>
        </x14:dataValidation>
        <x14:dataValidation type="list" allowBlank="1" showInputMessage="1" showErrorMessage="1" xr:uid="{DD197ADB-102E-411B-94A0-BA477C47F394}">
          <x14:formula1>
            <xm:f>項目!A4:$VSC$589826</xm:f>
          </x14:formula1>
          <xm:sqref>VSL589831:VSL589854</xm:sqref>
        </x14:dataValidation>
        <x14:dataValidation type="list" allowBlank="1" showInputMessage="1" showErrorMessage="1" xr:uid="{F7E87E26-99D7-4ACE-82C7-EBAEB4649425}">
          <x14:formula1>
            <xm:f>項目!A4:$WBY$589826</xm:f>
          </x14:formula1>
          <xm:sqref>WCH589831:WCH589854</xm:sqref>
        </x14:dataValidation>
        <x14:dataValidation type="list" allowBlank="1" showInputMessage="1" showErrorMessage="1" xr:uid="{D05FC9D0-748F-40CB-9300-7CD13EDD9E49}">
          <x14:formula1>
            <xm:f>項目!A4:$WLU$589826</xm:f>
          </x14:formula1>
          <xm:sqref>WMD589831:WMD589854</xm:sqref>
        </x14:dataValidation>
        <x14:dataValidation type="list" allowBlank="1" showInputMessage="1" showErrorMessage="1" xr:uid="{8E566431-8C93-457F-95FD-052719EEEF05}">
          <x14:formula1>
            <xm:f>項目!A4:$WVQ$589826</xm:f>
          </x14:formula1>
          <xm:sqref>WVZ589831:WVZ589854</xm:sqref>
        </x14:dataValidation>
        <x14:dataValidation type="list" allowBlank="1" showInputMessage="1" showErrorMessage="1" xr:uid="{55577F01-59F3-4D05-BD20-E68E4D5AEE83}">
          <x14:formula1>
            <xm:f>項目!A4:$K$655362</xm:f>
          </x14:formula1>
          <xm:sqref>R655367:R655390</xm:sqref>
        </x14:dataValidation>
        <x14:dataValidation type="list" allowBlank="1" showInputMessage="1" showErrorMessage="1" xr:uid="{3411524A-A9EC-4865-BC73-F0BF22AD6CE3}">
          <x14:formula1>
            <xm:f>項目!A4:$JE$655362</xm:f>
          </x14:formula1>
          <xm:sqref>JN655367:JN655390</xm:sqref>
        </x14:dataValidation>
        <x14:dataValidation type="list" allowBlank="1" showInputMessage="1" showErrorMessage="1" xr:uid="{2E60A77B-98E6-4851-94B2-DD594416B2B8}">
          <x14:formula1>
            <xm:f>項目!A4:$TA$655362</xm:f>
          </x14:formula1>
          <xm:sqref>TJ655367:TJ655390</xm:sqref>
        </x14:dataValidation>
        <x14:dataValidation type="list" allowBlank="1" showInputMessage="1" showErrorMessage="1" xr:uid="{C1D0F26F-257A-47D1-BE00-74E0FFC8A6E0}">
          <x14:formula1>
            <xm:f>項目!A4:$ACW$655362</xm:f>
          </x14:formula1>
          <xm:sqref>ADF655367:ADF655390</xm:sqref>
        </x14:dataValidation>
        <x14:dataValidation type="list" allowBlank="1" showInputMessage="1" showErrorMessage="1" xr:uid="{F3AEB23C-88D5-4B71-9391-65ED0E8749F5}">
          <x14:formula1>
            <xm:f>項目!A4:$AMS$655362</xm:f>
          </x14:formula1>
          <xm:sqref>ANB655367:ANB655390</xm:sqref>
        </x14:dataValidation>
        <x14:dataValidation type="list" allowBlank="1" showInputMessage="1" showErrorMessage="1" xr:uid="{75DCD6F4-1EED-4FC4-93D3-B70C58539473}">
          <x14:formula1>
            <xm:f>項目!A4:$AWO$655362</xm:f>
          </x14:formula1>
          <xm:sqref>AWX655367:AWX655390</xm:sqref>
        </x14:dataValidation>
        <x14:dataValidation type="list" allowBlank="1" showInputMessage="1" showErrorMessage="1" xr:uid="{7BA04858-7F87-4296-A0ED-19B0865DC6BC}">
          <x14:formula1>
            <xm:f>項目!A4:$BGK$655362</xm:f>
          </x14:formula1>
          <xm:sqref>BGT655367:BGT655390</xm:sqref>
        </x14:dataValidation>
        <x14:dataValidation type="list" allowBlank="1" showInputMessage="1" showErrorMessage="1" xr:uid="{853DDBEE-012A-42DE-9551-FC223C906CD6}">
          <x14:formula1>
            <xm:f>項目!A4:$BQG$655362</xm:f>
          </x14:formula1>
          <xm:sqref>BQP655367:BQP655390</xm:sqref>
        </x14:dataValidation>
        <x14:dataValidation type="list" allowBlank="1" showInputMessage="1" showErrorMessage="1" xr:uid="{ACC878C8-2911-4F98-A717-C08E3D7BACA6}">
          <x14:formula1>
            <xm:f>項目!A4:$CAC$655362</xm:f>
          </x14:formula1>
          <xm:sqref>CAL655367:CAL655390</xm:sqref>
        </x14:dataValidation>
        <x14:dataValidation type="list" allowBlank="1" showInputMessage="1" showErrorMessage="1" xr:uid="{C2BEB9A3-876E-4F24-B117-8073DAA32273}">
          <x14:formula1>
            <xm:f>項目!A4:$CJY$655362</xm:f>
          </x14:formula1>
          <xm:sqref>CKH655367:CKH655390</xm:sqref>
        </x14:dataValidation>
        <x14:dataValidation type="list" allowBlank="1" showInputMessage="1" showErrorMessage="1" xr:uid="{24A11E2A-15D6-4D8D-A6FC-4A0C10FCAD2A}">
          <x14:formula1>
            <xm:f>項目!A4:$CTU$655362</xm:f>
          </x14:formula1>
          <xm:sqref>CUD655367:CUD655390</xm:sqref>
        </x14:dataValidation>
        <x14:dataValidation type="list" allowBlank="1" showInputMessage="1" showErrorMessage="1" xr:uid="{95827269-4D9C-47E8-B781-B8E05490EFCB}">
          <x14:formula1>
            <xm:f>項目!A4:$DDQ$655362</xm:f>
          </x14:formula1>
          <xm:sqref>DDZ655367:DDZ655390</xm:sqref>
        </x14:dataValidation>
        <x14:dataValidation type="list" allowBlank="1" showInputMessage="1" showErrorMessage="1" xr:uid="{A572A880-7242-4BAB-9B96-5D8E97B5399B}">
          <x14:formula1>
            <xm:f>項目!A4:$DNM$655362</xm:f>
          </x14:formula1>
          <xm:sqref>DNV655367:DNV655390</xm:sqref>
        </x14:dataValidation>
        <x14:dataValidation type="list" allowBlank="1" showInputMessage="1" showErrorMessage="1" xr:uid="{E5EC616E-B41F-4F0B-AF7C-4E741015AC91}">
          <x14:formula1>
            <xm:f>項目!A4:$DXI$655362</xm:f>
          </x14:formula1>
          <xm:sqref>DXR655367:DXR655390</xm:sqref>
        </x14:dataValidation>
        <x14:dataValidation type="list" allowBlank="1" showInputMessage="1" showErrorMessage="1" xr:uid="{D44F880C-3DC0-4933-87F1-D518F8146F04}">
          <x14:formula1>
            <xm:f>項目!A4:$EHE$655362</xm:f>
          </x14:formula1>
          <xm:sqref>EHN655367:EHN655390</xm:sqref>
        </x14:dataValidation>
        <x14:dataValidation type="list" allowBlank="1" showInputMessage="1" showErrorMessage="1" xr:uid="{55718233-2E7F-4BC7-BE3B-5A4C8D836D63}">
          <x14:formula1>
            <xm:f>項目!A4:$ERA$655362</xm:f>
          </x14:formula1>
          <xm:sqref>ERJ655367:ERJ655390</xm:sqref>
        </x14:dataValidation>
        <x14:dataValidation type="list" allowBlank="1" showInputMessage="1" showErrorMessage="1" xr:uid="{3E3B7598-77B5-48A8-BDD6-CA0C5FF94655}">
          <x14:formula1>
            <xm:f>項目!A4:$FAW$655362</xm:f>
          </x14:formula1>
          <xm:sqref>FBF655367:FBF655390</xm:sqref>
        </x14:dataValidation>
        <x14:dataValidation type="list" allowBlank="1" showInputMessage="1" showErrorMessage="1" xr:uid="{A09371D1-F027-4330-AA5B-3406AA9927F1}">
          <x14:formula1>
            <xm:f>項目!A4:$FKS$655362</xm:f>
          </x14:formula1>
          <xm:sqref>FLB655367:FLB655390</xm:sqref>
        </x14:dataValidation>
        <x14:dataValidation type="list" allowBlank="1" showInputMessage="1" showErrorMessage="1" xr:uid="{7955FFF0-98F5-4398-8784-60FED57E7703}">
          <x14:formula1>
            <xm:f>項目!A4:$FUO$655362</xm:f>
          </x14:formula1>
          <xm:sqref>FUX655367:FUX655390</xm:sqref>
        </x14:dataValidation>
        <x14:dataValidation type="list" allowBlank="1" showInputMessage="1" showErrorMessage="1" xr:uid="{9B78BAEE-64AD-4F2F-8A9E-F3B7F1727231}">
          <x14:formula1>
            <xm:f>項目!A4:$GEK$655362</xm:f>
          </x14:formula1>
          <xm:sqref>GET655367:GET655390</xm:sqref>
        </x14:dataValidation>
        <x14:dataValidation type="list" allowBlank="1" showInputMessage="1" showErrorMessage="1" xr:uid="{028E32F3-5456-4748-B452-496B6384D96F}">
          <x14:formula1>
            <xm:f>項目!A4:$GOG$655362</xm:f>
          </x14:formula1>
          <xm:sqref>GOP655367:GOP655390</xm:sqref>
        </x14:dataValidation>
        <x14:dataValidation type="list" allowBlank="1" showInputMessage="1" showErrorMessage="1" xr:uid="{4AB32AF6-583E-43FE-8810-8A77ED6D55CC}">
          <x14:formula1>
            <xm:f>項目!A4:$GYC$655362</xm:f>
          </x14:formula1>
          <xm:sqref>GYL655367:GYL655390</xm:sqref>
        </x14:dataValidation>
        <x14:dataValidation type="list" allowBlank="1" showInputMessage="1" showErrorMessage="1" xr:uid="{88DF24AF-380E-4F13-979D-B1211B55146B}">
          <x14:formula1>
            <xm:f>項目!A4:$HHY$655362</xm:f>
          </x14:formula1>
          <xm:sqref>HIH655367:HIH655390</xm:sqref>
        </x14:dataValidation>
        <x14:dataValidation type="list" allowBlank="1" showInputMessage="1" showErrorMessage="1" xr:uid="{5D0449A4-F853-4C84-B672-6A38AE53F370}">
          <x14:formula1>
            <xm:f>項目!A4:$HRU$655362</xm:f>
          </x14:formula1>
          <xm:sqref>HSD655367:HSD655390</xm:sqref>
        </x14:dataValidation>
        <x14:dataValidation type="list" allowBlank="1" showInputMessage="1" showErrorMessage="1" xr:uid="{00293E2C-BAC6-4EFD-9E23-FBB9CA007F2C}">
          <x14:formula1>
            <xm:f>項目!A4:$IBQ$655362</xm:f>
          </x14:formula1>
          <xm:sqref>IBZ655367:IBZ655390</xm:sqref>
        </x14:dataValidation>
        <x14:dataValidation type="list" allowBlank="1" showInputMessage="1" showErrorMessage="1" xr:uid="{E319C640-3149-4D44-92D1-DF6D4E61D09F}">
          <x14:formula1>
            <xm:f>項目!A4:$ILM$655362</xm:f>
          </x14:formula1>
          <xm:sqref>ILV655367:ILV655390</xm:sqref>
        </x14:dataValidation>
        <x14:dataValidation type="list" allowBlank="1" showInputMessage="1" showErrorMessage="1" xr:uid="{F58E9ED0-63D8-401A-AEF9-1838B226A7BE}">
          <x14:formula1>
            <xm:f>項目!A4:$IVI$655362</xm:f>
          </x14:formula1>
          <xm:sqref>IVR655367:IVR655390</xm:sqref>
        </x14:dataValidation>
        <x14:dataValidation type="list" allowBlank="1" showInputMessage="1" showErrorMessage="1" xr:uid="{1FB0B72C-2E37-4193-84BB-00124EEDF996}">
          <x14:formula1>
            <xm:f>項目!A4:$JFE$655362</xm:f>
          </x14:formula1>
          <xm:sqref>JFN655367:JFN655390</xm:sqref>
        </x14:dataValidation>
        <x14:dataValidation type="list" allowBlank="1" showInputMessage="1" showErrorMessage="1" xr:uid="{89AB2FAE-B870-4972-BD27-1AF75E5333C6}">
          <x14:formula1>
            <xm:f>項目!A4:$JPA$655362</xm:f>
          </x14:formula1>
          <xm:sqref>JPJ655367:JPJ655390</xm:sqref>
        </x14:dataValidation>
        <x14:dataValidation type="list" allowBlank="1" showInputMessage="1" showErrorMessage="1" xr:uid="{B8006170-43CA-4219-9A4F-93939C3133A5}">
          <x14:formula1>
            <xm:f>項目!A4:$JYW$655362</xm:f>
          </x14:formula1>
          <xm:sqref>JZF655367:JZF655390</xm:sqref>
        </x14:dataValidation>
        <x14:dataValidation type="list" allowBlank="1" showInputMessage="1" showErrorMessage="1" xr:uid="{B8E84936-890D-43DA-9B6A-BD056A5CF7F1}">
          <x14:formula1>
            <xm:f>項目!A4:$KIS$655362</xm:f>
          </x14:formula1>
          <xm:sqref>KJB655367:KJB655390</xm:sqref>
        </x14:dataValidation>
        <x14:dataValidation type="list" allowBlank="1" showInputMessage="1" showErrorMessage="1" xr:uid="{D15A87FB-B0B6-480A-96F6-82007CA22294}">
          <x14:formula1>
            <xm:f>項目!A4:$KSO$655362</xm:f>
          </x14:formula1>
          <xm:sqref>KSX655367:KSX655390</xm:sqref>
        </x14:dataValidation>
        <x14:dataValidation type="list" allowBlank="1" showInputMessage="1" showErrorMessage="1" xr:uid="{71D16FC5-98E4-4A65-B8CC-35E1B68A07CF}">
          <x14:formula1>
            <xm:f>項目!A4:$LCK$655362</xm:f>
          </x14:formula1>
          <xm:sqref>LCT655367:LCT655390</xm:sqref>
        </x14:dataValidation>
        <x14:dataValidation type="list" allowBlank="1" showInputMessage="1" showErrorMessage="1" xr:uid="{62C4303F-D349-4621-BEF4-219C9E85FEFA}">
          <x14:formula1>
            <xm:f>項目!A4:$LMG$655362</xm:f>
          </x14:formula1>
          <xm:sqref>LMP655367:LMP655390</xm:sqref>
        </x14:dataValidation>
        <x14:dataValidation type="list" allowBlank="1" showInputMessage="1" showErrorMessage="1" xr:uid="{77B0E9A1-121D-4006-BD73-F12BBB1F9097}">
          <x14:formula1>
            <xm:f>項目!A4:$LWC$655362</xm:f>
          </x14:formula1>
          <xm:sqref>LWL655367:LWL655390</xm:sqref>
        </x14:dataValidation>
        <x14:dataValidation type="list" allowBlank="1" showInputMessage="1" showErrorMessage="1" xr:uid="{97F69530-3FB0-44A8-9872-78414007E6EC}">
          <x14:formula1>
            <xm:f>項目!A4:$MFY$655362</xm:f>
          </x14:formula1>
          <xm:sqref>MGH655367:MGH655390</xm:sqref>
        </x14:dataValidation>
        <x14:dataValidation type="list" allowBlank="1" showInputMessage="1" showErrorMessage="1" xr:uid="{BCCB18D2-7166-4EF2-8EDB-B96D62399397}">
          <x14:formula1>
            <xm:f>項目!A4:$MPU$655362</xm:f>
          </x14:formula1>
          <xm:sqref>MQD655367:MQD655390</xm:sqref>
        </x14:dataValidation>
        <x14:dataValidation type="list" allowBlank="1" showInputMessage="1" showErrorMessage="1" xr:uid="{0CA32C58-9699-4132-8262-CFE309FC89BF}">
          <x14:formula1>
            <xm:f>項目!A4:$MZQ$655362</xm:f>
          </x14:formula1>
          <xm:sqref>MZZ655367:MZZ655390</xm:sqref>
        </x14:dataValidation>
        <x14:dataValidation type="list" allowBlank="1" showInputMessage="1" showErrorMessage="1" xr:uid="{1BF80E59-2F31-4B7B-BB62-B350E77A9641}">
          <x14:formula1>
            <xm:f>項目!A4:$NJM$655362</xm:f>
          </x14:formula1>
          <xm:sqref>NJV655367:NJV655390</xm:sqref>
        </x14:dataValidation>
        <x14:dataValidation type="list" allowBlank="1" showInputMessage="1" showErrorMessage="1" xr:uid="{08871E5E-C6CE-4D63-BBC1-ADF65B4330E2}">
          <x14:formula1>
            <xm:f>項目!A4:$NTI$655362</xm:f>
          </x14:formula1>
          <xm:sqref>NTR655367:NTR655390</xm:sqref>
        </x14:dataValidation>
        <x14:dataValidation type="list" allowBlank="1" showInputMessage="1" showErrorMessage="1" xr:uid="{AB0DB6D1-A741-4C76-B66E-185E42B61CEA}">
          <x14:formula1>
            <xm:f>項目!A4:$ODE$655362</xm:f>
          </x14:formula1>
          <xm:sqref>ODN655367:ODN655390</xm:sqref>
        </x14:dataValidation>
        <x14:dataValidation type="list" allowBlank="1" showInputMessage="1" showErrorMessage="1" xr:uid="{68ADA6C9-9134-4CDB-A774-7CF4698FF119}">
          <x14:formula1>
            <xm:f>項目!A4:$ONA$655362</xm:f>
          </x14:formula1>
          <xm:sqref>ONJ655367:ONJ655390</xm:sqref>
        </x14:dataValidation>
        <x14:dataValidation type="list" allowBlank="1" showInputMessage="1" showErrorMessage="1" xr:uid="{0D15BAFE-D3D3-4DE6-B9BA-0ED2EE62D726}">
          <x14:formula1>
            <xm:f>項目!A4:$OWW$655362</xm:f>
          </x14:formula1>
          <xm:sqref>OXF655367:OXF655390</xm:sqref>
        </x14:dataValidation>
        <x14:dataValidation type="list" allowBlank="1" showInputMessage="1" showErrorMessage="1" xr:uid="{0506DB42-920E-4F56-A988-5AC53854F76D}">
          <x14:formula1>
            <xm:f>項目!A4:$PGS$655362</xm:f>
          </x14:formula1>
          <xm:sqref>PHB655367:PHB655390</xm:sqref>
        </x14:dataValidation>
        <x14:dataValidation type="list" allowBlank="1" showInputMessage="1" showErrorMessage="1" xr:uid="{A48B0733-57B1-4BB2-B725-17174F1AD10A}">
          <x14:formula1>
            <xm:f>項目!A4:$PQO$655362</xm:f>
          </x14:formula1>
          <xm:sqref>PQX655367:PQX655390</xm:sqref>
        </x14:dataValidation>
        <x14:dataValidation type="list" allowBlank="1" showInputMessage="1" showErrorMessage="1" xr:uid="{8886C9A0-CFB5-42B2-B0F0-271ED416786E}">
          <x14:formula1>
            <xm:f>項目!A4:$QAK$655362</xm:f>
          </x14:formula1>
          <xm:sqref>QAT655367:QAT655390</xm:sqref>
        </x14:dataValidation>
        <x14:dataValidation type="list" allowBlank="1" showInputMessage="1" showErrorMessage="1" xr:uid="{E5F407B1-81A7-482E-B70B-3B8D51801347}">
          <x14:formula1>
            <xm:f>項目!A4:$QKG$655362</xm:f>
          </x14:formula1>
          <xm:sqref>QKP655367:QKP655390</xm:sqref>
        </x14:dataValidation>
        <x14:dataValidation type="list" allowBlank="1" showInputMessage="1" showErrorMessage="1" xr:uid="{2DC79B09-4ECF-4808-9FE5-1C070C81C59F}">
          <x14:formula1>
            <xm:f>項目!A4:$QUC$655362</xm:f>
          </x14:formula1>
          <xm:sqref>QUL655367:QUL655390</xm:sqref>
        </x14:dataValidation>
        <x14:dataValidation type="list" allowBlank="1" showInputMessage="1" showErrorMessage="1" xr:uid="{27A99671-2B50-44A4-B421-D476B72E4F0B}">
          <x14:formula1>
            <xm:f>項目!A4:$RDY$655362</xm:f>
          </x14:formula1>
          <xm:sqref>REH655367:REH655390</xm:sqref>
        </x14:dataValidation>
        <x14:dataValidation type="list" allowBlank="1" showInputMessage="1" showErrorMessage="1" xr:uid="{9AA3E81B-0155-48AA-A14E-4C639ED0B1F5}">
          <x14:formula1>
            <xm:f>項目!A4:$RNU$655362</xm:f>
          </x14:formula1>
          <xm:sqref>ROD655367:ROD655390</xm:sqref>
        </x14:dataValidation>
        <x14:dataValidation type="list" allowBlank="1" showInputMessage="1" showErrorMessage="1" xr:uid="{AA34DEB2-5405-4C24-94C4-A4CD34FD8BB8}">
          <x14:formula1>
            <xm:f>項目!A4:$RXQ$655362</xm:f>
          </x14:formula1>
          <xm:sqref>RXZ655367:RXZ655390</xm:sqref>
        </x14:dataValidation>
        <x14:dataValidation type="list" allowBlank="1" showInputMessage="1" showErrorMessage="1" xr:uid="{8E4D1582-12E4-4450-BA94-FCDF83B8D155}">
          <x14:formula1>
            <xm:f>項目!A4:$SHM$655362</xm:f>
          </x14:formula1>
          <xm:sqref>SHV655367:SHV655390</xm:sqref>
        </x14:dataValidation>
        <x14:dataValidation type="list" allowBlank="1" showInputMessage="1" showErrorMessage="1" xr:uid="{7488A143-C1D7-487D-A6B2-A466725813E2}">
          <x14:formula1>
            <xm:f>項目!A4:$SRI$655362</xm:f>
          </x14:formula1>
          <xm:sqref>SRR655367:SRR655390</xm:sqref>
        </x14:dataValidation>
        <x14:dataValidation type="list" allowBlank="1" showInputMessage="1" showErrorMessage="1" xr:uid="{3B389A21-53F5-4B0D-8DAF-108B51A3C3CC}">
          <x14:formula1>
            <xm:f>項目!A4:$TBE$655362</xm:f>
          </x14:formula1>
          <xm:sqref>TBN655367:TBN655390</xm:sqref>
        </x14:dataValidation>
        <x14:dataValidation type="list" allowBlank="1" showInputMessage="1" showErrorMessage="1" xr:uid="{8CE60081-0EC6-4B59-AAB4-3D27D494227E}">
          <x14:formula1>
            <xm:f>項目!A4:$TLA$655362</xm:f>
          </x14:formula1>
          <xm:sqref>TLJ655367:TLJ655390</xm:sqref>
        </x14:dataValidation>
        <x14:dataValidation type="list" allowBlank="1" showInputMessage="1" showErrorMessage="1" xr:uid="{E1CADE9F-9CC2-4D38-921F-20614EC36CF4}">
          <x14:formula1>
            <xm:f>項目!A4:$TUW$655362</xm:f>
          </x14:formula1>
          <xm:sqref>TVF655367:TVF655390</xm:sqref>
        </x14:dataValidation>
        <x14:dataValidation type="list" allowBlank="1" showInputMessage="1" showErrorMessage="1" xr:uid="{E808E118-BB61-424D-82EB-2174DF4A84F7}">
          <x14:formula1>
            <xm:f>項目!A4:$UES$655362</xm:f>
          </x14:formula1>
          <xm:sqref>UFB655367:UFB655390</xm:sqref>
        </x14:dataValidation>
        <x14:dataValidation type="list" allowBlank="1" showInputMessage="1" showErrorMessage="1" xr:uid="{6E275DC7-E44C-4DBC-A214-8A321D951126}">
          <x14:formula1>
            <xm:f>項目!A4:$UOO$655362</xm:f>
          </x14:formula1>
          <xm:sqref>UOX655367:UOX655390</xm:sqref>
        </x14:dataValidation>
        <x14:dataValidation type="list" allowBlank="1" showInputMessage="1" showErrorMessage="1" xr:uid="{8941CC08-EA9C-4866-8475-9717FF742174}">
          <x14:formula1>
            <xm:f>項目!A4:$UYK$655362</xm:f>
          </x14:formula1>
          <xm:sqref>UYT655367:UYT655390</xm:sqref>
        </x14:dataValidation>
        <x14:dataValidation type="list" allowBlank="1" showInputMessage="1" showErrorMessage="1" xr:uid="{FC771A0E-AB83-488E-A8FA-4BBDA5132D46}">
          <x14:formula1>
            <xm:f>項目!A4:$VIG$655362</xm:f>
          </x14:formula1>
          <xm:sqref>VIP655367:VIP655390</xm:sqref>
        </x14:dataValidation>
        <x14:dataValidation type="list" allowBlank="1" showInputMessage="1" showErrorMessage="1" xr:uid="{1F7AC4D5-31F9-4E7A-BEFA-2FBCFBE3201F}">
          <x14:formula1>
            <xm:f>項目!A4:$VSC$655362</xm:f>
          </x14:formula1>
          <xm:sqref>VSL655367:VSL655390</xm:sqref>
        </x14:dataValidation>
        <x14:dataValidation type="list" allowBlank="1" showInputMessage="1" showErrorMessage="1" xr:uid="{42C64F3B-2D46-429E-AA43-F247F560B06C}">
          <x14:formula1>
            <xm:f>項目!A4:$WBY$655362</xm:f>
          </x14:formula1>
          <xm:sqref>WCH655367:WCH655390</xm:sqref>
        </x14:dataValidation>
        <x14:dataValidation type="list" allowBlank="1" showInputMessage="1" showErrorMessage="1" xr:uid="{6983D83E-22D0-4D61-B30C-F584C29A0F37}">
          <x14:formula1>
            <xm:f>項目!A4:$WLU$655362</xm:f>
          </x14:formula1>
          <xm:sqref>WMD655367:WMD655390</xm:sqref>
        </x14:dataValidation>
        <x14:dataValidation type="list" allowBlank="1" showInputMessage="1" showErrorMessage="1" xr:uid="{7CA51DA2-544C-430C-BEE9-1B6D94666052}">
          <x14:formula1>
            <xm:f>項目!A4:$WVQ$655362</xm:f>
          </x14:formula1>
          <xm:sqref>WVZ655367:WVZ655390</xm:sqref>
        </x14:dataValidation>
        <x14:dataValidation type="list" allowBlank="1" showInputMessage="1" showErrorMessage="1" xr:uid="{44399CC3-C834-4314-B42B-FCCAD0053D57}">
          <x14:formula1>
            <xm:f>項目!A4:$K$720898</xm:f>
          </x14:formula1>
          <xm:sqref>R720903:R720926</xm:sqref>
        </x14:dataValidation>
        <x14:dataValidation type="list" allowBlank="1" showInputMessage="1" showErrorMessage="1" xr:uid="{8A6F0B5B-F0E2-4A93-B430-4D163A8472D5}">
          <x14:formula1>
            <xm:f>項目!A4:$JE$720898</xm:f>
          </x14:formula1>
          <xm:sqref>JN720903:JN720926</xm:sqref>
        </x14:dataValidation>
        <x14:dataValidation type="list" allowBlank="1" showInputMessage="1" showErrorMessage="1" xr:uid="{CA846264-7EB5-4BA9-8324-3D21BCF65640}">
          <x14:formula1>
            <xm:f>項目!A4:$TA$720898</xm:f>
          </x14:formula1>
          <xm:sqref>TJ720903:TJ720926</xm:sqref>
        </x14:dataValidation>
        <x14:dataValidation type="list" allowBlank="1" showInputMessage="1" showErrorMessage="1" xr:uid="{CBAB836D-4F7C-40D6-85F2-1468BED79D3F}">
          <x14:formula1>
            <xm:f>項目!A4:$ACW$720898</xm:f>
          </x14:formula1>
          <xm:sqref>ADF720903:ADF720926</xm:sqref>
        </x14:dataValidation>
        <x14:dataValidation type="list" allowBlank="1" showInputMessage="1" showErrorMessage="1" xr:uid="{7D198258-97E5-4DEA-A8D6-5956B7F9BBA7}">
          <x14:formula1>
            <xm:f>項目!A4:$AMS$720898</xm:f>
          </x14:formula1>
          <xm:sqref>ANB720903:ANB720926</xm:sqref>
        </x14:dataValidation>
        <x14:dataValidation type="list" allowBlank="1" showInputMessage="1" showErrorMessage="1" xr:uid="{8E17BA30-9177-42E9-82EB-C5A96B4DB1DD}">
          <x14:formula1>
            <xm:f>項目!A4:$AWO$720898</xm:f>
          </x14:formula1>
          <xm:sqref>AWX720903:AWX720926</xm:sqref>
        </x14:dataValidation>
        <x14:dataValidation type="list" allowBlank="1" showInputMessage="1" showErrorMessage="1" xr:uid="{8089C26A-0829-447C-9B0F-4F3F8EBFA337}">
          <x14:formula1>
            <xm:f>項目!A4:$BGK$720898</xm:f>
          </x14:formula1>
          <xm:sqref>BGT720903:BGT720926</xm:sqref>
        </x14:dataValidation>
        <x14:dataValidation type="list" allowBlank="1" showInputMessage="1" showErrorMessage="1" xr:uid="{F4E14BDF-D53D-4331-B1FB-B535764A3E59}">
          <x14:formula1>
            <xm:f>項目!A4:$BQG$720898</xm:f>
          </x14:formula1>
          <xm:sqref>BQP720903:BQP720926</xm:sqref>
        </x14:dataValidation>
        <x14:dataValidation type="list" allowBlank="1" showInputMessage="1" showErrorMessage="1" xr:uid="{4A0FD00C-0EB1-45CB-9301-030863B55A9B}">
          <x14:formula1>
            <xm:f>項目!A4:$CAC$720898</xm:f>
          </x14:formula1>
          <xm:sqref>CAL720903:CAL720926</xm:sqref>
        </x14:dataValidation>
        <x14:dataValidation type="list" allowBlank="1" showInputMessage="1" showErrorMessage="1" xr:uid="{F6606251-EDBF-4C60-9197-06FB20DEA70A}">
          <x14:formula1>
            <xm:f>項目!A4:$CJY$720898</xm:f>
          </x14:formula1>
          <xm:sqref>CKH720903:CKH720926</xm:sqref>
        </x14:dataValidation>
        <x14:dataValidation type="list" allowBlank="1" showInputMessage="1" showErrorMessage="1" xr:uid="{3448A0F2-B56C-4B32-A6F6-01C66C0800F7}">
          <x14:formula1>
            <xm:f>項目!A4:$CTU$720898</xm:f>
          </x14:formula1>
          <xm:sqref>CUD720903:CUD720926</xm:sqref>
        </x14:dataValidation>
        <x14:dataValidation type="list" allowBlank="1" showInputMessage="1" showErrorMessage="1" xr:uid="{6ED86F60-4B73-4E63-90B4-AE2DF934983E}">
          <x14:formula1>
            <xm:f>項目!A4:$DDQ$720898</xm:f>
          </x14:formula1>
          <xm:sqref>DDZ720903:DDZ720926</xm:sqref>
        </x14:dataValidation>
        <x14:dataValidation type="list" allowBlank="1" showInputMessage="1" showErrorMessage="1" xr:uid="{54D5BA79-338C-4B13-BB4D-2A35129F6367}">
          <x14:formula1>
            <xm:f>項目!A4:$DNM$720898</xm:f>
          </x14:formula1>
          <xm:sqref>DNV720903:DNV720926</xm:sqref>
        </x14:dataValidation>
        <x14:dataValidation type="list" allowBlank="1" showInputMessage="1" showErrorMessage="1" xr:uid="{DF2A7AC4-35E8-49FB-9DC5-74A193C88DFE}">
          <x14:formula1>
            <xm:f>項目!A4:$DXI$720898</xm:f>
          </x14:formula1>
          <xm:sqref>DXR720903:DXR720926</xm:sqref>
        </x14:dataValidation>
        <x14:dataValidation type="list" allowBlank="1" showInputMessage="1" showErrorMessage="1" xr:uid="{561EC274-2678-4C8D-9144-7DB901FB7B16}">
          <x14:formula1>
            <xm:f>項目!A4:$EHE$720898</xm:f>
          </x14:formula1>
          <xm:sqref>EHN720903:EHN720926</xm:sqref>
        </x14:dataValidation>
        <x14:dataValidation type="list" allowBlank="1" showInputMessage="1" showErrorMessage="1" xr:uid="{A01F22A5-00A3-4DC5-A55C-CAB3A5AAF295}">
          <x14:formula1>
            <xm:f>項目!A4:$ERA$720898</xm:f>
          </x14:formula1>
          <xm:sqref>ERJ720903:ERJ720926</xm:sqref>
        </x14:dataValidation>
        <x14:dataValidation type="list" allowBlank="1" showInputMessage="1" showErrorMessage="1" xr:uid="{925C0510-FCD4-4766-9356-9DFDC7293FED}">
          <x14:formula1>
            <xm:f>項目!A4:$FAW$720898</xm:f>
          </x14:formula1>
          <xm:sqref>FBF720903:FBF720926</xm:sqref>
        </x14:dataValidation>
        <x14:dataValidation type="list" allowBlank="1" showInputMessage="1" showErrorMessage="1" xr:uid="{E2324F86-8D5C-49D7-942C-F9EDA2D37E1E}">
          <x14:formula1>
            <xm:f>項目!A4:$FKS$720898</xm:f>
          </x14:formula1>
          <xm:sqref>FLB720903:FLB720926</xm:sqref>
        </x14:dataValidation>
        <x14:dataValidation type="list" allowBlank="1" showInputMessage="1" showErrorMessage="1" xr:uid="{A69111FE-7C6F-45D8-9702-BBED1D29E6DA}">
          <x14:formula1>
            <xm:f>項目!A4:$FUO$720898</xm:f>
          </x14:formula1>
          <xm:sqref>FUX720903:FUX720926</xm:sqref>
        </x14:dataValidation>
        <x14:dataValidation type="list" allowBlank="1" showInputMessage="1" showErrorMessage="1" xr:uid="{BD9E2E34-A640-4E7B-BF8C-23EAF1278EB9}">
          <x14:formula1>
            <xm:f>項目!A4:$GEK$720898</xm:f>
          </x14:formula1>
          <xm:sqref>GET720903:GET720926</xm:sqref>
        </x14:dataValidation>
        <x14:dataValidation type="list" allowBlank="1" showInputMessage="1" showErrorMessage="1" xr:uid="{D2B6E8FF-3E1C-4184-98F2-EA9CAD4F4EC7}">
          <x14:formula1>
            <xm:f>項目!A4:$GOG$720898</xm:f>
          </x14:formula1>
          <xm:sqref>GOP720903:GOP720926</xm:sqref>
        </x14:dataValidation>
        <x14:dataValidation type="list" allowBlank="1" showInputMessage="1" showErrorMessage="1" xr:uid="{A0E6B963-3997-4C9E-B78E-056B3D060F62}">
          <x14:formula1>
            <xm:f>項目!A4:$GYC$720898</xm:f>
          </x14:formula1>
          <xm:sqref>GYL720903:GYL720926</xm:sqref>
        </x14:dataValidation>
        <x14:dataValidation type="list" allowBlank="1" showInputMessage="1" showErrorMessage="1" xr:uid="{16039552-ACA4-445F-A46C-3DB992F78A68}">
          <x14:formula1>
            <xm:f>項目!A4:$HHY$720898</xm:f>
          </x14:formula1>
          <xm:sqref>HIH720903:HIH720926</xm:sqref>
        </x14:dataValidation>
        <x14:dataValidation type="list" allowBlank="1" showInputMessage="1" showErrorMessage="1" xr:uid="{C508C066-91F9-4B88-B500-9D8287CA52FC}">
          <x14:formula1>
            <xm:f>項目!A4:$HRU$720898</xm:f>
          </x14:formula1>
          <xm:sqref>HSD720903:HSD720926</xm:sqref>
        </x14:dataValidation>
        <x14:dataValidation type="list" allowBlank="1" showInputMessage="1" showErrorMessage="1" xr:uid="{1850691E-C363-4896-9326-E753290838C5}">
          <x14:formula1>
            <xm:f>項目!A4:$IBQ$720898</xm:f>
          </x14:formula1>
          <xm:sqref>IBZ720903:IBZ720926</xm:sqref>
        </x14:dataValidation>
        <x14:dataValidation type="list" allowBlank="1" showInputMessage="1" showErrorMessage="1" xr:uid="{110AEA21-ECBC-41E3-88B8-1BE8D9537817}">
          <x14:formula1>
            <xm:f>項目!A4:$ILM$720898</xm:f>
          </x14:formula1>
          <xm:sqref>ILV720903:ILV720926</xm:sqref>
        </x14:dataValidation>
        <x14:dataValidation type="list" allowBlank="1" showInputMessage="1" showErrorMessage="1" xr:uid="{847AAE65-4659-4A07-9EAF-EFAE4795ADE7}">
          <x14:formula1>
            <xm:f>項目!A4:$IVI$720898</xm:f>
          </x14:formula1>
          <xm:sqref>IVR720903:IVR720926</xm:sqref>
        </x14:dataValidation>
        <x14:dataValidation type="list" allowBlank="1" showInputMessage="1" showErrorMessage="1" xr:uid="{61031464-D15B-480D-BE5B-519A82759A88}">
          <x14:formula1>
            <xm:f>項目!A4:$JFE$720898</xm:f>
          </x14:formula1>
          <xm:sqref>JFN720903:JFN720926</xm:sqref>
        </x14:dataValidation>
        <x14:dataValidation type="list" allowBlank="1" showInputMessage="1" showErrorMessage="1" xr:uid="{77B5AA6D-01F1-4694-93D6-294CE977DF05}">
          <x14:formula1>
            <xm:f>項目!A4:$JPA$720898</xm:f>
          </x14:formula1>
          <xm:sqref>JPJ720903:JPJ720926</xm:sqref>
        </x14:dataValidation>
        <x14:dataValidation type="list" allowBlank="1" showInputMessage="1" showErrorMessage="1" xr:uid="{08CC92D1-186F-4878-8F71-427828716238}">
          <x14:formula1>
            <xm:f>項目!A4:$JYW$720898</xm:f>
          </x14:formula1>
          <xm:sqref>JZF720903:JZF720926</xm:sqref>
        </x14:dataValidation>
        <x14:dataValidation type="list" allowBlank="1" showInputMessage="1" showErrorMessage="1" xr:uid="{CD8A4992-215C-4D24-897F-C1FCC512FD98}">
          <x14:formula1>
            <xm:f>項目!A4:$KIS$720898</xm:f>
          </x14:formula1>
          <xm:sqref>KJB720903:KJB720926</xm:sqref>
        </x14:dataValidation>
        <x14:dataValidation type="list" allowBlank="1" showInputMessage="1" showErrorMessage="1" xr:uid="{752C701F-1380-4FEF-B739-CC4B6A707717}">
          <x14:formula1>
            <xm:f>項目!A4:$KSO$720898</xm:f>
          </x14:formula1>
          <xm:sqref>KSX720903:KSX720926</xm:sqref>
        </x14:dataValidation>
        <x14:dataValidation type="list" allowBlank="1" showInputMessage="1" showErrorMessage="1" xr:uid="{126C79E8-6475-49CA-B176-D2A20D2BD356}">
          <x14:formula1>
            <xm:f>項目!A4:$LCK$720898</xm:f>
          </x14:formula1>
          <xm:sqref>LCT720903:LCT720926</xm:sqref>
        </x14:dataValidation>
        <x14:dataValidation type="list" allowBlank="1" showInputMessage="1" showErrorMessage="1" xr:uid="{3779668D-CDD2-452D-A786-88627301072B}">
          <x14:formula1>
            <xm:f>項目!A4:$LMG$720898</xm:f>
          </x14:formula1>
          <xm:sqref>LMP720903:LMP720926</xm:sqref>
        </x14:dataValidation>
        <x14:dataValidation type="list" allowBlank="1" showInputMessage="1" showErrorMessage="1" xr:uid="{F9D36EF0-539F-4851-96F2-E569A2884B67}">
          <x14:formula1>
            <xm:f>項目!A4:$LWC$720898</xm:f>
          </x14:formula1>
          <xm:sqref>LWL720903:LWL720926</xm:sqref>
        </x14:dataValidation>
        <x14:dataValidation type="list" allowBlank="1" showInputMessage="1" showErrorMessage="1" xr:uid="{13F345DD-447D-4B3F-9188-1396E85E72C8}">
          <x14:formula1>
            <xm:f>項目!A4:$MFY$720898</xm:f>
          </x14:formula1>
          <xm:sqref>MGH720903:MGH720926</xm:sqref>
        </x14:dataValidation>
        <x14:dataValidation type="list" allowBlank="1" showInputMessage="1" showErrorMessage="1" xr:uid="{A557AE8D-2503-4E59-9924-DEECFFBFF06B}">
          <x14:formula1>
            <xm:f>項目!A4:$MPU$720898</xm:f>
          </x14:formula1>
          <xm:sqref>MQD720903:MQD720926</xm:sqref>
        </x14:dataValidation>
        <x14:dataValidation type="list" allowBlank="1" showInputMessage="1" showErrorMessage="1" xr:uid="{8A222403-CC01-45DC-88F3-6C2437A6291C}">
          <x14:formula1>
            <xm:f>項目!A4:$MZQ$720898</xm:f>
          </x14:formula1>
          <xm:sqref>MZZ720903:MZZ720926</xm:sqref>
        </x14:dataValidation>
        <x14:dataValidation type="list" allowBlank="1" showInputMessage="1" showErrorMessage="1" xr:uid="{43614B2E-26FA-4825-A8CE-3B6ED1EA9235}">
          <x14:formula1>
            <xm:f>項目!A4:$NJM$720898</xm:f>
          </x14:formula1>
          <xm:sqref>NJV720903:NJV720926</xm:sqref>
        </x14:dataValidation>
        <x14:dataValidation type="list" allowBlank="1" showInputMessage="1" showErrorMessage="1" xr:uid="{F39FCF8D-6950-46B1-80E3-4E946E3EB038}">
          <x14:formula1>
            <xm:f>項目!A4:$NTI$720898</xm:f>
          </x14:formula1>
          <xm:sqref>NTR720903:NTR720926</xm:sqref>
        </x14:dataValidation>
        <x14:dataValidation type="list" allowBlank="1" showInputMessage="1" showErrorMessage="1" xr:uid="{28B300BD-3C21-4E3C-B306-A3F70C0763C8}">
          <x14:formula1>
            <xm:f>項目!A4:$ODE$720898</xm:f>
          </x14:formula1>
          <xm:sqref>ODN720903:ODN720926</xm:sqref>
        </x14:dataValidation>
        <x14:dataValidation type="list" allowBlank="1" showInputMessage="1" showErrorMessage="1" xr:uid="{DB700ED5-0D15-4A56-BCDA-F4D74CA73B8A}">
          <x14:formula1>
            <xm:f>項目!A4:$ONA$720898</xm:f>
          </x14:formula1>
          <xm:sqref>ONJ720903:ONJ720926</xm:sqref>
        </x14:dataValidation>
        <x14:dataValidation type="list" allowBlank="1" showInputMessage="1" showErrorMessage="1" xr:uid="{306CDA8F-5D83-40D3-9A37-0ACD1DBD9BB3}">
          <x14:formula1>
            <xm:f>項目!A4:$OWW$720898</xm:f>
          </x14:formula1>
          <xm:sqref>OXF720903:OXF720926</xm:sqref>
        </x14:dataValidation>
        <x14:dataValidation type="list" allowBlank="1" showInputMessage="1" showErrorMessage="1" xr:uid="{FA0A4C15-FEF0-4B9A-947C-842883EBE6CC}">
          <x14:formula1>
            <xm:f>項目!A4:$PGS$720898</xm:f>
          </x14:formula1>
          <xm:sqref>PHB720903:PHB720926</xm:sqref>
        </x14:dataValidation>
        <x14:dataValidation type="list" allowBlank="1" showInputMessage="1" showErrorMessage="1" xr:uid="{BC1A1C12-65B1-4FDA-9EDE-199BC6A2E707}">
          <x14:formula1>
            <xm:f>項目!A4:$PQO$720898</xm:f>
          </x14:formula1>
          <xm:sqref>PQX720903:PQX720926</xm:sqref>
        </x14:dataValidation>
        <x14:dataValidation type="list" allowBlank="1" showInputMessage="1" showErrorMessage="1" xr:uid="{F5AB129D-C40E-432F-8ECB-926AEBB3150A}">
          <x14:formula1>
            <xm:f>項目!A4:$QAK$720898</xm:f>
          </x14:formula1>
          <xm:sqref>QAT720903:QAT720926</xm:sqref>
        </x14:dataValidation>
        <x14:dataValidation type="list" allowBlank="1" showInputMessage="1" showErrorMessage="1" xr:uid="{6253ABFE-E012-42DF-B48E-F675DBE1BDE5}">
          <x14:formula1>
            <xm:f>項目!A4:$QKG$720898</xm:f>
          </x14:formula1>
          <xm:sqref>QKP720903:QKP720926</xm:sqref>
        </x14:dataValidation>
        <x14:dataValidation type="list" allowBlank="1" showInputMessage="1" showErrorMessage="1" xr:uid="{AD102D82-0DAB-492F-920F-B68ACA8D32B1}">
          <x14:formula1>
            <xm:f>項目!A4:$QUC$720898</xm:f>
          </x14:formula1>
          <xm:sqref>QUL720903:QUL720926</xm:sqref>
        </x14:dataValidation>
        <x14:dataValidation type="list" allowBlank="1" showInputMessage="1" showErrorMessage="1" xr:uid="{E2BD4C6F-D33F-4EDB-8589-4F94004A809A}">
          <x14:formula1>
            <xm:f>項目!A4:$RDY$720898</xm:f>
          </x14:formula1>
          <xm:sqref>REH720903:REH720926</xm:sqref>
        </x14:dataValidation>
        <x14:dataValidation type="list" allowBlank="1" showInputMessage="1" showErrorMessage="1" xr:uid="{69721F24-E0DA-4396-99DE-977CABB4E6B8}">
          <x14:formula1>
            <xm:f>項目!A4:$RNU$720898</xm:f>
          </x14:formula1>
          <xm:sqref>ROD720903:ROD720926</xm:sqref>
        </x14:dataValidation>
        <x14:dataValidation type="list" allowBlank="1" showInputMessage="1" showErrorMessage="1" xr:uid="{52C266C8-842F-4EC9-A1DD-F98943E255DF}">
          <x14:formula1>
            <xm:f>項目!A4:$RXQ$720898</xm:f>
          </x14:formula1>
          <xm:sqref>RXZ720903:RXZ720926</xm:sqref>
        </x14:dataValidation>
        <x14:dataValidation type="list" allowBlank="1" showInputMessage="1" showErrorMessage="1" xr:uid="{5FC7AE79-8078-4440-8EE6-B1F7F98BB6F6}">
          <x14:formula1>
            <xm:f>項目!A4:$SHM$720898</xm:f>
          </x14:formula1>
          <xm:sqref>SHV720903:SHV720926</xm:sqref>
        </x14:dataValidation>
        <x14:dataValidation type="list" allowBlank="1" showInputMessage="1" showErrorMessage="1" xr:uid="{FB847E80-3A43-4929-8680-D723500470E7}">
          <x14:formula1>
            <xm:f>項目!A4:$SRI$720898</xm:f>
          </x14:formula1>
          <xm:sqref>SRR720903:SRR720926</xm:sqref>
        </x14:dataValidation>
        <x14:dataValidation type="list" allowBlank="1" showInputMessage="1" showErrorMessage="1" xr:uid="{D59D38D4-2BDA-4F6D-A468-A790BC218F2A}">
          <x14:formula1>
            <xm:f>項目!A4:$TBE$720898</xm:f>
          </x14:formula1>
          <xm:sqref>TBN720903:TBN720926</xm:sqref>
        </x14:dataValidation>
        <x14:dataValidation type="list" allowBlank="1" showInputMessage="1" showErrorMessage="1" xr:uid="{2D9B8AC0-741E-48DD-9ECC-53FFAF255061}">
          <x14:formula1>
            <xm:f>項目!A4:$TLA$720898</xm:f>
          </x14:formula1>
          <xm:sqref>TLJ720903:TLJ720926</xm:sqref>
        </x14:dataValidation>
        <x14:dataValidation type="list" allowBlank="1" showInputMessage="1" showErrorMessage="1" xr:uid="{284D2EA9-902E-498D-B6AB-30593C8F7D7B}">
          <x14:formula1>
            <xm:f>項目!A4:$TUW$720898</xm:f>
          </x14:formula1>
          <xm:sqref>TVF720903:TVF720926</xm:sqref>
        </x14:dataValidation>
        <x14:dataValidation type="list" allowBlank="1" showInputMessage="1" showErrorMessage="1" xr:uid="{190D26A0-74ED-4450-9E8D-C0A7C2624F49}">
          <x14:formula1>
            <xm:f>項目!A4:$UES$720898</xm:f>
          </x14:formula1>
          <xm:sqref>UFB720903:UFB720926</xm:sqref>
        </x14:dataValidation>
        <x14:dataValidation type="list" allowBlank="1" showInputMessage="1" showErrorMessage="1" xr:uid="{3C357CBA-F80A-4409-ACEA-E7E2806056F2}">
          <x14:formula1>
            <xm:f>項目!A4:$UOO$720898</xm:f>
          </x14:formula1>
          <xm:sqref>UOX720903:UOX720926</xm:sqref>
        </x14:dataValidation>
        <x14:dataValidation type="list" allowBlank="1" showInputMessage="1" showErrorMessage="1" xr:uid="{BC3C3F0A-E371-4B98-990A-C636170B84D4}">
          <x14:formula1>
            <xm:f>項目!A4:$UYK$720898</xm:f>
          </x14:formula1>
          <xm:sqref>UYT720903:UYT720926</xm:sqref>
        </x14:dataValidation>
        <x14:dataValidation type="list" allowBlank="1" showInputMessage="1" showErrorMessage="1" xr:uid="{4B01ABFC-09A6-4020-A2AF-BDD1CA640CC3}">
          <x14:formula1>
            <xm:f>項目!A4:$VIG$720898</xm:f>
          </x14:formula1>
          <xm:sqref>VIP720903:VIP720926</xm:sqref>
        </x14:dataValidation>
        <x14:dataValidation type="list" allowBlank="1" showInputMessage="1" showErrorMessage="1" xr:uid="{9BEC22E7-C6E0-42D0-A042-6FC98B422118}">
          <x14:formula1>
            <xm:f>項目!A4:$VSC$720898</xm:f>
          </x14:formula1>
          <xm:sqref>VSL720903:VSL720926</xm:sqref>
        </x14:dataValidation>
        <x14:dataValidation type="list" allowBlank="1" showInputMessage="1" showErrorMessage="1" xr:uid="{411CB7CA-9486-4C20-B539-634BC9A128FA}">
          <x14:formula1>
            <xm:f>項目!A4:$WBY$720898</xm:f>
          </x14:formula1>
          <xm:sqref>WCH720903:WCH720926</xm:sqref>
        </x14:dataValidation>
        <x14:dataValidation type="list" allowBlank="1" showInputMessage="1" showErrorMessage="1" xr:uid="{0E0B15BD-FBDF-427C-8724-0105BDDF0BAA}">
          <x14:formula1>
            <xm:f>項目!A4:$WLU$720898</xm:f>
          </x14:formula1>
          <xm:sqref>WMD720903:WMD720926</xm:sqref>
        </x14:dataValidation>
        <x14:dataValidation type="list" allowBlank="1" showInputMessage="1" showErrorMessage="1" xr:uid="{A4A5FCD3-A442-48DD-8DBB-2A447BCEC7B8}">
          <x14:formula1>
            <xm:f>項目!A4:$WVQ$720898</xm:f>
          </x14:formula1>
          <xm:sqref>WVZ720903:WVZ720926</xm:sqref>
        </x14:dataValidation>
        <x14:dataValidation type="list" allowBlank="1" showInputMessage="1" showErrorMessage="1" xr:uid="{1F38B015-7343-4463-8F80-0E48DE6B18D8}">
          <x14:formula1>
            <xm:f>項目!A4:$K$786434</xm:f>
          </x14:formula1>
          <xm:sqref>R786439:R786462</xm:sqref>
        </x14:dataValidation>
        <x14:dataValidation type="list" allowBlank="1" showInputMessage="1" showErrorMessage="1" xr:uid="{02B3F5E3-72D4-4384-BE0E-AC77DA148A99}">
          <x14:formula1>
            <xm:f>項目!A4:$JE$786434</xm:f>
          </x14:formula1>
          <xm:sqref>JN786439:JN786462</xm:sqref>
        </x14:dataValidation>
        <x14:dataValidation type="list" allowBlank="1" showInputMessage="1" showErrorMessage="1" xr:uid="{5CBF1160-533A-4634-B0E9-2AE5B2B51A93}">
          <x14:formula1>
            <xm:f>項目!A4:$TA$786434</xm:f>
          </x14:formula1>
          <xm:sqref>TJ786439:TJ786462</xm:sqref>
        </x14:dataValidation>
        <x14:dataValidation type="list" allowBlank="1" showInputMessage="1" showErrorMessage="1" xr:uid="{26EB8B17-0DDC-4115-A477-65C816ECA17D}">
          <x14:formula1>
            <xm:f>項目!A4:$ACW$786434</xm:f>
          </x14:formula1>
          <xm:sqref>ADF786439:ADF786462</xm:sqref>
        </x14:dataValidation>
        <x14:dataValidation type="list" allowBlank="1" showInputMessage="1" showErrorMessage="1" xr:uid="{73023C3A-74B0-4983-80CA-C36962558760}">
          <x14:formula1>
            <xm:f>項目!A4:$AMS$786434</xm:f>
          </x14:formula1>
          <xm:sqref>ANB786439:ANB786462</xm:sqref>
        </x14:dataValidation>
        <x14:dataValidation type="list" allowBlank="1" showInputMessage="1" showErrorMessage="1" xr:uid="{7A4FABE3-C228-45CB-B692-FE3F0143942D}">
          <x14:formula1>
            <xm:f>項目!A4:$AWO$786434</xm:f>
          </x14:formula1>
          <xm:sqref>AWX786439:AWX786462</xm:sqref>
        </x14:dataValidation>
        <x14:dataValidation type="list" allowBlank="1" showInputMessage="1" showErrorMessage="1" xr:uid="{69447896-7509-43DE-AF74-AED13E15216B}">
          <x14:formula1>
            <xm:f>項目!A4:$BGK$786434</xm:f>
          </x14:formula1>
          <xm:sqref>BGT786439:BGT786462</xm:sqref>
        </x14:dataValidation>
        <x14:dataValidation type="list" allowBlank="1" showInputMessage="1" showErrorMessage="1" xr:uid="{F5BC7085-3C58-4ADC-9BE6-842BE8EC6893}">
          <x14:formula1>
            <xm:f>項目!A4:$BQG$786434</xm:f>
          </x14:formula1>
          <xm:sqref>BQP786439:BQP786462</xm:sqref>
        </x14:dataValidation>
        <x14:dataValidation type="list" allowBlank="1" showInputMessage="1" showErrorMessage="1" xr:uid="{8DF61749-232A-45C5-8166-06D20510C0DB}">
          <x14:formula1>
            <xm:f>項目!A4:$CAC$786434</xm:f>
          </x14:formula1>
          <xm:sqref>CAL786439:CAL786462</xm:sqref>
        </x14:dataValidation>
        <x14:dataValidation type="list" allowBlank="1" showInputMessage="1" showErrorMessage="1" xr:uid="{06E6537D-75F8-46AE-AB8E-75ECFC8C99B0}">
          <x14:formula1>
            <xm:f>項目!A4:$CJY$786434</xm:f>
          </x14:formula1>
          <xm:sqref>CKH786439:CKH786462</xm:sqref>
        </x14:dataValidation>
        <x14:dataValidation type="list" allowBlank="1" showInputMessage="1" showErrorMessage="1" xr:uid="{A1C40795-92BF-4819-A317-05343DB3E792}">
          <x14:formula1>
            <xm:f>項目!A4:$CTU$786434</xm:f>
          </x14:formula1>
          <xm:sqref>CUD786439:CUD786462</xm:sqref>
        </x14:dataValidation>
        <x14:dataValidation type="list" allowBlank="1" showInputMessage="1" showErrorMessage="1" xr:uid="{EF4C5086-C898-4AC4-A394-E7B1DAC4AC02}">
          <x14:formula1>
            <xm:f>項目!A4:$DDQ$786434</xm:f>
          </x14:formula1>
          <xm:sqref>DDZ786439:DDZ786462</xm:sqref>
        </x14:dataValidation>
        <x14:dataValidation type="list" allowBlank="1" showInputMessage="1" showErrorMessage="1" xr:uid="{72F4F03B-BF33-412A-9545-EE45C9795472}">
          <x14:formula1>
            <xm:f>項目!A4:$DNM$786434</xm:f>
          </x14:formula1>
          <xm:sqref>DNV786439:DNV786462</xm:sqref>
        </x14:dataValidation>
        <x14:dataValidation type="list" allowBlank="1" showInputMessage="1" showErrorMessage="1" xr:uid="{A97178F7-F98C-464D-8B4A-18763B39B010}">
          <x14:formula1>
            <xm:f>項目!A4:$DXI$786434</xm:f>
          </x14:formula1>
          <xm:sqref>DXR786439:DXR786462</xm:sqref>
        </x14:dataValidation>
        <x14:dataValidation type="list" allowBlank="1" showInputMessage="1" showErrorMessage="1" xr:uid="{F109D08F-8ACD-424A-855B-12516C6E1BBA}">
          <x14:formula1>
            <xm:f>項目!A4:$EHE$786434</xm:f>
          </x14:formula1>
          <xm:sqref>EHN786439:EHN786462</xm:sqref>
        </x14:dataValidation>
        <x14:dataValidation type="list" allowBlank="1" showInputMessage="1" showErrorMessage="1" xr:uid="{D2954A2B-D214-448A-9EAE-047650EEB18F}">
          <x14:formula1>
            <xm:f>項目!A4:$ERA$786434</xm:f>
          </x14:formula1>
          <xm:sqref>ERJ786439:ERJ786462</xm:sqref>
        </x14:dataValidation>
        <x14:dataValidation type="list" allowBlank="1" showInputMessage="1" showErrorMessage="1" xr:uid="{A02BF534-108B-4971-A71E-24E2C0CCA190}">
          <x14:formula1>
            <xm:f>項目!A4:$FAW$786434</xm:f>
          </x14:formula1>
          <xm:sqref>FBF786439:FBF786462</xm:sqref>
        </x14:dataValidation>
        <x14:dataValidation type="list" allowBlank="1" showInputMessage="1" showErrorMessage="1" xr:uid="{CB0F7B6E-46B9-40ED-BD82-6A1219CCA3D7}">
          <x14:formula1>
            <xm:f>項目!A4:$FKS$786434</xm:f>
          </x14:formula1>
          <xm:sqref>FLB786439:FLB786462</xm:sqref>
        </x14:dataValidation>
        <x14:dataValidation type="list" allowBlank="1" showInputMessage="1" showErrorMessage="1" xr:uid="{23745B78-EAD5-400E-B7AF-C0647DABE62A}">
          <x14:formula1>
            <xm:f>項目!A4:$FUO$786434</xm:f>
          </x14:formula1>
          <xm:sqref>FUX786439:FUX786462</xm:sqref>
        </x14:dataValidation>
        <x14:dataValidation type="list" allowBlank="1" showInputMessage="1" showErrorMessage="1" xr:uid="{EF48AE21-11D2-4064-A3F9-02254E00BDE5}">
          <x14:formula1>
            <xm:f>項目!A4:$GEK$786434</xm:f>
          </x14:formula1>
          <xm:sqref>GET786439:GET786462</xm:sqref>
        </x14:dataValidation>
        <x14:dataValidation type="list" allowBlank="1" showInputMessage="1" showErrorMessage="1" xr:uid="{B2DC39C6-B66D-4B0C-952B-A875F30F030B}">
          <x14:formula1>
            <xm:f>項目!A4:$GOG$786434</xm:f>
          </x14:formula1>
          <xm:sqref>GOP786439:GOP786462</xm:sqref>
        </x14:dataValidation>
        <x14:dataValidation type="list" allowBlank="1" showInputMessage="1" showErrorMessage="1" xr:uid="{DB97C628-F20F-4E8E-8E5C-787AB0330101}">
          <x14:formula1>
            <xm:f>項目!A4:$GYC$786434</xm:f>
          </x14:formula1>
          <xm:sqref>GYL786439:GYL786462</xm:sqref>
        </x14:dataValidation>
        <x14:dataValidation type="list" allowBlank="1" showInputMessage="1" showErrorMessage="1" xr:uid="{3BD32EB8-BC69-441B-BC3E-25C0D3299228}">
          <x14:formula1>
            <xm:f>項目!A4:$HHY$786434</xm:f>
          </x14:formula1>
          <xm:sqref>HIH786439:HIH786462</xm:sqref>
        </x14:dataValidation>
        <x14:dataValidation type="list" allowBlank="1" showInputMessage="1" showErrorMessage="1" xr:uid="{49DC7F58-3D1D-42FD-812B-578F04428329}">
          <x14:formula1>
            <xm:f>項目!A4:$HRU$786434</xm:f>
          </x14:formula1>
          <xm:sqref>HSD786439:HSD786462</xm:sqref>
        </x14:dataValidation>
        <x14:dataValidation type="list" allowBlank="1" showInputMessage="1" showErrorMessage="1" xr:uid="{057B90ED-522A-47F1-85FD-828B7896E589}">
          <x14:formula1>
            <xm:f>項目!A4:$IBQ$786434</xm:f>
          </x14:formula1>
          <xm:sqref>IBZ786439:IBZ786462</xm:sqref>
        </x14:dataValidation>
        <x14:dataValidation type="list" allowBlank="1" showInputMessage="1" showErrorMessage="1" xr:uid="{2F8DB306-3E5A-45A6-97EE-4D394F9E6656}">
          <x14:formula1>
            <xm:f>項目!A4:$ILM$786434</xm:f>
          </x14:formula1>
          <xm:sqref>ILV786439:ILV786462</xm:sqref>
        </x14:dataValidation>
        <x14:dataValidation type="list" allowBlank="1" showInputMessage="1" showErrorMessage="1" xr:uid="{BE7A3C80-B49A-437D-A80F-838C6FA10E5B}">
          <x14:formula1>
            <xm:f>項目!A4:$IVI$786434</xm:f>
          </x14:formula1>
          <xm:sqref>IVR786439:IVR786462</xm:sqref>
        </x14:dataValidation>
        <x14:dataValidation type="list" allowBlank="1" showInputMessage="1" showErrorMessage="1" xr:uid="{A8A889B4-564F-4DB4-837D-F027223DEF9D}">
          <x14:formula1>
            <xm:f>項目!A4:$JFE$786434</xm:f>
          </x14:formula1>
          <xm:sqref>JFN786439:JFN786462</xm:sqref>
        </x14:dataValidation>
        <x14:dataValidation type="list" allowBlank="1" showInputMessage="1" showErrorMessage="1" xr:uid="{8CBCF01A-EBFF-457D-AB97-A665B5D46601}">
          <x14:formula1>
            <xm:f>項目!A4:$JPA$786434</xm:f>
          </x14:formula1>
          <xm:sqref>JPJ786439:JPJ786462</xm:sqref>
        </x14:dataValidation>
        <x14:dataValidation type="list" allowBlank="1" showInputMessage="1" showErrorMessage="1" xr:uid="{E4C0C083-FC50-4FD9-875F-A3FE02BD2674}">
          <x14:formula1>
            <xm:f>項目!A4:$JYW$786434</xm:f>
          </x14:formula1>
          <xm:sqref>JZF786439:JZF786462</xm:sqref>
        </x14:dataValidation>
        <x14:dataValidation type="list" allowBlank="1" showInputMessage="1" showErrorMessage="1" xr:uid="{B19E1A63-8370-49B9-8D70-1612834190BD}">
          <x14:formula1>
            <xm:f>項目!A4:$KIS$786434</xm:f>
          </x14:formula1>
          <xm:sqref>KJB786439:KJB786462</xm:sqref>
        </x14:dataValidation>
        <x14:dataValidation type="list" allowBlank="1" showInputMessage="1" showErrorMessage="1" xr:uid="{47A93AEF-A9C6-4034-B5D0-6FF9D975AA52}">
          <x14:formula1>
            <xm:f>項目!A4:$KSO$786434</xm:f>
          </x14:formula1>
          <xm:sqref>KSX786439:KSX786462</xm:sqref>
        </x14:dataValidation>
        <x14:dataValidation type="list" allowBlank="1" showInputMessage="1" showErrorMessage="1" xr:uid="{E2344C42-7FBC-4CC7-9184-1A4CA70DAE3C}">
          <x14:formula1>
            <xm:f>項目!A4:$LCK$786434</xm:f>
          </x14:formula1>
          <xm:sqref>LCT786439:LCT786462</xm:sqref>
        </x14:dataValidation>
        <x14:dataValidation type="list" allowBlank="1" showInputMessage="1" showErrorMessage="1" xr:uid="{9C2CD9A7-CC1D-44C1-8975-455946D6E3E9}">
          <x14:formula1>
            <xm:f>項目!A4:$LMG$786434</xm:f>
          </x14:formula1>
          <xm:sqref>LMP786439:LMP786462</xm:sqref>
        </x14:dataValidation>
        <x14:dataValidation type="list" allowBlank="1" showInputMessage="1" showErrorMessage="1" xr:uid="{5E3916B1-A3BC-4C97-90CA-443A76F3B121}">
          <x14:formula1>
            <xm:f>項目!A4:$LWC$786434</xm:f>
          </x14:formula1>
          <xm:sqref>LWL786439:LWL786462</xm:sqref>
        </x14:dataValidation>
        <x14:dataValidation type="list" allowBlank="1" showInputMessage="1" showErrorMessage="1" xr:uid="{F621CD2E-4E34-4E0D-A848-1322F5817AD9}">
          <x14:formula1>
            <xm:f>項目!A4:$MFY$786434</xm:f>
          </x14:formula1>
          <xm:sqref>MGH786439:MGH786462</xm:sqref>
        </x14:dataValidation>
        <x14:dataValidation type="list" allowBlank="1" showInputMessage="1" showErrorMessage="1" xr:uid="{67DCD1EC-159E-4D39-BB96-5FD5BDC2660D}">
          <x14:formula1>
            <xm:f>項目!A4:$MPU$786434</xm:f>
          </x14:formula1>
          <xm:sqref>MQD786439:MQD786462</xm:sqref>
        </x14:dataValidation>
        <x14:dataValidation type="list" allowBlank="1" showInputMessage="1" showErrorMessage="1" xr:uid="{60AC781D-A698-4E80-8213-8AB5D2E9EC30}">
          <x14:formula1>
            <xm:f>項目!A4:$MZQ$786434</xm:f>
          </x14:formula1>
          <xm:sqref>MZZ786439:MZZ786462</xm:sqref>
        </x14:dataValidation>
        <x14:dataValidation type="list" allowBlank="1" showInputMessage="1" showErrorMessage="1" xr:uid="{ABB62727-011F-44AE-BF8D-9EB59279971F}">
          <x14:formula1>
            <xm:f>項目!A4:$NJM$786434</xm:f>
          </x14:formula1>
          <xm:sqref>NJV786439:NJV786462</xm:sqref>
        </x14:dataValidation>
        <x14:dataValidation type="list" allowBlank="1" showInputMessage="1" showErrorMessage="1" xr:uid="{2025FE28-FE34-4597-BA49-F72590E5175B}">
          <x14:formula1>
            <xm:f>項目!A4:$NTI$786434</xm:f>
          </x14:formula1>
          <xm:sqref>NTR786439:NTR786462</xm:sqref>
        </x14:dataValidation>
        <x14:dataValidation type="list" allowBlank="1" showInputMessage="1" showErrorMessage="1" xr:uid="{C9443732-A6E1-412D-8330-2C7F3C9BE661}">
          <x14:formula1>
            <xm:f>項目!A4:$ODE$786434</xm:f>
          </x14:formula1>
          <xm:sqref>ODN786439:ODN786462</xm:sqref>
        </x14:dataValidation>
        <x14:dataValidation type="list" allowBlank="1" showInputMessage="1" showErrorMessage="1" xr:uid="{D1C8B48F-5A95-4A94-96E3-CA64689A3699}">
          <x14:formula1>
            <xm:f>項目!A4:$ONA$786434</xm:f>
          </x14:formula1>
          <xm:sqref>ONJ786439:ONJ786462</xm:sqref>
        </x14:dataValidation>
        <x14:dataValidation type="list" allowBlank="1" showInputMessage="1" showErrorMessage="1" xr:uid="{F01FD566-83F9-4E0A-AF25-7E57F05F3B04}">
          <x14:formula1>
            <xm:f>項目!A4:$OWW$786434</xm:f>
          </x14:formula1>
          <xm:sqref>OXF786439:OXF786462</xm:sqref>
        </x14:dataValidation>
        <x14:dataValidation type="list" allowBlank="1" showInputMessage="1" showErrorMessage="1" xr:uid="{423B8CE0-6E2F-42F5-BE81-66CB5028D858}">
          <x14:formula1>
            <xm:f>項目!A4:$PGS$786434</xm:f>
          </x14:formula1>
          <xm:sqref>PHB786439:PHB786462</xm:sqref>
        </x14:dataValidation>
        <x14:dataValidation type="list" allowBlank="1" showInputMessage="1" showErrorMessage="1" xr:uid="{2C0E7E0A-A7B8-46E0-B590-C7F54B59A834}">
          <x14:formula1>
            <xm:f>項目!A4:$PQO$786434</xm:f>
          </x14:formula1>
          <xm:sqref>PQX786439:PQX786462</xm:sqref>
        </x14:dataValidation>
        <x14:dataValidation type="list" allowBlank="1" showInputMessage="1" showErrorMessage="1" xr:uid="{C25ED59B-1D10-490D-8848-595A4AFF9015}">
          <x14:formula1>
            <xm:f>項目!A4:$QAK$786434</xm:f>
          </x14:formula1>
          <xm:sqref>QAT786439:QAT786462</xm:sqref>
        </x14:dataValidation>
        <x14:dataValidation type="list" allowBlank="1" showInputMessage="1" showErrorMessage="1" xr:uid="{2B59C842-C19A-40DC-BE72-9316F1E1CC9A}">
          <x14:formula1>
            <xm:f>項目!A4:$QKG$786434</xm:f>
          </x14:formula1>
          <xm:sqref>QKP786439:QKP786462</xm:sqref>
        </x14:dataValidation>
        <x14:dataValidation type="list" allowBlank="1" showInputMessage="1" showErrorMessage="1" xr:uid="{19282D69-8E20-4D6D-A99A-85A378F24037}">
          <x14:formula1>
            <xm:f>項目!A4:$QUC$786434</xm:f>
          </x14:formula1>
          <xm:sqref>QUL786439:QUL786462</xm:sqref>
        </x14:dataValidation>
        <x14:dataValidation type="list" allowBlank="1" showInputMessage="1" showErrorMessage="1" xr:uid="{65714433-71D2-4BB3-B874-99EAA778848B}">
          <x14:formula1>
            <xm:f>項目!A4:$RDY$786434</xm:f>
          </x14:formula1>
          <xm:sqref>REH786439:REH786462</xm:sqref>
        </x14:dataValidation>
        <x14:dataValidation type="list" allowBlank="1" showInputMessage="1" showErrorMessage="1" xr:uid="{32FB17EA-C61B-4BB9-AF50-6C5F0B12434F}">
          <x14:formula1>
            <xm:f>項目!A4:$RNU$786434</xm:f>
          </x14:formula1>
          <xm:sqref>ROD786439:ROD786462</xm:sqref>
        </x14:dataValidation>
        <x14:dataValidation type="list" allowBlank="1" showInputMessage="1" showErrorMessage="1" xr:uid="{FEC262B0-0917-4F6D-8739-A5EE551C9928}">
          <x14:formula1>
            <xm:f>項目!A4:$RXQ$786434</xm:f>
          </x14:formula1>
          <xm:sqref>RXZ786439:RXZ786462</xm:sqref>
        </x14:dataValidation>
        <x14:dataValidation type="list" allowBlank="1" showInputMessage="1" showErrorMessage="1" xr:uid="{4A13FB7A-E3CB-4368-AEE4-20372146D1AC}">
          <x14:formula1>
            <xm:f>項目!A4:$SHM$786434</xm:f>
          </x14:formula1>
          <xm:sqref>SHV786439:SHV786462</xm:sqref>
        </x14:dataValidation>
        <x14:dataValidation type="list" allowBlank="1" showInputMessage="1" showErrorMessage="1" xr:uid="{684DD023-E119-440C-A35C-55D852210B27}">
          <x14:formula1>
            <xm:f>項目!A4:$SRI$786434</xm:f>
          </x14:formula1>
          <xm:sqref>SRR786439:SRR786462</xm:sqref>
        </x14:dataValidation>
        <x14:dataValidation type="list" allowBlank="1" showInputMessage="1" showErrorMessage="1" xr:uid="{E6971BAF-1B48-40E6-AB4E-D172B0BDC820}">
          <x14:formula1>
            <xm:f>項目!A4:$TBE$786434</xm:f>
          </x14:formula1>
          <xm:sqref>TBN786439:TBN786462</xm:sqref>
        </x14:dataValidation>
        <x14:dataValidation type="list" allowBlank="1" showInputMessage="1" showErrorMessage="1" xr:uid="{4DF0B772-6711-4618-8EDF-1436CD1452E9}">
          <x14:formula1>
            <xm:f>項目!A4:$TLA$786434</xm:f>
          </x14:formula1>
          <xm:sqref>TLJ786439:TLJ786462</xm:sqref>
        </x14:dataValidation>
        <x14:dataValidation type="list" allowBlank="1" showInputMessage="1" showErrorMessage="1" xr:uid="{10EC79F5-78C6-4256-ABE1-14CB4F1D8598}">
          <x14:formula1>
            <xm:f>項目!A4:$TUW$786434</xm:f>
          </x14:formula1>
          <xm:sqref>TVF786439:TVF786462</xm:sqref>
        </x14:dataValidation>
        <x14:dataValidation type="list" allowBlank="1" showInputMessage="1" showErrorMessage="1" xr:uid="{EDC16022-B773-438C-A3DA-31CDDE77645C}">
          <x14:formula1>
            <xm:f>項目!A4:$UES$786434</xm:f>
          </x14:formula1>
          <xm:sqref>UFB786439:UFB786462</xm:sqref>
        </x14:dataValidation>
        <x14:dataValidation type="list" allowBlank="1" showInputMessage="1" showErrorMessage="1" xr:uid="{34EEDC19-72F1-455B-97D5-63302BACBB5F}">
          <x14:formula1>
            <xm:f>項目!A4:$UOO$786434</xm:f>
          </x14:formula1>
          <xm:sqref>UOX786439:UOX786462</xm:sqref>
        </x14:dataValidation>
        <x14:dataValidation type="list" allowBlank="1" showInputMessage="1" showErrorMessage="1" xr:uid="{298A8E7D-D417-4FE7-9714-B90CE41AD8C0}">
          <x14:formula1>
            <xm:f>項目!A4:$UYK$786434</xm:f>
          </x14:formula1>
          <xm:sqref>UYT786439:UYT786462</xm:sqref>
        </x14:dataValidation>
        <x14:dataValidation type="list" allowBlank="1" showInputMessage="1" showErrorMessage="1" xr:uid="{35A4EEC2-168B-4BFF-BA00-533EFF9C149C}">
          <x14:formula1>
            <xm:f>項目!A4:$VIG$786434</xm:f>
          </x14:formula1>
          <xm:sqref>VIP786439:VIP786462</xm:sqref>
        </x14:dataValidation>
        <x14:dataValidation type="list" allowBlank="1" showInputMessage="1" showErrorMessage="1" xr:uid="{ABC64367-1035-46AF-BC10-05E9E646D825}">
          <x14:formula1>
            <xm:f>項目!A4:$VSC$786434</xm:f>
          </x14:formula1>
          <xm:sqref>VSL786439:VSL786462</xm:sqref>
        </x14:dataValidation>
        <x14:dataValidation type="list" allowBlank="1" showInputMessage="1" showErrorMessage="1" xr:uid="{D5370F11-FC4C-4751-849E-E3057D46915D}">
          <x14:formula1>
            <xm:f>項目!A4:$WBY$786434</xm:f>
          </x14:formula1>
          <xm:sqref>WCH786439:WCH786462</xm:sqref>
        </x14:dataValidation>
        <x14:dataValidation type="list" allowBlank="1" showInputMessage="1" showErrorMessage="1" xr:uid="{8B4E72F2-68C6-4DF4-9EFA-201E69A1FDC5}">
          <x14:formula1>
            <xm:f>項目!A4:$WLU$786434</xm:f>
          </x14:formula1>
          <xm:sqref>WMD786439:WMD786462</xm:sqref>
        </x14:dataValidation>
        <x14:dataValidation type="list" allowBlank="1" showInputMessage="1" showErrorMessage="1" xr:uid="{97DE4078-C7F1-4C87-9216-AD9D99F886BD}">
          <x14:formula1>
            <xm:f>項目!A4:$WVQ$786434</xm:f>
          </x14:formula1>
          <xm:sqref>WVZ786439:WVZ786462</xm:sqref>
        </x14:dataValidation>
        <x14:dataValidation type="list" allowBlank="1" showInputMessage="1" showErrorMessage="1" xr:uid="{0D36C76D-6ABF-4358-A403-89FF60248D29}">
          <x14:formula1>
            <xm:f>項目!A4:$K$851970</xm:f>
          </x14:formula1>
          <xm:sqref>R851975:R851998</xm:sqref>
        </x14:dataValidation>
        <x14:dataValidation type="list" allowBlank="1" showInputMessage="1" showErrorMessage="1" xr:uid="{DFDDEC27-ECD4-4C98-BA27-7D1D36DFB35B}">
          <x14:formula1>
            <xm:f>項目!A4:$JE$851970</xm:f>
          </x14:formula1>
          <xm:sqref>JN851975:JN851998</xm:sqref>
        </x14:dataValidation>
        <x14:dataValidation type="list" allowBlank="1" showInputMessage="1" showErrorMessage="1" xr:uid="{19F7EFE7-930A-4B14-A7CE-A4CB418FA606}">
          <x14:formula1>
            <xm:f>項目!A4:$TA$851970</xm:f>
          </x14:formula1>
          <xm:sqref>TJ851975:TJ851998</xm:sqref>
        </x14:dataValidation>
        <x14:dataValidation type="list" allowBlank="1" showInputMessage="1" showErrorMessage="1" xr:uid="{941226FA-4053-474A-98B9-9F2A162A5101}">
          <x14:formula1>
            <xm:f>項目!A4:$ACW$851970</xm:f>
          </x14:formula1>
          <xm:sqref>ADF851975:ADF851998</xm:sqref>
        </x14:dataValidation>
        <x14:dataValidation type="list" allowBlank="1" showInputMessage="1" showErrorMessage="1" xr:uid="{DB6B8F62-49C1-4469-B220-96715CAF9A1B}">
          <x14:formula1>
            <xm:f>項目!A4:$AMS$851970</xm:f>
          </x14:formula1>
          <xm:sqref>ANB851975:ANB851998</xm:sqref>
        </x14:dataValidation>
        <x14:dataValidation type="list" allowBlank="1" showInputMessage="1" showErrorMessage="1" xr:uid="{F2127A3B-43C2-4769-A371-461E3DEE1BFA}">
          <x14:formula1>
            <xm:f>項目!A4:$AWO$851970</xm:f>
          </x14:formula1>
          <xm:sqref>AWX851975:AWX851998</xm:sqref>
        </x14:dataValidation>
        <x14:dataValidation type="list" allowBlank="1" showInputMessage="1" showErrorMessage="1" xr:uid="{3245898F-2DCD-43C4-925C-4AB4044728FD}">
          <x14:formula1>
            <xm:f>項目!A4:$BGK$851970</xm:f>
          </x14:formula1>
          <xm:sqref>BGT851975:BGT851998</xm:sqref>
        </x14:dataValidation>
        <x14:dataValidation type="list" allowBlank="1" showInputMessage="1" showErrorMessage="1" xr:uid="{830AA816-AABF-4CEE-9E5E-504C701954AF}">
          <x14:formula1>
            <xm:f>項目!A4:$BQG$851970</xm:f>
          </x14:formula1>
          <xm:sqref>BQP851975:BQP851998</xm:sqref>
        </x14:dataValidation>
        <x14:dataValidation type="list" allowBlank="1" showInputMessage="1" showErrorMessage="1" xr:uid="{F1DE498B-E4EF-48BB-8813-0B18F615A687}">
          <x14:formula1>
            <xm:f>項目!A4:$CAC$851970</xm:f>
          </x14:formula1>
          <xm:sqref>CAL851975:CAL851998</xm:sqref>
        </x14:dataValidation>
        <x14:dataValidation type="list" allowBlank="1" showInputMessage="1" showErrorMessage="1" xr:uid="{3056C0E3-70E1-48E0-B801-2A2969B482FD}">
          <x14:formula1>
            <xm:f>項目!A4:$CJY$851970</xm:f>
          </x14:formula1>
          <xm:sqref>CKH851975:CKH851998</xm:sqref>
        </x14:dataValidation>
        <x14:dataValidation type="list" allowBlank="1" showInputMessage="1" showErrorMessage="1" xr:uid="{2D1D49B4-31BE-4755-8738-086A3C0D9144}">
          <x14:formula1>
            <xm:f>項目!A4:$CTU$851970</xm:f>
          </x14:formula1>
          <xm:sqref>CUD851975:CUD851998</xm:sqref>
        </x14:dataValidation>
        <x14:dataValidation type="list" allowBlank="1" showInputMessage="1" showErrorMessage="1" xr:uid="{0AE3C76E-D646-435D-8EB2-D1EF31363230}">
          <x14:formula1>
            <xm:f>項目!A4:$DDQ$851970</xm:f>
          </x14:formula1>
          <xm:sqref>DDZ851975:DDZ851998</xm:sqref>
        </x14:dataValidation>
        <x14:dataValidation type="list" allowBlank="1" showInputMessage="1" showErrorMessage="1" xr:uid="{8B2D8832-3C18-43F2-8EC1-B97C0B27EAEA}">
          <x14:formula1>
            <xm:f>項目!A4:$DNM$851970</xm:f>
          </x14:formula1>
          <xm:sqref>DNV851975:DNV851998</xm:sqref>
        </x14:dataValidation>
        <x14:dataValidation type="list" allowBlank="1" showInputMessage="1" showErrorMessage="1" xr:uid="{25999704-CC6E-4674-977F-FBF9D05B7EDE}">
          <x14:formula1>
            <xm:f>項目!A4:$DXI$851970</xm:f>
          </x14:formula1>
          <xm:sqref>DXR851975:DXR851998</xm:sqref>
        </x14:dataValidation>
        <x14:dataValidation type="list" allowBlank="1" showInputMessage="1" showErrorMessage="1" xr:uid="{9809B431-3FC8-4184-817C-6325FFC29B28}">
          <x14:formula1>
            <xm:f>項目!A4:$EHE$851970</xm:f>
          </x14:formula1>
          <xm:sqref>EHN851975:EHN851998</xm:sqref>
        </x14:dataValidation>
        <x14:dataValidation type="list" allowBlank="1" showInputMessage="1" showErrorMessage="1" xr:uid="{F9FCDEFE-8A17-4465-AF0D-AA8ACD8E216C}">
          <x14:formula1>
            <xm:f>項目!A4:$ERA$851970</xm:f>
          </x14:formula1>
          <xm:sqref>ERJ851975:ERJ851998</xm:sqref>
        </x14:dataValidation>
        <x14:dataValidation type="list" allowBlank="1" showInputMessage="1" showErrorMessage="1" xr:uid="{77EA4DB4-2954-4D68-BCD3-61FE1D38C7E9}">
          <x14:formula1>
            <xm:f>項目!A4:$FAW$851970</xm:f>
          </x14:formula1>
          <xm:sqref>FBF851975:FBF851998</xm:sqref>
        </x14:dataValidation>
        <x14:dataValidation type="list" allowBlank="1" showInputMessage="1" showErrorMessage="1" xr:uid="{BCC2AB03-1103-4300-82DE-9A31AA9AAB5D}">
          <x14:formula1>
            <xm:f>項目!A4:$FKS$851970</xm:f>
          </x14:formula1>
          <xm:sqref>FLB851975:FLB851998</xm:sqref>
        </x14:dataValidation>
        <x14:dataValidation type="list" allowBlank="1" showInputMessage="1" showErrorMessage="1" xr:uid="{1329B037-3B52-48BE-B02D-D6CECFB3199A}">
          <x14:formula1>
            <xm:f>項目!A4:$FUO$851970</xm:f>
          </x14:formula1>
          <xm:sqref>FUX851975:FUX851998</xm:sqref>
        </x14:dataValidation>
        <x14:dataValidation type="list" allowBlank="1" showInputMessage="1" showErrorMessage="1" xr:uid="{C849778C-E689-426F-B09F-4D28E06DB357}">
          <x14:formula1>
            <xm:f>項目!A4:$GEK$851970</xm:f>
          </x14:formula1>
          <xm:sqref>GET851975:GET851998</xm:sqref>
        </x14:dataValidation>
        <x14:dataValidation type="list" allowBlank="1" showInputMessage="1" showErrorMessage="1" xr:uid="{D777F387-E569-40A4-94DD-8FA007F1A70F}">
          <x14:formula1>
            <xm:f>項目!A4:$GOG$851970</xm:f>
          </x14:formula1>
          <xm:sqref>GOP851975:GOP851998</xm:sqref>
        </x14:dataValidation>
        <x14:dataValidation type="list" allowBlank="1" showInputMessage="1" showErrorMessage="1" xr:uid="{BC46ACA0-1B31-4B71-8E82-44BCA85EF09E}">
          <x14:formula1>
            <xm:f>項目!A4:$GYC$851970</xm:f>
          </x14:formula1>
          <xm:sqref>GYL851975:GYL851998</xm:sqref>
        </x14:dataValidation>
        <x14:dataValidation type="list" allowBlank="1" showInputMessage="1" showErrorMessage="1" xr:uid="{26F89CBF-9A7C-4FE7-9A4D-92E38C1D9EBB}">
          <x14:formula1>
            <xm:f>項目!A4:$HHY$851970</xm:f>
          </x14:formula1>
          <xm:sqref>HIH851975:HIH851998</xm:sqref>
        </x14:dataValidation>
        <x14:dataValidation type="list" allowBlank="1" showInputMessage="1" showErrorMessage="1" xr:uid="{35575B52-79BB-49DD-8823-E26AD69E3B0E}">
          <x14:formula1>
            <xm:f>項目!A4:$HRU$851970</xm:f>
          </x14:formula1>
          <xm:sqref>HSD851975:HSD851998</xm:sqref>
        </x14:dataValidation>
        <x14:dataValidation type="list" allowBlank="1" showInputMessage="1" showErrorMessage="1" xr:uid="{16BACFA4-C84E-48C9-848B-73B36E2EF593}">
          <x14:formula1>
            <xm:f>項目!A4:$IBQ$851970</xm:f>
          </x14:formula1>
          <xm:sqref>IBZ851975:IBZ851998</xm:sqref>
        </x14:dataValidation>
        <x14:dataValidation type="list" allowBlank="1" showInputMessage="1" showErrorMessage="1" xr:uid="{27F7F3B1-A5BD-48A2-B3DE-DDAD61A75543}">
          <x14:formula1>
            <xm:f>項目!A4:$ILM$851970</xm:f>
          </x14:formula1>
          <xm:sqref>ILV851975:ILV851998</xm:sqref>
        </x14:dataValidation>
        <x14:dataValidation type="list" allowBlank="1" showInputMessage="1" showErrorMessage="1" xr:uid="{B6B78776-19F3-4C81-9230-5023955E8C98}">
          <x14:formula1>
            <xm:f>項目!A4:$IVI$851970</xm:f>
          </x14:formula1>
          <xm:sqref>IVR851975:IVR851998</xm:sqref>
        </x14:dataValidation>
        <x14:dataValidation type="list" allowBlank="1" showInputMessage="1" showErrorMessage="1" xr:uid="{13CDFD95-38C9-47D5-9560-B8BAA85A2CED}">
          <x14:formula1>
            <xm:f>項目!A4:$JFE$851970</xm:f>
          </x14:formula1>
          <xm:sqref>JFN851975:JFN851998</xm:sqref>
        </x14:dataValidation>
        <x14:dataValidation type="list" allowBlank="1" showInputMessage="1" showErrorMessage="1" xr:uid="{B9E63F6D-52AE-42C7-B2F0-9DD3AC1B94F1}">
          <x14:formula1>
            <xm:f>項目!A4:$JPA$851970</xm:f>
          </x14:formula1>
          <xm:sqref>JPJ851975:JPJ851998</xm:sqref>
        </x14:dataValidation>
        <x14:dataValidation type="list" allowBlank="1" showInputMessage="1" showErrorMessage="1" xr:uid="{61D1A66A-6B65-4A95-9D7A-A0AEB7E7F214}">
          <x14:formula1>
            <xm:f>項目!A4:$JYW$851970</xm:f>
          </x14:formula1>
          <xm:sqref>JZF851975:JZF851998</xm:sqref>
        </x14:dataValidation>
        <x14:dataValidation type="list" allowBlank="1" showInputMessage="1" showErrorMessage="1" xr:uid="{1D25A3C5-8DF9-4D15-B00D-FC50F56965EE}">
          <x14:formula1>
            <xm:f>項目!A4:$KIS$851970</xm:f>
          </x14:formula1>
          <xm:sqref>KJB851975:KJB851998</xm:sqref>
        </x14:dataValidation>
        <x14:dataValidation type="list" allowBlank="1" showInputMessage="1" showErrorMessage="1" xr:uid="{433FB204-8958-4C5B-951B-E44C962BA42A}">
          <x14:formula1>
            <xm:f>項目!A4:$KSO$851970</xm:f>
          </x14:formula1>
          <xm:sqref>KSX851975:KSX851998</xm:sqref>
        </x14:dataValidation>
        <x14:dataValidation type="list" allowBlank="1" showInputMessage="1" showErrorMessage="1" xr:uid="{3B9DFDE6-660E-4170-ACFC-71EF46958506}">
          <x14:formula1>
            <xm:f>項目!A4:$LCK$851970</xm:f>
          </x14:formula1>
          <xm:sqref>LCT851975:LCT851998</xm:sqref>
        </x14:dataValidation>
        <x14:dataValidation type="list" allowBlank="1" showInputMessage="1" showErrorMessage="1" xr:uid="{BBB1B4EE-699D-4EF3-93D1-F2DE5833FF03}">
          <x14:formula1>
            <xm:f>項目!A4:$LMG$851970</xm:f>
          </x14:formula1>
          <xm:sqref>LMP851975:LMP851998</xm:sqref>
        </x14:dataValidation>
        <x14:dataValidation type="list" allowBlank="1" showInputMessage="1" showErrorMessage="1" xr:uid="{1A20FB4D-0353-43B6-A7E8-4DB8D7FB886F}">
          <x14:formula1>
            <xm:f>項目!A4:$LWC$851970</xm:f>
          </x14:formula1>
          <xm:sqref>LWL851975:LWL851998</xm:sqref>
        </x14:dataValidation>
        <x14:dataValidation type="list" allowBlank="1" showInputMessage="1" showErrorMessage="1" xr:uid="{3DEE0B5D-6C75-4FF7-B1B5-BE4809535B5E}">
          <x14:formula1>
            <xm:f>項目!A4:$MFY$851970</xm:f>
          </x14:formula1>
          <xm:sqref>MGH851975:MGH851998</xm:sqref>
        </x14:dataValidation>
        <x14:dataValidation type="list" allowBlank="1" showInputMessage="1" showErrorMessage="1" xr:uid="{7F7BD033-27DE-4BFC-A5B1-D81DCEF9ED4D}">
          <x14:formula1>
            <xm:f>項目!A4:$MPU$851970</xm:f>
          </x14:formula1>
          <xm:sqref>MQD851975:MQD851998</xm:sqref>
        </x14:dataValidation>
        <x14:dataValidation type="list" allowBlank="1" showInputMessage="1" showErrorMessage="1" xr:uid="{1026AD56-AEA6-42E7-85A0-D8069B615B36}">
          <x14:formula1>
            <xm:f>項目!A4:$MZQ$851970</xm:f>
          </x14:formula1>
          <xm:sqref>MZZ851975:MZZ851998</xm:sqref>
        </x14:dataValidation>
        <x14:dataValidation type="list" allowBlank="1" showInputMessage="1" showErrorMessage="1" xr:uid="{D228D7CD-B971-48CD-B932-4EC9F3C0356A}">
          <x14:formula1>
            <xm:f>項目!A4:$NJM$851970</xm:f>
          </x14:formula1>
          <xm:sqref>NJV851975:NJV851998</xm:sqref>
        </x14:dataValidation>
        <x14:dataValidation type="list" allowBlank="1" showInputMessage="1" showErrorMessage="1" xr:uid="{659B8F11-FA8D-4FF0-B62D-3B4D7110AA64}">
          <x14:formula1>
            <xm:f>項目!A4:$NTI$851970</xm:f>
          </x14:formula1>
          <xm:sqref>NTR851975:NTR851998</xm:sqref>
        </x14:dataValidation>
        <x14:dataValidation type="list" allowBlank="1" showInputMessage="1" showErrorMessage="1" xr:uid="{5CEAFCC8-8B02-4938-AD7D-743BA0D17686}">
          <x14:formula1>
            <xm:f>項目!A4:$ODE$851970</xm:f>
          </x14:formula1>
          <xm:sqref>ODN851975:ODN851998</xm:sqref>
        </x14:dataValidation>
        <x14:dataValidation type="list" allowBlank="1" showInputMessage="1" showErrorMessage="1" xr:uid="{A337B191-5907-42E6-AE17-8078E3D76FAD}">
          <x14:formula1>
            <xm:f>項目!A4:$ONA$851970</xm:f>
          </x14:formula1>
          <xm:sqref>ONJ851975:ONJ851998</xm:sqref>
        </x14:dataValidation>
        <x14:dataValidation type="list" allowBlank="1" showInputMessage="1" showErrorMessage="1" xr:uid="{40715B9B-E285-4B81-B4AC-59C4FBE4E5F3}">
          <x14:formula1>
            <xm:f>項目!A4:$OWW$851970</xm:f>
          </x14:formula1>
          <xm:sqref>OXF851975:OXF851998</xm:sqref>
        </x14:dataValidation>
        <x14:dataValidation type="list" allowBlank="1" showInputMessage="1" showErrorMessage="1" xr:uid="{9A428E2C-D84E-4B24-9F22-8CFF47905A76}">
          <x14:formula1>
            <xm:f>項目!A4:$PGS$851970</xm:f>
          </x14:formula1>
          <xm:sqref>PHB851975:PHB851998</xm:sqref>
        </x14:dataValidation>
        <x14:dataValidation type="list" allowBlank="1" showInputMessage="1" showErrorMessage="1" xr:uid="{7C6B1459-2EBE-42FA-8B5E-60D6AB4B8EF1}">
          <x14:formula1>
            <xm:f>項目!A4:$PQO$851970</xm:f>
          </x14:formula1>
          <xm:sqref>PQX851975:PQX851998</xm:sqref>
        </x14:dataValidation>
        <x14:dataValidation type="list" allowBlank="1" showInputMessage="1" showErrorMessage="1" xr:uid="{8A727589-9899-4A6B-83A0-31655397CB8E}">
          <x14:formula1>
            <xm:f>項目!A4:$QAK$851970</xm:f>
          </x14:formula1>
          <xm:sqref>QAT851975:QAT851998</xm:sqref>
        </x14:dataValidation>
        <x14:dataValidation type="list" allowBlank="1" showInputMessage="1" showErrorMessage="1" xr:uid="{41EBF44E-5773-4AD5-B100-2DE9EC86BCBE}">
          <x14:formula1>
            <xm:f>項目!A4:$QKG$851970</xm:f>
          </x14:formula1>
          <xm:sqref>QKP851975:QKP851998</xm:sqref>
        </x14:dataValidation>
        <x14:dataValidation type="list" allowBlank="1" showInputMessage="1" showErrorMessage="1" xr:uid="{53DFD175-5FC3-4520-B0A9-91ED426B9170}">
          <x14:formula1>
            <xm:f>項目!A4:$QUC$851970</xm:f>
          </x14:formula1>
          <xm:sqref>QUL851975:QUL851998</xm:sqref>
        </x14:dataValidation>
        <x14:dataValidation type="list" allowBlank="1" showInputMessage="1" showErrorMessage="1" xr:uid="{4DBA3975-4612-4018-8DD9-44F4D2407036}">
          <x14:formula1>
            <xm:f>項目!A4:$RDY$851970</xm:f>
          </x14:formula1>
          <xm:sqref>REH851975:REH851998</xm:sqref>
        </x14:dataValidation>
        <x14:dataValidation type="list" allowBlank="1" showInputMessage="1" showErrorMessage="1" xr:uid="{3C5F74AF-E726-40EE-A8C1-7167A9E03D2F}">
          <x14:formula1>
            <xm:f>項目!A4:$RNU$851970</xm:f>
          </x14:formula1>
          <xm:sqref>ROD851975:ROD851998</xm:sqref>
        </x14:dataValidation>
        <x14:dataValidation type="list" allowBlank="1" showInputMessage="1" showErrorMessage="1" xr:uid="{BA1916F0-9AD5-43CA-A72F-B52878203D66}">
          <x14:formula1>
            <xm:f>項目!A4:$RXQ$851970</xm:f>
          </x14:formula1>
          <xm:sqref>RXZ851975:RXZ851998</xm:sqref>
        </x14:dataValidation>
        <x14:dataValidation type="list" allowBlank="1" showInputMessage="1" showErrorMessage="1" xr:uid="{09A8A8B7-AEB6-40E6-BFB3-2AC9877DB84A}">
          <x14:formula1>
            <xm:f>項目!A4:$SHM$851970</xm:f>
          </x14:formula1>
          <xm:sqref>SHV851975:SHV851998</xm:sqref>
        </x14:dataValidation>
        <x14:dataValidation type="list" allowBlank="1" showInputMessage="1" showErrorMessage="1" xr:uid="{9ABB5C2A-02CA-4412-9924-B8C1D3ADA07F}">
          <x14:formula1>
            <xm:f>項目!A4:$SRI$851970</xm:f>
          </x14:formula1>
          <xm:sqref>SRR851975:SRR851998</xm:sqref>
        </x14:dataValidation>
        <x14:dataValidation type="list" allowBlank="1" showInputMessage="1" showErrorMessage="1" xr:uid="{195E1E36-EB33-426C-A476-174532BB8A86}">
          <x14:formula1>
            <xm:f>項目!A4:$TBE$851970</xm:f>
          </x14:formula1>
          <xm:sqref>TBN851975:TBN851998</xm:sqref>
        </x14:dataValidation>
        <x14:dataValidation type="list" allowBlank="1" showInputMessage="1" showErrorMessage="1" xr:uid="{1EDF75C8-7FBD-4341-B555-4367DDF98BE1}">
          <x14:formula1>
            <xm:f>項目!A4:$TLA$851970</xm:f>
          </x14:formula1>
          <xm:sqref>TLJ851975:TLJ851998</xm:sqref>
        </x14:dataValidation>
        <x14:dataValidation type="list" allowBlank="1" showInputMessage="1" showErrorMessage="1" xr:uid="{63C42FF0-8ABF-4706-AB19-81337FC568AD}">
          <x14:formula1>
            <xm:f>項目!A4:$TUW$851970</xm:f>
          </x14:formula1>
          <xm:sqref>TVF851975:TVF851998</xm:sqref>
        </x14:dataValidation>
        <x14:dataValidation type="list" allowBlank="1" showInputMessage="1" showErrorMessage="1" xr:uid="{4896224D-3A78-49AC-8225-EB6E41C8C050}">
          <x14:formula1>
            <xm:f>項目!A4:$UES$851970</xm:f>
          </x14:formula1>
          <xm:sqref>UFB851975:UFB851998</xm:sqref>
        </x14:dataValidation>
        <x14:dataValidation type="list" allowBlank="1" showInputMessage="1" showErrorMessage="1" xr:uid="{76AE6E8E-00F2-4550-AE18-FD8CE553CE29}">
          <x14:formula1>
            <xm:f>項目!A4:$UOO$851970</xm:f>
          </x14:formula1>
          <xm:sqref>UOX851975:UOX851998</xm:sqref>
        </x14:dataValidation>
        <x14:dataValidation type="list" allowBlank="1" showInputMessage="1" showErrorMessage="1" xr:uid="{430F959B-1848-4D32-A556-99D1C2A24C90}">
          <x14:formula1>
            <xm:f>項目!A4:$UYK$851970</xm:f>
          </x14:formula1>
          <xm:sqref>UYT851975:UYT851998</xm:sqref>
        </x14:dataValidation>
        <x14:dataValidation type="list" allowBlank="1" showInputMessage="1" showErrorMessage="1" xr:uid="{B39A9D69-4FFA-40FE-A1DA-863C931C8825}">
          <x14:formula1>
            <xm:f>項目!A4:$VIG$851970</xm:f>
          </x14:formula1>
          <xm:sqref>VIP851975:VIP851998</xm:sqref>
        </x14:dataValidation>
        <x14:dataValidation type="list" allowBlank="1" showInputMessage="1" showErrorMessage="1" xr:uid="{C1F4F1B1-F04E-43DC-A5E2-00604D540C88}">
          <x14:formula1>
            <xm:f>項目!A4:$VSC$851970</xm:f>
          </x14:formula1>
          <xm:sqref>VSL851975:VSL851998</xm:sqref>
        </x14:dataValidation>
        <x14:dataValidation type="list" allowBlank="1" showInputMessage="1" showErrorMessage="1" xr:uid="{B4B54594-9849-4DBB-8A07-AD883EDED5B3}">
          <x14:formula1>
            <xm:f>項目!A4:$WBY$851970</xm:f>
          </x14:formula1>
          <xm:sqref>WCH851975:WCH851998</xm:sqref>
        </x14:dataValidation>
        <x14:dataValidation type="list" allowBlank="1" showInputMessage="1" showErrorMessage="1" xr:uid="{EA72FB73-51C2-4377-B60D-E53215BA6379}">
          <x14:formula1>
            <xm:f>項目!A4:$WLU$851970</xm:f>
          </x14:formula1>
          <xm:sqref>WMD851975:WMD851998</xm:sqref>
        </x14:dataValidation>
        <x14:dataValidation type="list" allowBlank="1" showInputMessage="1" showErrorMessage="1" xr:uid="{177468EA-9FFB-4F63-85E0-6F7937620B7B}">
          <x14:formula1>
            <xm:f>項目!A4:$WVQ$851970</xm:f>
          </x14:formula1>
          <xm:sqref>WVZ851975:WVZ851998</xm:sqref>
        </x14:dataValidation>
        <x14:dataValidation type="list" allowBlank="1" showInputMessage="1" showErrorMessage="1" xr:uid="{5602440C-3D2E-472A-A8D4-E871A784609D}">
          <x14:formula1>
            <xm:f>項目!A4:$K$917506</xm:f>
          </x14:formula1>
          <xm:sqref>R917511:R917534</xm:sqref>
        </x14:dataValidation>
        <x14:dataValidation type="list" allowBlank="1" showInputMessage="1" showErrorMessage="1" xr:uid="{D34EB6B7-A96A-45C9-A51F-D5027D2D0C3B}">
          <x14:formula1>
            <xm:f>項目!A4:$JE$917506</xm:f>
          </x14:formula1>
          <xm:sqref>JN917511:JN917534</xm:sqref>
        </x14:dataValidation>
        <x14:dataValidation type="list" allowBlank="1" showInputMessage="1" showErrorMessage="1" xr:uid="{62284A08-99BA-4255-9914-3D1BC0ECCBEA}">
          <x14:formula1>
            <xm:f>項目!A4:$TA$917506</xm:f>
          </x14:formula1>
          <xm:sqref>TJ917511:TJ917534</xm:sqref>
        </x14:dataValidation>
        <x14:dataValidation type="list" allowBlank="1" showInputMessage="1" showErrorMessage="1" xr:uid="{316D600F-8117-47AF-95D9-44DD06644A46}">
          <x14:formula1>
            <xm:f>項目!A4:$ACW$917506</xm:f>
          </x14:formula1>
          <xm:sqref>ADF917511:ADF917534</xm:sqref>
        </x14:dataValidation>
        <x14:dataValidation type="list" allowBlank="1" showInputMessage="1" showErrorMessage="1" xr:uid="{09D97E5D-F880-416B-B52C-AB956862C4BD}">
          <x14:formula1>
            <xm:f>項目!A4:$AMS$917506</xm:f>
          </x14:formula1>
          <xm:sqref>ANB917511:ANB917534</xm:sqref>
        </x14:dataValidation>
        <x14:dataValidation type="list" allowBlank="1" showInputMessage="1" showErrorMessage="1" xr:uid="{3A6413D4-0F9B-4537-B571-0E674C159FD4}">
          <x14:formula1>
            <xm:f>項目!A4:$AWO$917506</xm:f>
          </x14:formula1>
          <xm:sqref>AWX917511:AWX917534</xm:sqref>
        </x14:dataValidation>
        <x14:dataValidation type="list" allowBlank="1" showInputMessage="1" showErrorMessage="1" xr:uid="{C586F1EE-B729-47FC-AEE7-277F3298A28C}">
          <x14:formula1>
            <xm:f>項目!A4:$BGK$917506</xm:f>
          </x14:formula1>
          <xm:sqref>BGT917511:BGT917534</xm:sqref>
        </x14:dataValidation>
        <x14:dataValidation type="list" allowBlank="1" showInputMessage="1" showErrorMessage="1" xr:uid="{9EBFB1E0-880E-47AE-B34B-2A7DC6B70EBE}">
          <x14:formula1>
            <xm:f>項目!A4:$BQG$917506</xm:f>
          </x14:formula1>
          <xm:sqref>BQP917511:BQP917534</xm:sqref>
        </x14:dataValidation>
        <x14:dataValidation type="list" allowBlank="1" showInputMessage="1" showErrorMessage="1" xr:uid="{E6D81739-B797-45E4-BB81-03880F94BDB3}">
          <x14:formula1>
            <xm:f>項目!A4:$CAC$917506</xm:f>
          </x14:formula1>
          <xm:sqref>CAL917511:CAL917534</xm:sqref>
        </x14:dataValidation>
        <x14:dataValidation type="list" allowBlank="1" showInputMessage="1" showErrorMessage="1" xr:uid="{E91DA078-47F8-40D1-87E4-B2BB0CAEA0D7}">
          <x14:formula1>
            <xm:f>項目!A4:$CJY$917506</xm:f>
          </x14:formula1>
          <xm:sqref>CKH917511:CKH917534</xm:sqref>
        </x14:dataValidation>
        <x14:dataValidation type="list" allowBlank="1" showInputMessage="1" showErrorMessage="1" xr:uid="{7605F3E4-15F7-4E88-9166-77DC2278F805}">
          <x14:formula1>
            <xm:f>項目!A4:$CTU$917506</xm:f>
          </x14:formula1>
          <xm:sqref>CUD917511:CUD917534</xm:sqref>
        </x14:dataValidation>
        <x14:dataValidation type="list" allowBlank="1" showInputMessage="1" showErrorMessage="1" xr:uid="{C14279FD-DBDB-428B-8050-87CE69F50A3F}">
          <x14:formula1>
            <xm:f>項目!A4:$DDQ$917506</xm:f>
          </x14:formula1>
          <xm:sqref>DDZ917511:DDZ917534</xm:sqref>
        </x14:dataValidation>
        <x14:dataValidation type="list" allowBlank="1" showInputMessage="1" showErrorMessage="1" xr:uid="{3D8B5E39-CDA6-42FB-A303-7DF44759AFF7}">
          <x14:formula1>
            <xm:f>項目!A4:$DNM$917506</xm:f>
          </x14:formula1>
          <xm:sqref>DNV917511:DNV917534</xm:sqref>
        </x14:dataValidation>
        <x14:dataValidation type="list" allowBlank="1" showInputMessage="1" showErrorMessage="1" xr:uid="{D0441C61-7CFF-4765-9E59-D15911BB2CB3}">
          <x14:formula1>
            <xm:f>項目!A4:$DXI$917506</xm:f>
          </x14:formula1>
          <xm:sqref>DXR917511:DXR917534</xm:sqref>
        </x14:dataValidation>
        <x14:dataValidation type="list" allowBlank="1" showInputMessage="1" showErrorMessage="1" xr:uid="{4E6AB729-EFD1-4EDF-A20C-C4E51EDCBD2D}">
          <x14:formula1>
            <xm:f>項目!A4:$EHE$917506</xm:f>
          </x14:formula1>
          <xm:sqref>EHN917511:EHN917534</xm:sqref>
        </x14:dataValidation>
        <x14:dataValidation type="list" allowBlank="1" showInputMessage="1" showErrorMessage="1" xr:uid="{84EDDE62-E440-4A29-92A7-58236837145F}">
          <x14:formula1>
            <xm:f>項目!A4:$ERA$917506</xm:f>
          </x14:formula1>
          <xm:sqref>ERJ917511:ERJ917534</xm:sqref>
        </x14:dataValidation>
        <x14:dataValidation type="list" allowBlank="1" showInputMessage="1" showErrorMessage="1" xr:uid="{DC693C53-11FD-4F1C-AB9C-05A2AEA9DF92}">
          <x14:formula1>
            <xm:f>項目!A4:$FAW$917506</xm:f>
          </x14:formula1>
          <xm:sqref>FBF917511:FBF917534</xm:sqref>
        </x14:dataValidation>
        <x14:dataValidation type="list" allowBlank="1" showInputMessage="1" showErrorMessage="1" xr:uid="{ADEFCCBE-E64A-43B4-BC63-2BFD1574181F}">
          <x14:formula1>
            <xm:f>項目!A4:$FKS$917506</xm:f>
          </x14:formula1>
          <xm:sqref>FLB917511:FLB917534</xm:sqref>
        </x14:dataValidation>
        <x14:dataValidation type="list" allowBlank="1" showInputMessage="1" showErrorMessage="1" xr:uid="{D3FBB092-F0D0-40B6-AB18-C8FE68256952}">
          <x14:formula1>
            <xm:f>項目!A4:$FUO$917506</xm:f>
          </x14:formula1>
          <xm:sqref>FUX917511:FUX917534</xm:sqref>
        </x14:dataValidation>
        <x14:dataValidation type="list" allowBlank="1" showInputMessage="1" showErrorMessage="1" xr:uid="{3D1E52BB-5D75-4C05-A555-973077D7F985}">
          <x14:formula1>
            <xm:f>項目!A4:$GEK$917506</xm:f>
          </x14:formula1>
          <xm:sqref>GET917511:GET917534</xm:sqref>
        </x14:dataValidation>
        <x14:dataValidation type="list" allowBlank="1" showInputMessage="1" showErrorMessage="1" xr:uid="{4D949877-C7C0-4E4A-87BE-85E399F1DE13}">
          <x14:formula1>
            <xm:f>項目!A4:$GOG$917506</xm:f>
          </x14:formula1>
          <xm:sqref>GOP917511:GOP917534</xm:sqref>
        </x14:dataValidation>
        <x14:dataValidation type="list" allowBlank="1" showInputMessage="1" showErrorMessage="1" xr:uid="{BBCB5F38-5076-47DE-BADA-A00414505C32}">
          <x14:formula1>
            <xm:f>項目!A4:$GYC$917506</xm:f>
          </x14:formula1>
          <xm:sqref>GYL917511:GYL917534</xm:sqref>
        </x14:dataValidation>
        <x14:dataValidation type="list" allowBlank="1" showInputMessage="1" showErrorMessage="1" xr:uid="{FD72AAE3-D015-4A04-915E-D4A5F286804A}">
          <x14:formula1>
            <xm:f>項目!A4:$HHY$917506</xm:f>
          </x14:formula1>
          <xm:sqref>HIH917511:HIH917534</xm:sqref>
        </x14:dataValidation>
        <x14:dataValidation type="list" allowBlank="1" showInputMessage="1" showErrorMessage="1" xr:uid="{E8CEE913-5CD4-471B-B401-0CC3D57433D8}">
          <x14:formula1>
            <xm:f>項目!A4:$HRU$917506</xm:f>
          </x14:formula1>
          <xm:sqref>HSD917511:HSD917534</xm:sqref>
        </x14:dataValidation>
        <x14:dataValidation type="list" allowBlank="1" showInputMessage="1" showErrorMessage="1" xr:uid="{F1B58B0F-0F0C-462A-9CF3-C0A0B09F11A1}">
          <x14:formula1>
            <xm:f>項目!A4:$IBQ$917506</xm:f>
          </x14:formula1>
          <xm:sqref>IBZ917511:IBZ917534</xm:sqref>
        </x14:dataValidation>
        <x14:dataValidation type="list" allowBlank="1" showInputMessage="1" showErrorMessage="1" xr:uid="{7684600F-251B-4A88-BC80-5FFAF5E05C57}">
          <x14:formula1>
            <xm:f>項目!A4:$ILM$917506</xm:f>
          </x14:formula1>
          <xm:sqref>ILV917511:ILV917534</xm:sqref>
        </x14:dataValidation>
        <x14:dataValidation type="list" allowBlank="1" showInputMessage="1" showErrorMessage="1" xr:uid="{28F98272-3751-473C-B498-8DB8A0B48A5E}">
          <x14:formula1>
            <xm:f>項目!A4:$IVI$917506</xm:f>
          </x14:formula1>
          <xm:sqref>IVR917511:IVR917534</xm:sqref>
        </x14:dataValidation>
        <x14:dataValidation type="list" allowBlank="1" showInputMessage="1" showErrorMessage="1" xr:uid="{83216DBF-4FB0-4D70-939B-8D6D15B03C7C}">
          <x14:formula1>
            <xm:f>項目!A4:$JFE$917506</xm:f>
          </x14:formula1>
          <xm:sqref>JFN917511:JFN917534</xm:sqref>
        </x14:dataValidation>
        <x14:dataValidation type="list" allowBlank="1" showInputMessage="1" showErrorMessage="1" xr:uid="{F399755E-E61C-4137-81B4-307326247F63}">
          <x14:formula1>
            <xm:f>項目!A4:$JPA$917506</xm:f>
          </x14:formula1>
          <xm:sqref>JPJ917511:JPJ917534</xm:sqref>
        </x14:dataValidation>
        <x14:dataValidation type="list" allowBlank="1" showInputMessage="1" showErrorMessage="1" xr:uid="{2946643B-E212-4F85-9A10-8F4A7ABBE010}">
          <x14:formula1>
            <xm:f>項目!A4:$JYW$917506</xm:f>
          </x14:formula1>
          <xm:sqref>JZF917511:JZF917534</xm:sqref>
        </x14:dataValidation>
        <x14:dataValidation type="list" allowBlank="1" showInputMessage="1" showErrorMessage="1" xr:uid="{40561871-21D5-459E-82B0-9F458DC92199}">
          <x14:formula1>
            <xm:f>項目!A4:$KIS$917506</xm:f>
          </x14:formula1>
          <xm:sqref>KJB917511:KJB917534</xm:sqref>
        </x14:dataValidation>
        <x14:dataValidation type="list" allowBlank="1" showInputMessage="1" showErrorMessage="1" xr:uid="{093FC7F4-8B32-4DC7-877C-E075D96FA60C}">
          <x14:formula1>
            <xm:f>項目!A4:$KSO$917506</xm:f>
          </x14:formula1>
          <xm:sqref>KSX917511:KSX917534</xm:sqref>
        </x14:dataValidation>
        <x14:dataValidation type="list" allowBlank="1" showInputMessage="1" showErrorMessage="1" xr:uid="{3A466DC3-79A1-46B0-8F6F-5D7714F0D6AB}">
          <x14:formula1>
            <xm:f>項目!A4:$LCK$917506</xm:f>
          </x14:formula1>
          <xm:sqref>LCT917511:LCT917534</xm:sqref>
        </x14:dataValidation>
        <x14:dataValidation type="list" allowBlank="1" showInputMessage="1" showErrorMessage="1" xr:uid="{5F822F65-69B3-426C-B429-5F4FCFB3E780}">
          <x14:formula1>
            <xm:f>項目!A4:$LMG$917506</xm:f>
          </x14:formula1>
          <xm:sqref>LMP917511:LMP917534</xm:sqref>
        </x14:dataValidation>
        <x14:dataValidation type="list" allowBlank="1" showInputMessage="1" showErrorMessage="1" xr:uid="{8E626B6F-90D9-492C-8351-41BE2F54F412}">
          <x14:formula1>
            <xm:f>項目!A4:$LWC$917506</xm:f>
          </x14:formula1>
          <xm:sqref>LWL917511:LWL917534</xm:sqref>
        </x14:dataValidation>
        <x14:dataValidation type="list" allowBlank="1" showInputMessage="1" showErrorMessage="1" xr:uid="{759189D2-6C0D-499E-8510-2CE3C9F3A5F4}">
          <x14:formula1>
            <xm:f>項目!A4:$MFY$917506</xm:f>
          </x14:formula1>
          <xm:sqref>MGH917511:MGH917534</xm:sqref>
        </x14:dataValidation>
        <x14:dataValidation type="list" allowBlank="1" showInputMessage="1" showErrorMessage="1" xr:uid="{4E6DCBFF-5B8D-473F-8533-AA8996B7B1D8}">
          <x14:formula1>
            <xm:f>項目!A4:$MPU$917506</xm:f>
          </x14:formula1>
          <xm:sqref>MQD917511:MQD917534</xm:sqref>
        </x14:dataValidation>
        <x14:dataValidation type="list" allowBlank="1" showInputMessage="1" showErrorMessage="1" xr:uid="{3AF58BA0-3B75-4362-A9FD-AD3170E00302}">
          <x14:formula1>
            <xm:f>項目!A4:$MZQ$917506</xm:f>
          </x14:formula1>
          <xm:sqref>MZZ917511:MZZ917534</xm:sqref>
        </x14:dataValidation>
        <x14:dataValidation type="list" allowBlank="1" showInputMessage="1" showErrorMessage="1" xr:uid="{2853EA61-27D7-4C08-8FEC-658AF6C579C0}">
          <x14:formula1>
            <xm:f>項目!A4:$NJM$917506</xm:f>
          </x14:formula1>
          <xm:sqref>NJV917511:NJV917534</xm:sqref>
        </x14:dataValidation>
        <x14:dataValidation type="list" allowBlank="1" showInputMessage="1" showErrorMessage="1" xr:uid="{77FD417D-C0E1-4C22-9443-EC74B9FCBC08}">
          <x14:formula1>
            <xm:f>項目!A4:$NTI$917506</xm:f>
          </x14:formula1>
          <xm:sqref>NTR917511:NTR917534</xm:sqref>
        </x14:dataValidation>
        <x14:dataValidation type="list" allowBlank="1" showInputMessage="1" showErrorMessage="1" xr:uid="{E2F2CDB6-B62A-4856-AC40-87813D168B5A}">
          <x14:formula1>
            <xm:f>項目!A4:$ODE$917506</xm:f>
          </x14:formula1>
          <xm:sqref>ODN917511:ODN917534</xm:sqref>
        </x14:dataValidation>
        <x14:dataValidation type="list" allowBlank="1" showInputMessage="1" showErrorMessage="1" xr:uid="{C7DD72AA-4C3C-4E03-9EC3-B0B133D3AA9A}">
          <x14:formula1>
            <xm:f>項目!A4:$ONA$917506</xm:f>
          </x14:formula1>
          <xm:sqref>ONJ917511:ONJ917534</xm:sqref>
        </x14:dataValidation>
        <x14:dataValidation type="list" allowBlank="1" showInputMessage="1" showErrorMessage="1" xr:uid="{B25AAC85-018B-4B58-A1D6-EF23265E642C}">
          <x14:formula1>
            <xm:f>項目!A4:$OWW$917506</xm:f>
          </x14:formula1>
          <xm:sqref>OXF917511:OXF917534</xm:sqref>
        </x14:dataValidation>
        <x14:dataValidation type="list" allowBlank="1" showInputMessage="1" showErrorMessage="1" xr:uid="{25C94B9C-BD4B-46F1-8D9A-3F90A3C0FEB2}">
          <x14:formula1>
            <xm:f>項目!A4:$PGS$917506</xm:f>
          </x14:formula1>
          <xm:sqref>PHB917511:PHB917534</xm:sqref>
        </x14:dataValidation>
        <x14:dataValidation type="list" allowBlank="1" showInputMessage="1" showErrorMessage="1" xr:uid="{ED6F2B55-FF32-4B93-A22D-F5EC9A9DDA83}">
          <x14:formula1>
            <xm:f>項目!A4:$PQO$917506</xm:f>
          </x14:formula1>
          <xm:sqref>PQX917511:PQX917534</xm:sqref>
        </x14:dataValidation>
        <x14:dataValidation type="list" allowBlank="1" showInputMessage="1" showErrorMessage="1" xr:uid="{7AFCD441-7F68-4681-8CE5-DE4EE69D7447}">
          <x14:formula1>
            <xm:f>項目!A4:$QAK$917506</xm:f>
          </x14:formula1>
          <xm:sqref>QAT917511:QAT917534</xm:sqref>
        </x14:dataValidation>
        <x14:dataValidation type="list" allowBlank="1" showInputMessage="1" showErrorMessage="1" xr:uid="{A4BE8E46-CFC6-42F3-9525-EC4CC4F4D99C}">
          <x14:formula1>
            <xm:f>項目!A4:$QKG$917506</xm:f>
          </x14:formula1>
          <xm:sqref>QKP917511:QKP917534</xm:sqref>
        </x14:dataValidation>
        <x14:dataValidation type="list" allowBlank="1" showInputMessage="1" showErrorMessage="1" xr:uid="{C1526574-1AB9-4F29-AEF8-2C4B62B736C4}">
          <x14:formula1>
            <xm:f>項目!A4:$QUC$917506</xm:f>
          </x14:formula1>
          <xm:sqref>QUL917511:QUL917534</xm:sqref>
        </x14:dataValidation>
        <x14:dataValidation type="list" allowBlank="1" showInputMessage="1" showErrorMessage="1" xr:uid="{67376D71-E947-49D9-AE95-EC3370EE8C78}">
          <x14:formula1>
            <xm:f>項目!A4:$RDY$917506</xm:f>
          </x14:formula1>
          <xm:sqref>REH917511:REH917534</xm:sqref>
        </x14:dataValidation>
        <x14:dataValidation type="list" allowBlank="1" showInputMessage="1" showErrorMessage="1" xr:uid="{25A1B4AD-A9BC-4030-8F43-136090824E71}">
          <x14:formula1>
            <xm:f>項目!A4:$RNU$917506</xm:f>
          </x14:formula1>
          <xm:sqref>ROD917511:ROD917534</xm:sqref>
        </x14:dataValidation>
        <x14:dataValidation type="list" allowBlank="1" showInputMessage="1" showErrorMessage="1" xr:uid="{C5996892-67E5-487F-A392-C7026ADE66E9}">
          <x14:formula1>
            <xm:f>項目!A4:$RXQ$917506</xm:f>
          </x14:formula1>
          <xm:sqref>RXZ917511:RXZ917534</xm:sqref>
        </x14:dataValidation>
        <x14:dataValidation type="list" allowBlank="1" showInputMessage="1" showErrorMessage="1" xr:uid="{88CEECA8-779B-4870-A418-C8471D015856}">
          <x14:formula1>
            <xm:f>項目!A4:$SHM$917506</xm:f>
          </x14:formula1>
          <xm:sqref>SHV917511:SHV917534</xm:sqref>
        </x14:dataValidation>
        <x14:dataValidation type="list" allowBlank="1" showInputMessage="1" showErrorMessage="1" xr:uid="{BB38869F-1DD6-4561-B8B1-57DE638534D3}">
          <x14:formula1>
            <xm:f>項目!A4:$SRI$917506</xm:f>
          </x14:formula1>
          <xm:sqref>SRR917511:SRR917534</xm:sqref>
        </x14:dataValidation>
        <x14:dataValidation type="list" allowBlank="1" showInputMessage="1" showErrorMessage="1" xr:uid="{8DB8646D-6001-4D78-8608-C4234B3FB088}">
          <x14:formula1>
            <xm:f>項目!A4:$TBE$917506</xm:f>
          </x14:formula1>
          <xm:sqref>TBN917511:TBN917534</xm:sqref>
        </x14:dataValidation>
        <x14:dataValidation type="list" allowBlank="1" showInputMessage="1" showErrorMessage="1" xr:uid="{4F84305A-B4FD-4014-85D4-16A69F9CECC6}">
          <x14:formula1>
            <xm:f>項目!A4:$TLA$917506</xm:f>
          </x14:formula1>
          <xm:sqref>TLJ917511:TLJ917534</xm:sqref>
        </x14:dataValidation>
        <x14:dataValidation type="list" allowBlank="1" showInputMessage="1" showErrorMessage="1" xr:uid="{EDA25403-A5A4-4B3C-8FCA-D2CC7F0DE475}">
          <x14:formula1>
            <xm:f>項目!A4:$TUW$917506</xm:f>
          </x14:formula1>
          <xm:sqref>TVF917511:TVF917534</xm:sqref>
        </x14:dataValidation>
        <x14:dataValidation type="list" allowBlank="1" showInputMessage="1" showErrorMessage="1" xr:uid="{7FBE380F-98FA-4EC1-BEEA-7C1FEDFBE2FA}">
          <x14:formula1>
            <xm:f>項目!A4:$UES$917506</xm:f>
          </x14:formula1>
          <xm:sqref>UFB917511:UFB917534</xm:sqref>
        </x14:dataValidation>
        <x14:dataValidation type="list" allowBlank="1" showInputMessage="1" showErrorMessage="1" xr:uid="{C563FB56-BBE5-4FAD-80D8-FC82115421D2}">
          <x14:formula1>
            <xm:f>項目!A4:$UOO$917506</xm:f>
          </x14:formula1>
          <xm:sqref>UOX917511:UOX917534</xm:sqref>
        </x14:dataValidation>
        <x14:dataValidation type="list" allowBlank="1" showInputMessage="1" showErrorMessage="1" xr:uid="{A4645B8C-13A1-4036-9B44-6320084580A0}">
          <x14:formula1>
            <xm:f>項目!A4:$UYK$917506</xm:f>
          </x14:formula1>
          <xm:sqref>UYT917511:UYT917534</xm:sqref>
        </x14:dataValidation>
        <x14:dataValidation type="list" allowBlank="1" showInputMessage="1" showErrorMessage="1" xr:uid="{F7B93534-5B0C-4639-B2C5-D8314337B54C}">
          <x14:formula1>
            <xm:f>項目!A4:$VIG$917506</xm:f>
          </x14:formula1>
          <xm:sqref>VIP917511:VIP917534</xm:sqref>
        </x14:dataValidation>
        <x14:dataValidation type="list" allowBlank="1" showInputMessage="1" showErrorMessage="1" xr:uid="{1987D49B-09FC-469E-87C4-31215BF2B5CD}">
          <x14:formula1>
            <xm:f>項目!A4:$VSC$917506</xm:f>
          </x14:formula1>
          <xm:sqref>VSL917511:VSL917534</xm:sqref>
        </x14:dataValidation>
        <x14:dataValidation type="list" allowBlank="1" showInputMessage="1" showErrorMessage="1" xr:uid="{A57D149E-C1F8-48DD-A5C8-4C4F8E3575CD}">
          <x14:formula1>
            <xm:f>項目!A4:$WBY$917506</xm:f>
          </x14:formula1>
          <xm:sqref>WCH917511:WCH917534</xm:sqref>
        </x14:dataValidation>
        <x14:dataValidation type="list" allowBlank="1" showInputMessage="1" showErrorMessage="1" xr:uid="{3B1DAF37-1FDF-43AE-80CE-3E34FF2E9FF0}">
          <x14:formula1>
            <xm:f>項目!A4:$WLU$917506</xm:f>
          </x14:formula1>
          <xm:sqref>WMD917511:WMD917534</xm:sqref>
        </x14:dataValidation>
        <x14:dataValidation type="list" allowBlank="1" showInputMessage="1" showErrorMessage="1" xr:uid="{9B4A2760-9036-4C2B-909B-065D56C04627}">
          <x14:formula1>
            <xm:f>項目!A4:$WVQ$917506</xm:f>
          </x14:formula1>
          <xm:sqref>WVZ917511:WVZ917534</xm:sqref>
        </x14:dataValidation>
        <x14:dataValidation type="list" allowBlank="1" showInputMessage="1" showErrorMessage="1" xr:uid="{A98552C8-8D65-4714-BEA9-91C8C9D257BB}">
          <x14:formula1>
            <xm:f>項目!A4:$K$983042</xm:f>
          </x14:formula1>
          <xm:sqref>R983047:R983070</xm:sqref>
        </x14:dataValidation>
        <x14:dataValidation type="list" allowBlank="1" showInputMessage="1" showErrorMessage="1" xr:uid="{A60E252C-58FD-4C66-8059-7A103E282BEA}">
          <x14:formula1>
            <xm:f>項目!A4:$JE$983042</xm:f>
          </x14:formula1>
          <xm:sqref>JN983047:JN983070</xm:sqref>
        </x14:dataValidation>
        <x14:dataValidation type="list" allowBlank="1" showInputMessage="1" showErrorMessage="1" xr:uid="{45EF8C10-4AF6-47E2-AA86-0BE46169D25D}">
          <x14:formula1>
            <xm:f>項目!A4:$TA$983042</xm:f>
          </x14:formula1>
          <xm:sqref>TJ983047:TJ983070</xm:sqref>
        </x14:dataValidation>
        <x14:dataValidation type="list" allowBlank="1" showInputMessage="1" showErrorMessage="1" xr:uid="{42426D81-8521-4484-842A-A3CF886AE060}">
          <x14:formula1>
            <xm:f>項目!A4:$ACW$983042</xm:f>
          </x14:formula1>
          <xm:sqref>ADF983047:ADF983070</xm:sqref>
        </x14:dataValidation>
        <x14:dataValidation type="list" allowBlank="1" showInputMessage="1" showErrorMessage="1" xr:uid="{D3272428-E52E-4FA1-86FA-8BEFEC5E507F}">
          <x14:formula1>
            <xm:f>項目!A4:$AMS$983042</xm:f>
          </x14:formula1>
          <xm:sqref>ANB983047:ANB983070</xm:sqref>
        </x14:dataValidation>
        <x14:dataValidation type="list" allowBlank="1" showInputMessage="1" showErrorMessage="1" xr:uid="{89DFCA1F-1B46-4532-8AB5-05BBC3078FEF}">
          <x14:formula1>
            <xm:f>項目!A4:$AWO$983042</xm:f>
          </x14:formula1>
          <xm:sqref>AWX983047:AWX983070</xm:sqref>
        </x14:dataValidation>
        <x14:dataValidation type="list" allowBlank="1" showInputMessage="1" showErrorMessage="1" xr:uid="{02978849-9929-4361-B69D-C9CA6335A4EE}">
          <x14:formula1>
            <xm:f>項目!A4:$BGK$983042</xm:f>
          </x14:formula1>
          <xm:sqref>BGT983047:BGT983070</xm:sqref>
        </x14:dataValidation>
        <x14:dataValidation type="list" allowBlank="1" showInputMessage="1" showErrorMessage="1" xr:uid="{A0B6BD36-BDF9-4A41-998C-10376DDCD425}">
          <x14:formula1>
            <xm:f>項目!A4:$BQG$983042</xm:f>
          </x14:formula1>
          <xm:sqref>BQP983047:BQP983070</xm:sqref>
        </x14:dataValidation>
        <x14:dataValidation type="list" allowBlank="1" showInputMessage="1" showErrorMessage="1" xr:uid="{2073179E-A816-4C79-85ED-A1ACCC998F96}">
          <x14:formula1>
            <xm:f>項目!A4:$CAC$983042</xm:f>
          </x14:formula1>
          <xm:sqref>CAL983047:CAL983070</xm:sqref>
        </x14:dataValidation>
        <x14:dataValidation type="list" allowBlank="1" showInputMessage="1" showErrorMessage="1" xr:uid="{873B1629-E1B5-4DAC-87D4-F18F3C6AC5D8}">
          <x14:formula1>
            <xm:f>項目!A4:$CJY$983042</xm:f>
          </x14:formula1>
          <xm:sqref>CKH983047:CKH983070</xm:sqref>
        </x14:dataValidation>
        <x14:dataValidation type="list" allowBlank="1" showInputMessage="1" showErrorMessage="1" xr:uid="{A0856D5C-4F85-4F4A-AEF6-3670D1163319}">
          <x14:formula1>
            <xm:f>項目!A4:$CTU$983042</xm:f>
          </x14:formula1>
          <xm:sqref>CUD983047:CUD983070</xm:sqref>
        </x14:dataValidation>
        <x14:dataValidation type="list" allowBlank="1" showInputMessage="1" showErrorMessage="1" xr:uid="{668BE832-3D18-41C3-A13A-377FCF1E5B77}">
          <x14:formula1>
            <xm:f>項目!A4:$DDQ$983042</xm:f>
          </x14:formula1>
          <xm:sqref>DDZ983047:DDZ983070</xm:sqref>
        </x14:dataValidation>
        <x14:dataValidation type="list" allowBlank="1" showInputMessage="1" showErrorMessage="1" xr:uid="{C331DC3E-9810-445B-A801-84624C03D043}">
          <x14:formula1>
            <xm:f>項目!A4:$DNM$983042</xm:f>
          </x14:formula1>
          <xm:sqref>DNV983047:DNV983070</xm:sqref>
        </x14:dataValidation>
        <x14:dataValidation type="list" allowBlank="1" showInputMessage="1" showErrorMessage="1" xr:uid="{9E528B6F-9470-4AB4-86D0-63A058555E64}">
          <x14:formula1>
            <xm:f>項目!A4:$DXI$983042</xm:f>
          </x14:formula1>
          <xm:sqref>DXR983047:DXR983070</xm:sqref>
        </x14:dataValidation>
        <x14:dataValidation type="list" allowBlank="1" showInputMessage="1" showErrorMessage="1" xr:uid="{E2141689-3619-4EA2-95A4-0E451B7D4361}">
          <x14:formula1>
            <xm:f>項目!A4:$EHE$983042</xm:f>
          </x14:formula1>
          <xm:sqref>EHN983047:EHN983070</xm:sqref>
        </x14:dataValidation>
        <x14:dataValidation type="list" allowBlank="1" showInputMessage="1" showErrorMessage="1" xr:uid="{B52F0F5F-DFB9-4361-BFFD-DE7373E105A0}">
          <x14:formula1>
            <xm:f>項目!A4:$ERA$983042</xm:f>
          </x14:formula1>
          <xm:sqref>ERJ983047:ERJ983070</xm:sqref>
        </x14:dataValidation>
        <x14:dataValidation type="list" allowBlank="1" showInputMessage="1" showErrorMessage="1" xr:uid="{9EC72B68-C28B-41FD-B28F-97A07EB48A79}">
          <x14:formula1>
            <xm:f>項目!A4:$FAW$983042</xm:f>
          </x14:formula1>
          <xm:sqref>FBF983047:FBF983070</xm:sqref>
        </x14:dataValidation>
        <x14:dataValidation type="list" allowBlank="1" showInputMessage="1" showErrorMessage="1" xr:uid="{34A2AC69-877C-4544-A000-3C99806F59BC}">
          <x14:formula1>
            <xm:f>項目!A4:$FKS$983042</xm:f>
          </x14:formula1>
          <xm:sqref>FLB983047:FLB983070</xm:sqref>
        </x14:dataValidation>
        <x14:dataValidation type="list" allowBlank="1" showInputMessage="1" showErrorMessage="1" xr:uid="{F625812D-CA24-408B-A9C9-9CAA32D89A92}">
          <x14:formula1>
            <xm:f>項目!A4:$FUO$983042</xm:f>
          </x14:formula1>
          <xm:sqref>FUX983047:FUX983070</xm:sqref>
        </x14:dataValidation>
        <x14:dataValidation type="list" allowBlank="1" showInputMessage="1" showErrorMessage="1" xr:uid="{3E9301E1-A8C2-448C-9E76-1E05B92CB034}">
          <x14:formula1>
            <xm:f>項目!A4:$GEK$983042</xm:f>
          </x14:formula1>
          <xm:sqref>GET983047:GET983070</xm:sqref>
        </x14:dataValidation>
        <x14:dataValidation type="list" allowBlank="1" showInputMessage="1" showErrorMessage="1" xr:uid="{851148CE-A219-415C-A283-03425C387D25}">
          <x14:formula1>
            <xm:f>項目!A4:$GOG$983042</xm:f>
          </x14:formula1>
          <xm:sqref>GOP983047:GOP983070</xm:sqref>
        </x14:dataValidation>
        <x14:dataValidation type="list" allowBlank="1" showInputMessage="1" showErrorMessage="1" xr:uid="{708A5179-4FA6-4372-8CC7-155455639747}">
          <x14:formula1>
            <xm:f>項目!A4:$GYC$983042</xm:f>
          </x14:formula1>
          <xm:sqref>GYL983047:GYL983070</xm:sqref>
        </x14:dataValidation>
        <x14:dataValidation type="list" allowBlank="1" showInputMessage="1" showErrorMessage="1" xr:uid="{5ADB5BE5-D0E3-4BC9-8ED9-A1635B788F56}">
          <x14:formula1>
            <xm:f>項目!A4:$HHY$983042</xm:f>
          </x14:formula1>
          <xm:sqref>HIH983047:HIH983070</xm:sqref>
        </x14:dataValidation>
        <x14:dataValidation type="list" allowBlank="1" showInputMessage="1" showErrorMessage="1" xr:uid="{4649B0F9-4308-404F-B9BC-E6843AAA0B28}">
          <x14:formula1>
            <xm:f>項目!A4:$HRU$983042</xm:f>
          </x14:formula1>
          <xm:sqref>HSD983047:HSD983070</xm:sqref>
        </x14:dataValidation>
        <x14:dataValidation type="list" allowBlank="1" showInputMessage="1" showErrorMessage="1" xr:uid="{C73358D0-8F35-4576-B23C-EB15B409B212}">
          <x14:formula1>
            <xm:f>項目!A4:$IBQ$983042</xm:f>
          </x14:formula1>
          <xm:sqref>IBZ983047:IBZ983070</xm:sqref>
        </x14:dataValidation>
        <x14:dataValidation type="list" allowBlank="1" showInputMessage="1" showErrorMessage="1" xr:uid="{6275D231-590A-417E-8091-AA93006292A1}">
          <x14:formula1>
            <xm:f>項目!A4:$ILM$983042</xm:f>
          </x14:formula1>
          <xm:sqref>ILV983047:ILV983070</xm:sqref>
        </x14:dataValidation>
        <x14:dataValidation type="list" allowBlank="1" showInputMessage="1" showErrorMessage="1" xr:uid="{8938AF69-4068-49CA-B2D7-6D13125A816C}">
          <x14:formula1>
            <xm:f>項目!A4:$IVI$983042</xm:f>
          </x14:formula1>
          <xm:sqref>IVR983047:IVR983070</xm:sqref>
        </x14:dataValidation>
        <x14:dataValidation type="list" allowBlank="1" showInputMessage="1" showErrorMessage="1" xr:uid="{CE15FBF5-1004-4D82-A9F1-FB817F00AA25}">
          <x14:formula1>
            <xm:f>項目!A4:$JFE$983042</xm:f>
          </x14:formula1>
          <xm:sqref>JFN983047:JFN983070</xm:sqref>
        </x14:dataValidation>
        <x14:dataValidation type="list" allowBlank="1" showInputMessage="1" showErrorMessage="1" xr:uid="{7A49D7A3-9CA9-40CE-BEC9-028132B5FDFE}">
          <x14:formula1>
            <xm:f>項目!A4:$JPA$983042</xm:f>
          </x14:formula1>
          <xm:sqref>JPJ983047:JPJ983070</xm:sqref>
        </x14:dataValidation>
        <x14:dataValidation type="list" allowBlank="1" showInputMessage="1" showErrorMessage="1" xr:uid="{AA277008-E314-493E-8314-37B3CA96C41D}">
          <x14:formula1>
            <xm:f>項目!A4:$JYW$983042</xm:f>
          </x14:formula1>
          <xm:sqref>JZF983047:JZF983070</xm:sqref>
        </x14:dataValidation>
        <x14:dataValidation type="list" allowBlank="1" showInputMessage="1" showErrorMessage="1" xr:uid="{1B317BB1-F29F-48D9-8742-1583684CFEDF}">
          <x14:formula1>
            <xm:f>項目!A4:$KIS$983042</xm:f>
          </x14:formula1>
          <xm:sqref>KJB983047:KJB983070</xm:sqref>
        </x14:dataValidation>
        <x14:dataValidation type="list" allowBlank="1" showInputMessage="1" showErrorMessage="1" xr:uid="{61B6B4FB-54FA-4DC6-897D-70E9DAE7EE5C}">
          <x14:formula1>
            <xm:f>項目!A4:$KSO$983042</xm:f>
          </x14:formula1>
          <xm:sqref>KSX983047:KSX983070</xm:sqref>
        </x14:dataValidation>
        <x14:dataValidation type="list" allowBlank="1" showInputMessage="1" showErrorMessage="1" xr:uid="{2C02C08B-4473-4E2F-9999-9E36C579FC83}">
          <x14:formula1>
            <xm:f>項目!A4:$LCK$983042</xm:f>
          </x14:formula1>
          <xm:sqref>LCT983047:LCT983070</xm:sqref>
        </x14:dataValidation>
        <x14:dataValidation type="list" allowBlank="1" showInputMessage="1" showErrorMessage="1" xr:uid="{DBCA0418-24D3-45E8-AC84-2D148579652F}">
          <x14:formula1>
            <xm:f>項目!A4:$LMG$983042</xm:f>
          </x14:formula1>
          <xm:sqref>LMP983047:LMP983070</xm:sqref>
        </x14:dataValidation>
        <x14:dataValidation type="list" allowBlank="1" showInputMessage="1" showErrorMessage="1" xr:uid="{6E74D16E-1D2D-411F-A489-FA8E4560588F}">
          <x14:formula1>
            <xm:f>項目!A4:$LWC$983042</xm:f>
          </x14:formula1>
          <xm:sqref>LWL983047:LWL983070</xm:sqref>
        </x14:dataValidation>
        <x14:dataValidation type="list" allowBlank="1" showInputMessage="1" showErrorMessage="1" xr:uid="{C818E422-4A1C-4663-BBC1-BB9AEE407717}">
          <x14:formula1>
            <xm:f>項目!A4:$MFY$983042</xm:f>
          </x14:formula1>
          <xm:sqref>MGH983047:MGH983070</xm:sqref>
        </x14:dataValidation>
        <x14:dataValidation type="list" allowBlank="1" showInputMessage="1" showErrorMessage="1" xr:uid="{9D954DF1-23A5-4FFF-9565-125560C8FBAA}">
          <x14:formula1>
            <xm:f>項目!A4:$MPU$983042</xm:f>
          </x14:formula1>
          <xm:sqref>MQD983047:MQD983070</xm:sqref>
        </x14:dataValidation>
        <x14:dataValidation type="list" allowBlank="1" showInputMessage="1" showErrorMessage="1" xr:uid="{773BCB0E-CAB7-42B5-9A61-7EC89F2AEACF}">
          <x14:formula1>
            <xm:f>項目!A4:$MZQ$983042</xm:f>
          </x14:formula1>
          <xm:sqref>MZZ983047:MZZ983070</xm:sqref>
        </x14:dataValidation>
        <x14:dataValidation type="list" allowBlank="1" showInputMessage="1" showErrorMessage="1" xr:uid="{E51973C1-E0ED-4C6C-A4FD-F743939D2E44}">
          <x14:formula1>
            <xm:f>項目!A4:$NJM$983042</xm:f>
          </x14:formula1>
          <xm:sqref>NJV983047:NJV983070</xm:sqref>
        </x14:dataValidation>
        <x14:dataValidation type="list" allowBlank="1" showInputMessage="1" showErrorMessage="1" xr:uid="{4C5A6E38-6FE9-4034-9F42-A0ACEA8CE178}">
          <x14:formula1>
            <xm:f>項目!A4:$NTI$983042</xm:f>
          </x14:formula1>
          <xm:sqref>NTR983047:NTR983070</xm:sqref>
        </x14:dataValidation>
        <x14:dataValidation type="list" allowBlank="1" showInputMessage="1" showErrorMessage="1" xr:uid="{C8989CB6-C864-415C-880A-844C06C1D576}">
          <x14:formula1>
            <xm:f>項目!A4:$ODE$983042</xm:f>
          </x14:formula1>
          <xm:sqref>ODN983047:ODN983070</xm:sqref>
        </x14:dataValidation>
        <x14:dataValidation type="list" allowBlank="1" showInputMessage="1" showErrorMessage="1" xr:uid="{3D9FC0F2-D82E-4D6A-8097-13DAE298A645}">
          <x14:formula1>
            <xm:f>項目!A4:$ONA$983042</xm:f>
          </x14:formula1>
          <xm:sqref>ONJ983047:ONJ983070</xm:sqref>
        </x14:dataValidation>
        <x14:dataValidation type="list" allowBlank="1" showInputMessage="1" showErrorMessage="1" xr:uid="{5D6294F0-1082-422A-9554-F82E5719B5B2}">
          <x14:formula1>
            <xm:f>項目!A4:$OWW$983042</xm:f>
          </x14:formula1>
          <xm:sqref>OXF983047:OXF983070</xm:sqref>
        </x14:dataValidation>
        <x14:dataValidation type="list" allowBlank="1" showInputMessage="1" showErrorMessage="1" xr:uid="{939232D2-3D62-495A-9710-C72156BCF003}">
          <x14:formula1>
            <xm:f>項目!A4:$PGS$983042</xm:f>
          </x14:formula1>
          <xm:sqref>PHB983047:PHB983070</xm:sqref>
        </x14:dataValidation>
        <x14:dataValidation type="list" allowBlank="1" showInputMessage="1" showErrorMessage="1" xr:uid="{7070499B-E1D3-47FE-A070-370ABF16611C}">
          <x14:formula1>
            <xm:f>項目!A4:$PQO$983042</xm:f>
          </x14:formula1>
          <xm:sqref>PQX983047:PQX983070</xm:sqref>
        </x14:dataValidation>
        <x14:dataValidation type="list" allowBlank="1" showInputMessage="1" showErrorMessage="1" xr:uid="{28BD0D9A-F439-4D3B-9C48-F04E4C596DBE}">
          <x14:formula1>
            <xm:f>項目!A4:$QAK$983042</xm:f>
          </x14:formula1>
          <xm:sqref>QAT983047:QAT983070</xm:sqref>
        </x14:dataValidation>
        <x14:dataValidation type="list" allowBlank="1" showInputMessage="1" showErrorMessage="1" xr:uid="{0FCA7716-D264-46F3-B6E0-EF1EFF984787}">
          <x14:formula1>
            <xm:f>項目!A4:$QKG$983042</xm:f>
          </x14:formula1>
          <xm:sqref>QKP983047:QKP983070</xm:sqref>
        </x14:dataValidation>
        <x14:dataValidation type="list" allowBlank="1" showInputMessage="1" showErrorMessage="1" xr:uid="{D8D1BC93-B107-48FA-8980-0842ED34FE29}">
          <x14:formula1>
            <xm:f>項目!A4:$QUC$983042</xm:f>
          </x14:formula1>
          <xm:sqref>QUL983047:QUL983070</xm:sqref>
        </x14:dataValidation>
        <x14:dataValidation type="list" allowBlank="1" showInputMessage="1" showErrorMessage="1" xr:uid="{0F7CAD34-8E1C-4CBB-B209-A04CC4E367E0}">
          <x14:formula1>
            <xm:f>項目!A4:$RDY$983042</xm:f>
          </x14:formula1>
          <xm:sqref>REH983047:REH983070</xm:sqref>
        </x14:dataValidation>
        <x14:dataValidation type="list" allowBlank="1" showInputMessage="1" showErrorMessage="1" xr:uid="{0EE9ADA6-B9F0-497D-93D1-007F3BDD53D1}">
          <x14:formula1>
            <xm:f>項目!A4:$RNU$983042</xm:f>
          </x14:formula1>
          <xm:sqref>ROD983047:ROD983070</xm:sqref>
        </x14:dataValidation>
        <x14:dataValidation type="list" allowBlank="1" showInputMessage="1" showErrorMessage="1" xr:uid="{4A1375E0-22CA-4AF4-8D3F-379A775C1E7C}">
          <x14:formula1>
            <xm:f>項目!A4:$RXQ$983042</xm:f>
          </x14:formula1>
          <xm:sqref>RXZ983047:RXZ983070</xm:sqref>
        </x14:dataValidation>
        <x14:dataValidation type="list" allowBlank="1" showInputMessage="1" showErrorMessage="1" xr:uid="{7B5125F7-7739-41BB-B369-AAC974671AB3}">
          <x14:formula1>
            <xm:f>項目!A4:$SHM$983042</xm:f>
          </x14:formula1>
          <xm:sqref>SHV983047:SHV983070</xm:sqref>
        </x14:dataValidation>
        <x14:dataValidation type="list" allowBlank="1" showInputMessage="1" showErrorMessage="1" xr:uid="{134AD861-922A-414E-97DA-88C3592C2B48}">
          <x14:formula1>
            <xm:f>項目!A4:$SRI$983042</xm:f>
          </x14:formula1>
          <xm:sqref>SRR983047:SRR983070</xm:sqref>
        </x14:dataValidation>
        <x14:dataValidation type="list" allowBlank="1" showInputMessage="1" showErrorMessage="1" xr:uid="{8354A062-4B52-46C3-94C6-E8FDFD0A8D4B}">
          <x14:formula1>
            <xm:f>項目!A4:$TBE$983042</xm:f>
          </x14:formula1>
          <xm:sqref>TBN983047:TBN983070</xm:sqref>
        </x14:dataValidation>
        <x14:dataValidation type="list" allowBlank="1" showInputMessage="1" showErrorMessage="1" xr:uid="{B5ECB788-0F36-4989-80D6-00E1D775F882}">
          <x14:formula1>
            <xm:f>項目!A4:$TLA$983042</xm:f>
          </x14:formula1>
          <xm:sqref>TLJ983047:TLJ983070</xm:sqref>
        </x14:dataValidation>
        <x14:dataValidation type="list" allowBlank="1" showInputMessage="1" showErrorMessage="1" xr:uid="{B39530B6-4924-49D3-8540-1AECF5E87013}">
          <x14:formula1>
            <xm:f>項目!A4:$TUW$983042</xm:f>
          </x14:formula1>
          <xm:sqref>TVF983047:TVF983070</xm:sqref>
        </x14:dataValidation>
        <x14:dataValidation type="list" allowBlank="1" showInputMessage="1" showErrorMessage="1" xr:uid="{643AE6F1-5C53-413E-BF0F-503F35A29243}">
          <x14:formula1>
            <xm:f>項目!A4:$UES$983042</xm:f>
          </x14:formula1>
          <xm:sqref>UFB983047:UFB983070</xm:sqref>
        </x14:dataValidation>
        <x14:dataValidation type="list" allowBlank="1" showInputMessage="1" showErrorMessage="1" xr:uid="{2251A9B9-2BDA-4E96-893F-49DCE713A831}">
          <x14:formula1>
            <xm:f>項目!A4:$UOO$983042</xm:f>
          </x14:formula1>
          <xm:sqref>UOX983047:UOX983070</xm:sqref>
        </x14:dataValidation>
        <x14:dataValidation type="list" allowBlank="1" showInputMessage="1" showErrorMessage="1" xr:uid="{53D9AA92-8896-4EF8-92C5-A2759AFE4D3F}">
          <x14:formula1>
            <xm:f>項目!A4:$UYK$983042</xm:f>
          </x14:formula1>
          <xm:sqref>UYT983047:UYT983070</xm:sqref>
        </x14:dataValidation>
        <x14:dataValidation type="list" allowBlank="1" showInputMessage="1" showErrorMessage="1" xr:uid="{F1A5C8F5-B2BF-441C-BE3F-80F4E1FDDA8D}">
          <x14:formula1>
            <xm:f>項目!A4:$VIG$983042</xm:f>
          </x14:formula1>
          <xm:sqref>VIP983047:VIP983070</xm:sqref>
        </x14:dataValidation>
        <x14:dataValidation type="list" allowBlank="1" showInputMessage="1" showErrorMessage="1" xr:uid="{CCF204AE-8BC1-4A18-9733-2300307EFAC6}">
          <x14:formula1>
            <xm:f>項目!A4:$VSC$983042</xm:f>
          </x14:formula1>
          <xm:sqref>VSL983047:VSL983070</xm:sqref>
        </x14:dataValidation>
        <x14:dataValidation type="list" allowBlank="1" showInputMessage="1" showErrorMessage="1" xr:uid="{3CB2B9F4-5D73-430C-ACCA-32306B213F7B}">
          <x14:formula1>
            <xm:f>項目!A4:$WBY$983042</xm:f>
          </x14:formula1>
          <xm:sqref>WCH983047:WCH983070</xm:sqref>
        </x14:dataValidation>
        <x14:dataValidation type="list" allowBlank="1" showInputMessage="1" showErrorMessage="1" xr:uid="{3342A162-6307-4C66-91BF-3F7EA5472C7D}">
          <x14:formula1>
            <xm:f>項目!A4:$WLU$983042</xm:f>
          </x14:formula1>
          <xm:sqref>WMD983047:WMD983070</xm:sqref>
        </x14:dataValidation>
        <x14:dataValidation type="list" allowBlank="1" showInputMessage="1" showErrorMessage="1" xr:uid="{6F446F18-DCA0-478C-9633-80F992FE5EB1}">
          <x14:formula1>
            <xm:f>項目!A4:$WVQ$983042</xm:f>
          </x14:formula1>
          <xm:sqref>WVZ983047:WVZ983070</xm:sqref>
        </x14:dataValidation>
        <x14:dataValidation type="list" allowBlank="1" showInputMessage="1" showErrorMessage="1" xr:uid="{4D71F9B5-D1D4-492E-8BD2-70C65B086063}">
          <x14:formula1>
            <xm:f>項目!A4:$N$65538</xm:f>
          </x14:formula1>
          <xm:sqref>V65543:V65566</xm:sqref>
        </x14:dataValidation>
        <x14:dataValidation type="list" allowBlank="1" showInputMessage="1" showErrorMessage="1" xr:uid="{D9050604-63D0-4AFD-A162-BC52F18231B6}">
          <x14:formula1>
            <xm:f>項目!A4:$JI$65538</xm:f>
          </x14:formula1>
          <xm:sqref>JR65543:JR65566</xm:sqref>
        </x14:dataValidation>
        <x14:dataValidation type="list" allowBlank="1" showInputMessage="1" showErrorMessage="1" xr:uid="{BD57F3A6-9359-4657-B621-D0A8F69C3D22}">
          <x14:formula1>
            <xm:f>項目!A4:$TE$65538</xm:f>
          </x14:formula1>
          <xm:sqref>TN65543:TN65566</xm:sqref>
        </x14:dataValidation>
        <x14:dataValidation type="list" allowBlank="1" showInputMessage="1" showErrorMessage="1" xr:uid="{686A77AE-DCC8-4F47-96D5-615535FD4A4E}">
          <x14:formula1>
            <xm:f>項目!A4:$ADA$65538</xm:f>
          </x14:formula1>
          <xm:sqref>ADJ65543:ADJ65566</xm:sqref>
        </x14:dataValidation>
        <x14:dataValidation type="list" allowBlank="1" showInputMessage="1" showErrorMessage="1" xr:uid="{BCF1C574-F03C-42D6-A76F-3E6180C6805D}">
          <x14:formula1>
            <xm:f>項目!A4:$AMW$65538</xm:f>
          </x14:formula1>
          <xm:sqref>ANF65543:ANF65566</xm:sqref>
        </x14:dataValidation>
        <x14:dataValidation type="list" allowBlank="1" showInputMessage="1" showErrorMessage="1" xr:uid="{78CF8BF1-5123-4464-B5F1-21779B42E5C2}">
          <x14:formula1>
            <xm:f>項目!A4:$AWS$65538</xm:f>
          </x14:formula1>
          <xm:sqref>AXB65543:AXB65566</xm:sqref>
        </x14:dataValidation>
        <x14:dataValidation type="list" allowBlank="1" showInputMessage="1" showErrorMessage="1" xr:uid="{42D67301-FB31-4C61-843E-1B84D1F35CB4}">
          <x14:formula1>
            <xm:f>項目!A4:$BGO$65538</xm:f>
          </x14:formula1>
          <xm:sqref>BGX65543:BGX65566</xm:sqref>
        </x14:dataValidation>
        <x14:dataValidation type="list" allowBlank="1" showInputMessage="1" showErrorMessage="1" xr:uid="{36DDBD51-057A-43A3-980F-7E993F38C28F}">
          <x14:formula1>
            <xm:f>項目!A4:$BQK$65538</xm:f>
          </x14:formula1>
          <xm:sqref>BQT65543:BQT65566</xm:sqref>
        </x14:dataValidation>
        <x14:dataValidation type="list" allowBlank="1" showInputMessage="1" showErrorMessage="1" xr:uid="{A9469F8A-22F7-4EEA-82A1-1C42B693DBA9}">
          <x14:formula1>
            <xm:f>項目!A4:$CAG$65538</xm:f>
          </x14:formula1>
          <xm:sqref>CAP65543:CAP65566</xm:sqref>
        </x14:dataValidation>
        <x14:dataValidation type="list" allowBlank="1" showInputMessage="1" showErrorMessage="1" xr:uid="{BAF79448-C5A2-4C63-A710-B5DB14F9D7C6}">
          <x14:formula1>
            <xm:f>項目!A4:$CKC$65538</xm:f>
          </x14:formula1>
          <xm:sqref>CKL65543:CKL65566</xm:sqref>
        </x14:dataValidation>
        <x14:dataValidation type="list" allowBlank="1" showInputMessage="1" showErrorMessage="1" xr:uid="{24F0C286-1D6D-477B-9427-730DD5A8B9EE}">
          <x14:formula1>
            <xm:f>項目!A4:$CTY$65538</xm:f>
          </x14:formula1>
          <xm:sqref>CUH65543:CUH65566</xm:sqref>
        </x14:dataValidation>
        <x14:dataValidation type="list" allowBlank="1" showInputMessage="1" showErrorMessage="1" xr:uid="{1C75FB53-DD06-48FF-BB0A-9E0F6B7A5259}">
          <x14:formula1>
            <xm:f>項目!A4:$DDU$65538</xm:f>
          </x14:formula1>
          <xm:sqref>DED65543:DED65566</xm:sqref>
        </x14:dataValidation>
        <x14:dataValidation type="list" allowBlank="1" showInputMessage="1" showErrorMessage="1" xr:uid="{121D4E67-1497-4C91-AD8C-57D2F16F68EE}">
          <x14:formula1>
            <xm:f>項目!A4:$DNQ$65538</xm:f>
          </x14:formula1>
          <xm:sqref>DNZ65543:DNZ65566</xm:sqref>
        </x14:dataValidation>
        <x14:dataValidation type="list" allowBlank="1" showInputMessage="1" showErrorMessage="1" xr:uid="{0D80B3B3-F77D-48E1-8BD1-52BFA5184443}">
          <x14:formula1>
            <xm:f>項目!A4:$DXM$65538</xm:f>
          </x14:formula1>
          <xm:sqref>DXV65543:DXV65566</xm:sqref>
        </x14:dataValidation>
        <x14:dataValidation type="list" allowBlank="1" showInputMessage="1" showErrorMessage="1" xr:uid="{42D8BBF2-8840-4504-B593-98C7EAA8DB35}">
          <x14:formula1>
            <xm:f>項目!A4:$EHI$65538</xm:f>
          </x14:formula1>
          <xm:sqref>EHR65543:EHR65566</xm:sqref>
        </x14:dataValidation>
        <x14:dataValidation type="list" allowBlank="1" showInputMessage="1" showErrorMessage="1" xr:uid="{E6978C6C-45DD-4AFB-8691-4A314A44E82C}">
          <x14:formula1>
            <xm:f>項目!A4:$ERE$65538</xm:f>
          </x14:formula1>
          <xm:sqref>ERN65543:ERN65566</xm:sqref>
        </x14:dataValidation>
        <x14:dataValidation type="list" allowBlank="1" showInputMessage="1" showErrorMessage="1" xr:uid="{D719766B-E42D-46FF-9E4F-1B9480F2D5BA}">
          <x14:formula1>
            <xm:f>項目!A4:$FBA$65538</xm:f>
          </x14:formula1>
          <xm:sqref>FBJ65543:FBJ65566</xm:sqref>
        </x14:dataValidation>
        <x14:dataValidation type="list" allowBlank="1" showInputMessage="1" showErrorMessage="1" xr:uid="{9BB7787D-C1D9-4E2F-9820-0A97A20952A7}">
          <x14:formula1>
            <xm:f>項目!A4:$FKW$65538</xm:f>
          </x14:formula1>
          <xm:sqref>FLF65543:FLF65566</xm:sqref>
        </x14:dataValidation>
        <x14:dataValidation type="list" allowBlank="1" showInputMessage="1" showErrorMessage="1" xr:uid="{36EEDB6B-85F2-4CE9-9EA6-53F5AC41EA29}">
          <x14:formula1>
            <xm:f>項目!A4:$FUS$65538</xm:f>
          </x14:formula1>
          <xm:sqref>FVB65543:FVB65566</xm:sqref>
        </x14:dataValidation>
        <x14:dataValidation type="list" allowBlank="1" showInputMessage="1" showErrorMessage="1" xr:uid="{72919F29-35B8-45C6-9D1F-185732595B98}">
          <x14:formula1>
            <xm:f>項目!A4:$GEO$65538</xm:f>
          </x14:formula1>
          <xm:sqref>GEX65543:GEX65566</xm:sqref>
        </x14:dataValidation>
        <x14:dataValidation type="list" allowBlank="1" showInputMessage="1" showErrorMessage="1" xr:uid="{3818C7EC-F115-430D-8ED9-CC26E5ACEC70}">
          <x14:formula1>
            <xm:f>項目!A4:$GOK$65538</xm:f>
          </x14:formula1>
          <xm:sqref>GOT65543:GOT65566</xm:sqref>
        </x14:dataValidation>
        <x14:dataValidation type="list" allowBlank="1" showInputMessage="1" showErrorMessage="1" xr:uid="{75632432-6021-4339-A9C9-E0FF44EBF27C}">
          <x14:formula1>
            <xm:f>項目!A4:$GYG$65538</xm:f>
          </x14:formula1>
          <xm:sqref>GYP65543:GYP65566</xm:sqref>
        </x14:dataValidation>
        <x14:dataValidation type="list" allowBlank="1" showInputMessage="1" showErrorMessage="1" xr:uid="{44877043-05F2-412C-AD99-9DDAD19C1E4D}">
          <x14:formula1>
            <xm:f>項目!A4:$HIC$65538</xm:f>
          </x14:formula1>
          <xm:sqref>HIL65543:HIL65566</xm:sqref>
        </x14:dataValidation>
        <x14:dataValidation type="list" allowBlank="1" showInputMessage="1" showErrorMessage="1" xr:uid="{B4D73FD4-C079-4F49-81CE-C6898D9F166C}">
          <x14:formula1>
            <xm:f>項目!A4:$HRY$65538</xm:f>
          </x14:formula1>
          <xm:sqref>HSH65543:HSH65566</xm:sqref>
        </x14:dataValidation>
        <x14:dataValidation type="list" allowBlank="1" showInputMessage="1" showErrorMessage="1" xr:uid="{CCA2AFBC-C861-4F65-B0BE-94E30AE1DCBE}">
          <x14:formula1>
            <xm:f>項目!A4:$IBU$65538</xm:f>
          </x14:formula1>
          <xm:sqref>ICD65543:ICD65566</xm:sqref>
        </x14:dataValidation>
        <x14:dataValidation type="list" allowBlank="1" showInputMessage="1" showErrorMessage="1" xr:uid="{750FAE9C-5B24-4255-B9FE-FF94825C36A4}">
          <x14:formula1>
            <xm:f>項目!A4:$ILQ$65538</xm:f>
          </x14:formula1>
          <xm:sqref>ILZ65543:ILZ65566</xm:sqref>
        </x14:dataValidation>
        <x14:dataValidation type="list" allowBlank="1" showInputMessage="1" showErrorMessage="1" xr:uid="{38280328-C3F1-445A-9B0A-F0293476B813}">
          <x14:formula1>
            <xm:f>項目!A4:$IVM$65538</xm:f>
          </x14:formula1>
          <xm:sqref>IVV65543:IVV65566</xm:sqref>
        </x14:dataValidation>
        <x14:dataValidation type="list" allowBlank="1" showInputMessage="1" showErrorMessage="1" xr:uid="{5E03E000-0771-4A81-9F1D-D585CE145F92}">
          <x14:formula1>
            <xm:f>項目!A4:$JFI$65538</xm:f>
          </x14:formula1>
          <xm:sqref>JFR65543:JFR65566</xm:sqref>
        </x14:dataValidation>
        <x14:dataValidation type="list" allowBlank="1" showInputMessage="1" showErrorMessage="1" xr:uid="{BBB9B983-B2BE-42EC-9F3F-DA7CEC9447EC}">
          <x14:formula1>
            <xm:f>項目!A4:$JPE$65538</xm:f>
          </x14:formula1>
          <xm:sqref>JPN65543:JPN65566</xm:sqref>
        </x14:dataValidation>
        <x14:dataValidation type="list" allowBlank="1" showInputMessage="1" showErrorMessage="1" xr:uid="{B3E23526-027E-4CFE-81CD-67E972C89FBE}">
          <x14:formula1>
            <xm:f>項目!A4:$JZA$65538</xm:f>
          </x14:formula1>
          <xm:sqref>JZJ65543:JZJ65566</xm:sqref>
        </x14:dataValidation>
        <x14:dataValidation type="list" allowBlank="1" showInputMessage="1" showErrorMessage="1" xr:uid="{7739E8B8-F9DE-41BE-AA12-4234FEFC7723}">
          <x14:formula1>
            <xm:f>項目!A4:$KIW$65538</xm:f>
          </x14:formula1>
          <xm:sqref>KJF65543:KJF65566</xm:sqref>
        </x14:dataValidation>
        <x14:dataValidation type="list" allowBlank="1" showInputMessage="1" showErrorMessage="1" xr:uid="{75F64AFB-3872-4013-A043-022FEE73605C}">
          <x14:formula1>
            <xm:f>項目!A4:$KSS$65538</xm:f>
          </x14:formula1>
          <xm:sqref>KTB65543:KTB65566</xm:sqref>
        </x14:dataValidation>
        <x14:dataValidation type="list" allowBlank="1" showInputMessage="1" showErrorMessage="1" xr:uid="{32C35C15-2E39-42B2-83D8-3550E4034BC3}">
          <x14:formula1>
            <xm:f>項目!A4:$LCO$65538</xm:f>
          </x14:formula1>
          <xm:sqref>LCX65543:LCX65566</xm:sqref>
        </x14:dataValidation>
        <x14:dataValidation type="list" allowBlank="1" showInputMessage="1" showErrorMessage="1" xr:uid="{D86900B7-D486-4652-B9C7-057055546A78}">
          <x14:formula1>
            <xm:f>項目!A4:$LMK$65538</xm:f>
          </x14:formula1>
          <xm:sqref>LMT65543:LMT65566</xm:sqref>
        </x14:dataValidation>
        <x14:dataValidation type="list" allowBlank="1" showInputMessage="1" showErrorMessage="1" xr:uid="{39B33E4F-EED4-45D4-82E5-CA8852C8E1A9}">
          <x14:formula1>
            <xm:f>項目!A4:$LWG$65538</xm:f>
          </x14:formula1>
          <xm:sqref>LWP65543:LWP65566</xm:sqref>
        </x14:dataValidation>
        <x14:dataValidation type="list" allowBlank="1" showInputMessage="1" showErrorMessage="1" xr:uid="{2F97BCF5-3107-47FE-9F23-4DDE435321F0}">
          <x14:formula1>
            <xm:f>項目!A4:$MGC$65538</xm:f>
          </x14:formula1>
          <xm:sqref>MGL65543:MGL65566</xm:sqref>
        </x14:dataValidation>
        <x14:dataValidation type="list" allowBlank="1" showInputMessage="1" showErrorMessage="1" xr:uid="{9D622B3A-747D-48EE-A93C-6688ADFA6F31}">
          <x14:formula1>
            <xm:f>項目!A4:$MPY$65538</xm:f>
          </x14:formula1>
          <xm:sqref>MQH65543:MQH65566</xm:sqref>
        </x14:dataValidation>
        <x14:dataValidation type="list" allowBlank="1" showInputMessage="1" showErrorMessage="1" xr:uid="{C9D35744-26A6-488B-8BA9-30691C998242}">
          <x14:formula1>
            <xm:f>項目!A4:$MZU$65538</xm:f>
          </x14:formula1>
          <xm:sqref>NAD65543:NAD65566</xm:sqref>
        </x14:dataValidation>
        <x14:dataValidation type="list" allowBlank="1" showInputMessage="1" showErrorMessage="1" xr:uid="{0CC2EC27-870A-43B0-9E44-A6EE137C14E2}">
          <x14:formula1>
            <xm:f>項目!A4:$NJQ$65538</xm:f>
          </x14:formula1>
          <xm:sqref>NJZ65543:NJZ65566</xm:sqref>
        </x14:dataValidation>
        <x14:dataValidation type="list" allowBlank="1" showInputMessage="1" showErrorMessage="1" xr:uid="{82F9D8CF-FC5F-4D01-A20D-27500AB3B2EA}">
          <x14:formula1>
            <xm:f>項目!A4:$NTM$65538</xm:f>
          </x14:formula1>
          <xm:sqref>NTV65543:NTV65566</xm:sqref>
        </x14:dataValidation>
        <x14:dataValidation type="list" allowBlank="1" showInputMessage="1" showErrorMessage="1" xr:uid="{38CB6C4F-0E72-4A93-8B63-11DF94E45B46}">
          <x14:formula1>
            <xm:f>項目!A4:$ODI$65538</xm:f>
          </x14:formula1>
          <xm:sqref>ODR65543:ODR65566</xm:sqref>
        </x14:dataValidation>
        <x14:dataValidation type="list" allowBlank="1" showInputMessage="1" showErrorMessage="1" xr:uid="{43992675-01BA-4740-B559-A4936F09C49A}">
          <x14:formula1>
            <xm:f>項目!A4:$ONE$65538</xm:f>
          </x14:formula1>
          <xm:sqref>ONN65543:ONN65566</xm:sqref>
        </x14:dataValidation>
        <x14:dataValidation type="list" allowBlank="1" showInputMessage="1" showErrorMessage="1" xr:uid="{04416870-807C-4EBE-8608-2517717C7208}">
          <x14:formula1>
            <xm:f>項目!A4:$OXA$65538</xm:f>
          </x14:formula1>
          <xm:sqref>OXJ65543:OXJ65566</xm:sqref>
        </x14:dataValidation>
        <x14:dataValidation type="list" allowBlank="1" showInputMessage="1" showErrorMessage="1" xr:uid="{09857BF6-09E7-4DA9-B1AB-F10AC3B15B7E}">
          <x14:formula1>
            <xm:f>項目!A4:$PGW$65538</xm:f>
          </x14:formula1>
          <xm:sqref>PHF65543:PHF65566</xm:sqref>
        </x14:dataValidation>
        <x14:dataValidation type="list" allowBlank="1" showInputMessage="1" showErrorMessage="1" xr:uid="{3BB6360B-B8FD-4C99-9AD0-FB5F8C959ACF}">
          <x14:formula1>
            <xm:f>項目!A4:$PQS$65538</xm:f>
          </x14:formula1>
          <xm:sqref>PRB65543:PRB65566</xm:sqref>
        </x14:dataValidation>
        <x14:dataValidation type="list" allowBlank="1" showInputMessage="1" showErrorMessage="1" xr:uid="{EA7BA069-49AE-4D2C-853B-5C63700FA59B}">
          <x14:formula1>
            <xm:f>項目!A4:$QAO$65538</xm:f>
          </x14:formula1>
          <xm:sqref>QAX65543:QAX65566</xm:sqref>
        </x14:dataValidation>
        <x14:dataValidation type="list" allowBlank="1" showInputMessage="1" showErrorMessage="1" xr:uid="{64BF004A-21BD-4ADB-AFC3-EBD0154B7369}">
          <x14:formula1>
            <xm:f>項目!A4:$QKK$65538</xm:f>
          </x14:formula1>
          <xm:sqref>QKT65543:QKT65566</xm:sqref>
        </x14:dataValidation>
        <x14:dataValidation type="list" allowBlank="1" showInputMessage="1" showErrorMessage="1" xr:uid="{BA7959FA-6AD5-48A9-91BA-ADB41B6C44F1}">
          <x14:formula1>
            <xm:f>項目!A4:$QUG$65538</xm:f>
          </x14:formula1>
          <xm:sqref>QUP65543:QUP65566</xm:sqref>
        </x14:dataValidation>
        <x14:dataValidation type="list" allowBlank="1" showInputMessage="1" showErrorMessage="1" xr:uid="{8869C4CF-AA08-4078-9C64-1691DDAEC53E}">
          <x14:formula1>
            <xm:f>項目!A4:$REC$65538</xm:f>
          </x14:formula1>
          <xm:sqref>REL65543:REL65566</xm:sqref>
        </x14:dataValidation>
        <x14:dataValidation type="list" allowBlank="1" showInputMessage="1" showErrorMessage="1" xr:uid="{60839CF3-42E7-48BB-930D-7AAA057CECFC}">
          <x14:formula1>
            <xm:f>項目!A4:$RNY$65538</xm:f>
          </x14:formula1>
          <xm:sqref>ROH65543:ROH65566</xm:sqref>
        </x14:dataValidation>
        <x14:dataValidation type="list" allowBlank="1" showInputMessage="1" showErrorMessage="1" xr:uid="{1C4E850F-7DDB-4F57-9D2F-DEC46BA49D8C}">
          <x14:formula1>
            <xm:f>項目!A4:$RXU$65538</xm:f>
          </x14:formula1>
          <xm:sqref>RYD65543:RYD65566</xm:sqref>
        </x14:dataValidation>
        <x14:dataValidation type="list" allowBlank="1" showInputMessage="1" showErrorMessage="1" xr:uid="{80C5ADE7-CBA7-40C6-B30E-CE5FFD468FB8}">
          <x14:formula1>
            <xm:f>項目!A4:$SHQ$65538</xm:f>
          </x14:formula1>
          <xm:sqref>SHZ65543:SHZ65566</xm:sqref>
        </x14:dataValidation>
        <x14:dataValidation type="list" allowBlank="1" showInputMessage="1" showErrorMessage="1" xr:uid="{800A8CCE-3093-41CC-A57D-63A54BC33124}">
          <x14:formula1>
            <xm:f>項目!A4:$SRM$65538</xm:f>
          </x14:formula1>
          <xm:sqref>SRV65543:SRV65566</xm:sqref>
        </x14:dataValidation>
        <x14:dataValidation type="list" allowBlank="1" showInputMessage="1" showErrorMessage="1" xr:uid="{D3BF8F76-45C0-41D0-B244-C5EBE736E188}">
          <x14:formula1>
            <xm:f>項目!A4:$TBI$65538</xm:f>
          </x14:formula1>
          <xm:sqref>TBR65543:TBR65566</xm:sqref>
        </x14:dataValidation>
        <x14:dataValidation type="list" allowBlank="1" showInputMessage="1" showErrorMessage="1" xr:uid="{B4325C6E-C02E-47EE-86FB-7DD5A7D1E478}">
          <x14:formula1>
            <xm:f>項目!A4:$TLE$65538</xm:f>
          </x14:formula1>
          <xm:sqref>TLN65543:TLN65566</xm:sqref>
        </x14:dataValidation>
        <x14:dataValidation type="list" allowBlank="1" showInputMessage="1" showErrorMessage="1" xr:uid="{39E834DC-AF46-48C3-B212-547F83313493}">
          <x14:formula1>
            <xm:f>項目!A4:$TVA$65538</xm:f>
          </x14:formula1>
          <xm:sqref>TVJ65543:TVJ65566</xm:sqref>
        </x14:dataValidation>
        <x14:dataValidation type="list" allowBlank="1" showInputMessage="1" showErrorMessage="1" xr:uid="{FA2B131F-58DE-4BB9-A2DD-4721A4686A01}">
          <x14:formula1>
            <xm:f>項目!A4:$UEW$65538</xm:f>
          </x14:formula1>
          <xm:sqref>UFF65543:UFF65566</xm:sqref>
        </x14:dataValidation>
        <x14:dataValidation type="list" allowBlank="1" showInputMessage="1" showErrorMessage="1" xr:uid="{E0724DF2-F854-4D86-B096-30E8F445026B}">
          <x14:formula1>
            <xm:f>項目!A4:$UOS$65538</xm:f>
          </x14:formula1>
          <xm:sqref>UPB65543:UPB65566</xm:sqref>
        </x14:dataValidation>
        <x14:dataValidation type="list" allowBlank="1" showInputMessage="1" showErrorMessage="1" xr:uid="{CBE2B279-A8B8-468E-B2D7-1F8304D95DB2}">
          <x14:formula1>
            <xm:f>項目!A4:$UYO$65538</xm:f>
          </x14:formula1>
          <xm:sqref>UYX65543:UYX65566</xm:sqref>
        </x14:dataValidation>
        <x14:dataValidation type="list" allowBlank="1" showInputMessage="1" showErrorMessage="1" xr:uid="{E49C1C38-B1D2-4AAC-9C37-07313ABD244B}">
          <x14:formula1>
            <xm:f>項目!A4:$VIK$65538</xm:f>
          </x14:formula1>
          <xm:sqref>VIT65543:VIT65566</xm:sqref>
        </x14:dataValidation>
        <x14:dataValidation type="list" allowBlank="1" showInputMessage="1" showErrorMessage="1" xr:uid="{1EA03F34-2276-4E81-87E8-92F4B4A9B6F0}">
          <x14:formula1>
            <xm:f>項目!A4:$VSG$65538</xm:f>
          </x14:formula1>
          <xm:sqref>VSP65543:VSP65566</xm:sqref>
        </x14:dataValidation>
        <x14:dataValidation type="list" allowBlank="1" showInputMessage="1" showErrorMessage="1" xr:uid="{DAEA4929-8425-4344-9937-FAD03AA05DBC}">
          <x14:formula1>
            <xm:f>項目!A4:$WCC$65538</xm:f>
          </x14:formula1>
          <xm:sqref>WCL65543:WCL65566</xm:sqref>
        </x14:dataValidation>
        <x14:dataValidation type="list" allowBlank="1" showInputMessage="1" showErrorMessage="1" xr:uid="{D2FC2024-B4E5-479A-9E91-EB9CAEE1A4D4}">
          <x14:formula1>
            <xm:f>項目!A4:$WLY$65538</xm:f>
          </x14:formula1>
          <xm:sqref>WMH65543:WMH65566</xm:sqref>
        </x14:dataValidation>
        <x14:dataValidation type="list" allowBlank="1" showInputMessage="1" showErrorMessage="1" xr:uid="{1B693493-2FEE-453A-A02E-8DC42090EC4D}">
          <x14:formula1>
            <xm:f>項目!A4:$WVU$65538</xm:f>
          </x14:formula1>
          <xm:sqref>WWD65543:WWD65566</xm:sqref>
        </x14:dataValidation>
        <x14:dataValidation type="list" allowBlank="1" showInputMessage="1" showErrorMessage="1" xr:uid="{9BA2A094-ED5B-42A2-A854-C64949267C57}">
          <x14:formula1>
            <xm:f>項目!A4:$N$131074</xm:f>
          </x14:formula1>
          <xm:sqref>V131079:V131102</xm:sqref>
        </x14:dataValidation>
        <x14:dataValidation type="list" allowBlank="1" showInputMessage="1" showErrorMessage="1" xr:uid="{127CC01D-AAAD-4630-8C1F-1B1F4E50B9D3}">
          <x14:formula1>
            <xm:f>項目!A4:$JI$131074</xm:f>
          </x14:formula1>
          <xm:sqref>JR131079:JR131102</xm:sqref>
        </x14:dataValidation>
        <x14:dataValidation type="list" allowBlank="1" showInputMessage="1" showErrorMessage="1" xr:uid="{B291C5C0-0B75-476F-9D25-1777B430B540}">
          <x14:formula1>
            <xm:f>項目!A4:$TE$131074</xm:f>
          </x14:formula1>
          <xm:sqref>TN131079:TN131102</xm:sqref>
        </x14:dataValidation>
        <x14:dataValidation type="list" allowBlank="1" showInputMessage="1" showErrorMessage="1" xr:uid="{20B8A381-4345-4870-8C9F-D141FFE57874}">
          <x14:formula1>
            <xm:f>項目!A4:$ADA$131074</xm:f>
          </x14:formula1>
          <xm:sqref>ADJ131079:ADJ131102</xm:sqref>
        </x14:dataValidation>
        <x14:dataValidation type="list" allowBlank="1" showInputMessage="1" showErrorMessage="1" xr:uid="{14B0115D-5C92-41B3-B2B0-DA585BFF9341}">
          <x14:formula1>
            <xm:f>項目!A4:$AMW$131074</xm:f>
          </x14:formula1>
          <xm:sqref>ANF131079:ANF131102</xm:sqref>
        </x14:dataValidation>
        <x14:dataValidation type="list" allowBlank="1" showInputMessage="1" showErrorMessage="1" xr:uid="{2BAD133B-843D-46FF-9E3D-BF118515A8A1}">
          <x14:formula1>
            <xm:f>項目!A4:$AWS$131074</xm:f>
          </x14:formula1>
          <xm:sqref>AXB131079:AXB131102</xm:sqref>
        </x14:dataValidation>
        <x14:dataValidation type="list" allowBlank="1" showInputMessage="1" showErrorMessage="1" xr:uid="{8E9165A0-BDAD-4BBA-B47F-F0271E92159A}">
          <x14:formula1>
            <xm:f>項目!A4:$BGO$131074</xm:f>
          </x14:formula1>
          <xm:sqref>BGX131079:BGX131102</xm:sqref>
        </x14:dataValidation>
        <x14:dataValidation type="list" allowBlank="1" showInputMessage="1" showErrorMessage="1" xr:uid="{B9912654-7D98-4ADE-BB2A-3E973130A94F}">
          <x14:formula1>
            <xm:f>項目!A4:$BQK$131074</xm:f>
          </x14:formula1>
          <xm:sqref>BQT131079:BQT131102</xm:sqref>
        </x14:dataValidation>
        <x14:dataValidation type="list" allowBlank="1" showInputMessage="1" showErrorMessage="1" xr:uid="{481F2C8C-7940-4478-BE46-8BE6275548C4}">
          <x14:formula1>
            <xm:f>項目!A4:$CAG$131074</xm:f>
          </x14:formula1>
          <xm:sqref>CAP131079:CAP131102</xm:sqref>
        </x14:dataValidation>
        <x14:dataValidation type="list" allowBlank="1" showInputMessage="1" showErrorMessage="1" xr:uid="{E5F54918-2D78-464D-8E51-326AB24C6E55}">
          <x14:formula1>
            <xm:f>項目!A4:$CKC$131074</xm:f>
          </x14:formula1>
          <xm:sqref>CKL131079:CKL131102</xm:sqref>
        </x14:dataValidation>
        <x14:dataValidation type="list" allowBlank="1" showInputMessage="1" showErrorMessage="1" xr:uid="{0195582B-6EE5-4092-A02D-4A4F7801A8A1}">
          <x14:formula1>
            <xm:f>項目!A4:$CTY$131074</xm:f>
          </x14:formula1>
          <xm:sqref>CUH131079:CUH131102</xm:sqref>
        </x14:dataValidation>
        <x14:dataValidation type="list" allowBlank="1" showInputMessage="1" showErrorMessage="1" xr:uid="{040C216C-1869-46B5-80D9-27D3359FB34B}">
          <x14:formula1>
            <xm:f>項目!A4:$DDU$131074</xm:f>
          </x14:formula1>
          <xm:sqref>DED131079:DED131102</xm:sqref>
        </x14:dataValidation>
        <x14:dataValidation type="list" allowBlank="1" showInputMessage="1" showErrorMessage="1" xr:uid="{D15AE093-E4F6-496D-8E65-D3F53D5A06C1}">
          <x14:formula1>
            <xm:f>項目!A4:$DNQ$131074</xm:f>
          </x14:formula1>
          <xm:sqref>DNZ131079:DNZ131102</xm:sqref>
        </x14:dataValidation>
        <x14:dataValidation type="list" allowBlank="1" showInputMessage="1" showErrorMessage="1" xr:uid="{238C777F-CF76-4ACC-AAB8-3988A7EDDBD3}">
          <x14:formula1>
            <xm:f>項目!A4:$DXM$131074</xm:f>
          </x14:formula1>
          <xm:sqref>DXV131079:DXV131102</xm:sqref>
        </x14:dataValidation>
        <x14:dataValidation type="list" allowBlank="1" showInputMessage="1" showErrorMessage="1" xr:uid="{662CAB04-5A5E-40EA-BFE6-BAFBAEE54401}">
          <x14:formula1>
            <xm:f>項目!A4:$EHI$131074</xm:f>
          </x14:formula1>
          <xm:sqref>EHR131079:EHR131102</xm:sqref>
        </x14:dataValidation>
        <x14:dataValidation type="list" allowBlank="1" showInputMessage="1" showErrorMessage="1" xr:uid="{A8F37E2D-9CE6-46AE-A378-77E041EAB7B7}">
          <x14:formula1>
            <xm:f>項目!A4:$ERE$131074</xm:f>
          </x14:formula1>
          <xm:sqref>ERN131079:ERN131102</xm:sqref>
        </x14:dataValidation>
        <x14:dataValidation type="list" allowBlank="1" showInputMessage="1" showErrorMessage="1" xr:uid="{56BEA435-98BF-4744-A748-FDF08208E226}">
          <x14:formula1>
            <xm:f>項目!A4:$FBA$131074</xm:f>
          </x14:formula1>
          <xm:sqref>FBJ131079:FBJ131102</xm:sqref>
        </x14:dataValidation>
        <x14:dataValidation type="list" allowBlank="1" showInputMessage="1" showErrorMessage="1" xr:uid="{F19C7A90-16C0-4DD1-B803-498EAB2FAEF0}">
          <x14:formula1>
            <xm:f>項目!A4:$FKW$131074</xm:f>
          </x14:formula1>
          <xm:sqref>FLF131079:FLF131102</xm:sqref>
        </x14:dataValidation>
        <x14:dataValidation type="list" allowBlank="1" showInputMessage="1" showErrorMessage="1" xr:uid="{80706381-687D-487D-9399-6ABBF92AE778}">
          <x14:formula1>
            <xm:f>項目!A4:$FUS$131074</xm:f>
          </x14:formula1>
          <xm:sqref>FVB131079:FVB131102</xm:sqref>
        </x14:dataValidation>
        <x14:dataValidation type="list" allowBlank="1" showInputMessage="1" showErrorMessage="1" xr:uid="{1365FA10-3251-467F-86E6-AEFF0BE7E5B8}">
          <x14:formula1>
            <xm:f>項目!A4:$GEO$131074</xm:f>
          </x14:formula1>
          <xm:sqref>GEX131079:GEX131102</xm:sqref>
        </x14:dataValidation>
        <x14:dataValidation type="list" allowBlank="1" showInputMessage="1" showErrorMessage="1" xr:uid="{F3A41691-4DF3-4CC4-BCF3-1422BE11CD2B}">
          <x14:formula1>
            <xm:f>項目!A4:$GOK$131074</xm:f>
          </x14:formula1>
          <xm:sqref>GOT131079:GOT131102</xm:sqref>
        </x14:dataValidation>
        <x14:dataValidation type="list" allowBlank="1" showInputMessage="1" showErrorMessage="1" xr:uid="{348623BC-7D4E-43DB-BB22-6311047806CD}">
          <x14:formula1>
            <xm:f>項目!A4:$GYG$131074</xm:f>
          </x14:formula1>
          <xm:sqref>GYP131079:GYP131102</xm:sqref>
        </x14:dataValidation>
        <x14:dataValidation type="list" allowBlank="1" showInputMessage="1" showErrorMessage="1" xr:uid="{4E965B78-AB09-40B7-A160-9D69E5C336A4}">
          <x14:formula1>
            <xm:f>項目!A4:$HIC$131074</xm:f>
          </x14:formula1>
          <xm:sqref>HIL131079:HIL131102</xm:sqref>
        </x14:dataValidation>
        <x14:dataValidation type="list" allowBlank="1" showInputMessage="1" showErrorMessage="1" xr:uid="{14522FF8-6427-435B-B3F1-86FB34036749}">
          <x14:formula1>
            <xm:f>項目!A4:$HRY$131074</xm:f>
          </x14:formula1>
          <xm:sqref>HSH131079:HSH131102</xm:sqref>
        </x14:dataValidation>
        <x14:dataValidation type="list" allowBlank="1" showInputMessage="1" showErrorMessage="1" xr:uid="{EAA3305A-4A9F-49F8-A4F0-B6F84132B916}">
          <x14:formula1>
            <xm:f>項目!A4:$IBU$131074</xm:f>
          </x14:formula1>
          <xm:sqref>ICD131079:ICD131102</xm:sqref>
        </x14:dataValidation>
        <x14:dataValidation type="list" allowBlank="1" showInputMessage="1" showErrorMessage="1" xr:uid="{AAB62D80-4ADB-456D-971B-B8A0542DD3DB}">
          <x14:formula1>
            <xm:f>項目!A4:$ILQ$131074</xm:f>
          </x14:formula1>
          <xm:sqref>ILZ131079:ILZ131102</xm:sqref>
        </x14:dataValidation>
        <x14:dataValidation type="list" allowBlank="1" showInputMessage="1" showErrorMessage="1" xr:uid="{30AAB633-DE4F-464B-83CA-BFEA949068FB}">
          <x14:formula1>
            <xm:f>項目!A4:$IVM$131074</xm:f>
          </x14:formula1>
          <xm:sqref>IVV131079:IVV131102</xm:sqref>
        </x14:dataValidation>
        <x14:dataValidation type="list" allowBlank="1" showInputMessage="1" showErrorMessage="1" xr:uid="{BCCB847B-E938-4FF7-97AA-5DDAAF89D75C}">
          <x14:formula1>
            <xm:f>項目!A4:$JFI$131074</xm:f>
          </x14:formula1>
          <xm:sqref>JFR131079:JFR131102</xm:sqref>
        </x14:dataValidation>
        <x14:dataValidation type="list" allowBlank="1" showInputMessage="1" showErrorMessage="1" xr:uid="{C0B6747A-6929-4E39-9BAD-9FAE1B6FED42}">
          <x14:formula1>
            <xm:f>項目!A4:$JPE$131074</xm:f>
          </x14:formula1>
          <xm:sqref>JPN131079:JPN131102</xm:sqref>
        </x14:dataValidation>
        <x14:dataValidation type="list" allowBlank="1" showInputMessage="1" showErrorMessage="1" xr:uid="{CA5FA4C2-5B92-4350-857F-3A122EFF5B92}">
          <x14:formula1>
            <xm:f>項目!A4:$JZA$131074</xm:f>
          </x14:formula1>
          <xm:sqref>JZJ131079:JZJ131102</xm:sqref>
        </x14:dataValidation>
        <x14:dataValidation type="list" allowBlank="1" showInputMessage="1" showErrorMessage="1" xr:uid="{F2D52F70-BC36-4C34-B1CD-661E88E351BD}">
          <x14:formula1>
            <xm:f>項目!A4:$KIW$131074</xm:f>
          </x14:formula1>
          <xm:sqref>KJF131079:KJF131102</xm:sqref>
        </x14:dataValidation>
        <x14:dataValidation type="list" allowBlank="1" showInputMessage="1" showErrorMessage="1" xr:uid="{87E6091A-782C-4315-A70D-6BCFB22FCC27}">
          <x14:formula1>
            <xm:f>項目!A4:$KSS$131074</xm:f>
          </x14:formula1>
          <xm:sqref>KTB131079:KTB131102</xm:sqref>
        </x14:dataValidation>
        <x14:dataValidation type="list" allowBlank="1" showInputMessage="1" showErrorMessage="1" xr:uid="{91315473-843A-4BC7-A527-01E0063184B8}">
          <x14:formula1>
            <xm:f>項目!A4:$LCO$131074</xm:f>
          </x14:formula1>
          <xm:sqref>LCX131079:LCX131102</xm:sqref>
        </x14:dataValidation>
        <x14:dataValidation type="list" allowBlank="1" showInputMessage="1" showErrorMessage="1" xr:uid="{9CDDA70C-4DA2-42ED-A043-00730BF3EEEA}">
          <x14:formula1>
            <xm:f>項目!A4:$LMK$131074</xm:f>
          </x14:formula1>
          <xm:sqref>LMT131079:LMT131102</xm:sqref>
        </x14:dataValidation>
        <x14:dataValidation type="list" allowBlank="1" showInputMessage="1" showErrorMessage="1" xr:uid="{D2561A50-95B2-4D40-BFB1-570A61D062E3}">
          <x14:formula1>
            <xm:f>項目!A4:$LWG$131074</xm:f>
          </x14:formula1>
          <xm:sqref>LWP131079:LWP131102</xm:sqref>
        </x14:dataValidation>
        <x14:dataValidation type="list" allowBlank="1" showInputMessage="1" showErrorMessage="1" xr:uid="{6C2B99CA-77DF-4DF0-9C21-20E9D0431376}">
          <x14:formula1>
            <xm:f>項目!A4:$MGC$131074</xm:f>
          </x14:formula1>
          <xm:sqref>MGL131079:MGL131102</xm:sqref>
        </x14:dataValidation>
        <x14:dataValidation type="list" allowBlank="1" showInputMessage="1" showErrorMessage="1" xr:uid="{113227D3-FA02-4B4E-8CF3-0F4403EFEB51}">
          <x14:formula1>
            <xm:f>項目!A4:$MPY$131074</xm:f>
          </x14:formula1>
          <xm:sqref>MQH131079:MQH131102</xm:sqref>
        </x14:dataValidation>
        <x14:dataValidation type="list" allowBlank="1" showInputMessage="1" showErrorMessage="1" xr:uid="{2AA3E2C6-C6B3-4616-A69B-DF842961088D}">
          <x14:formula1>
            <xm:f>項目!A4:$MZU$131074</xm:f>
          </x14:formula1>
          <xm:sqref>NAD131079:NAD131102</xm:sqref>
        </x14:dataValidation>
        <x14:dataValidation type="list" allowBlank="1" showInputMessage="1" showErrorMessage="1" xr:uid="{7B628417-477A-4F6E-8348-58ABA8F89237}">
          <x14:formula1>
            <xm:f>項目!A4:$NJQ$131074</xm:f>
          </x14:formula1>
          <xm:sqref>NJZ131079:NJZ131102</xm:sqref>
        </x14:dataValidation>
        <x14:dataValidation type="list" allowBlank="1" showInputMessage="1" showErrorMessage="1" xr:uid="{5434993F-3087-41E7-9BA4-E4249A620EAC}">
          <x14:formula1>
            <xm:f>項目!A4:$NTM$131074</xm:f>
          </x14:formula1>
          <xm:sqref>NTV131079:NTV131102</xm:sqref>
        </x14:dataValidation>
        <x14:dataValidation type="list" allowBlank="1" showInputMessage="1" showErrorMessage="1" xr:uid="{F00A1032-E921-4065-B9ED-8F882C7BEA3B}">
          <x14:formula1>
            <xm:f>項目!A4:$ODI$131074</xm:f>
          </x14:formula1>
          <xm:sqref>ODR131079:ODR131102</xm:sqref>
        </x14:dataValidation>
        <x14:dataValidation type="list" allowBlank="1" showInputMessage="1" showErrorMessage="1" xr:uid="{D34CD033-AB93-4B50-8EA9-0AE50F4A7CAA}">
          <x14:formula1>
            <xm:f>項目!A4:$ONE$131074</xm:f>
          </x14:formula1>
          <xm:sqref>ONN131079:ONN131102</xm:sqref>
        </x14:dataValidation>
        <x14:dataValidation type="list" allowBlank="1" showInputMessage="1" showErrorMessage="1" xr:uid="{15FEA587-419B-4C61-98D7-68B58C2F8753}">
          <x14:formula1>
            <xm:f>項目!A4:$OXA$131074</xm:f>
          </x14:formula1>
          <xm:sqref>OXJ131079:OXJ131102</xm:sqref>
        </x14:dataValidation>
        <x14:dataValidation type="list" allowBlank="1" showInputMessage="1" showErrorMessage="1" xr:uid="{E1C8D176-4BFC-4FFD-93EF-BB4E5F83DFA8}">
          <x14:formula1>
            <xm:f>項目!A4:$PGW$131074</xm:f>
          </x14:formula1>
          <xm:sqref>PHF131079:PHF131102</xm:sqref>
        </x14:dataValidation>
        <x14:dataValidation type="list" allowBlank="1" showInputMessage="1" showErrorMessage="1" xr:uid="{3218FD2C-7B3C-4945-B9ED-8E5D71B034CD}">
          <x14:formula1>
            <xm:f>項目!A4:$PQS$131074</xm:f>
          </x14:formula1>
          <xm:sqref>PRB131079:PRB131102</xm:sqref>
        </x14:dataValidation>
        <x14:dataValidation type="list" allowBlank="1" showInputMessage="1" showErrorMessage="1" xr:uid="{CD7DCBC2-EB7C-4211-B838-880908AEDA35}">
          <x14:formula1>
            <xm:f>項目!A4:$QAO$131074</xm:f>
          </x14:formula1>
          <xm:sqref>QAX131079:QAX131102</xm:sqref>
        </x14:dataValidation>
        <x14:dataValidation type="list" allowBlank="1" showInputMessage="1" showErrorMessage="1" xr:uid="{F1448656-F2DB-4AA4-9F7E-1DEC738280D5}">
          <x14:formula1>
            <xm:f>項目!A4:$QKK$131074</xm:f>
          </x14:formula1>
          <xm:sqref>QKT131079:QKT131102</xm:sqref>
        </x14:dataValidation>
        <x14:dataValidation type="list" allowBlank="1" showInputMessage="1" showErrorMessage="1" xr:uid="{9AAD53D1-979D-404C-8BE0-E3E7E86C8DBE}">
          <x14:formula1>
            <xm:f>項目!A4:$QUG$131074</xm:f>
          </x14:formula1>
          <xm:sqref>QUP131079:QUP131102</xm:sqref>
        </x14:dataValidation>
        <x14:dataValidation type="list" allowBlank="1" showInputMessage="1" showErrorMessage="1" xr:uid="{D280C2C4-C88A-4640-97FE-FEFDABC6BD20}">
          <x14:formula1>
            <xm:f>項目!A4:$REC$131074</xm:f>
          </x14:formula1>
          <xm:sqref>REL131079:REL131102</xm:sqref>
        </x14:dataValidation>
        <x14:dataValidation type="list" allowBlank="1" showInputMessage="1" showErrorMessage="1" xr:uid="{861A1125-45F4-4D06-B8F4-617E75F39883}">
          <x14:formula1>
            <xm:f>項目!A4:$RNY$131074</xm:f>
          </x14:formula1>
          <xm:sqref>ROH131079:ROH131102</xm:sqref>
        </x14:dataValidation>
        <x14:dataValidation type="list" allowBlank="1" showInputMessage="1" showErrorMessage="1" xr:uid="{F426D4D7-9ACB-42CC-A0CF-27F8285182D4}">
          <x14:formula1>
            <xm:f>項目!A4:$RXU$131074</xm:f>
          </x14:formula1>
          <xm:sqref>RYD131079:RYD131102</xm:sqref>
        </x14:dataValidation>
        <x14:dataValidation type="list" allowBlank="1" showInputMessage="1" showErrorMessage="1" xr:uid="{85B388E9-15CF-48A5-A081-8E7F3953A25E}">
          <x14:formula1>
            <xm:f>項目!A4:$SHQ$131074</xm:f>
          </x14:formula1>
          <xm:sqref>SHZ131079:SHZ131102</xm:sqref>
        </x14:dataValidation>
        <x14:dataValidation type="list" allowBlank="1" showInputMessage="1" showErrorMessage="1" xr:uid="{57881069-E459-472D-9412-DA6E66D9CA7A}">
          <x14:formula1>
            <xm:f>項目!A4:$SRM$131074</xm:f>
          </x14:formula1>
          <xm:sqref>SRV131079:SRV131102</xm:sqref>
        </x14:dataValidation>
        <x14:dataValidation type="list" allowBlank="1" showInputMessage="1" showErrorMessage="1" xr:uid="{546DFEA5-DA5D-4634-8C22-9A18191CD981}">
          <x14:formula1>
            <xm:f>項目!A4:$TBI$131074</xm:f>
          </x14:formula1>
          <xm:sqref>TBR131079:TBR131102</xm:sqref>
        </x14:dataValidation>
        <x14:dataValidation type="list" allowBlank="1" showInputMessage="1" showErrorMessage="1" xr:uid="{2167B64D-967F-4204-ABC7-983A80909118}">
          <x14:formula1>
            <xm:f>項目!A4:$TLE$131074</xm:f>
          </x14:formula1>
          <xm:sqref>TLN131079:TLN131102</xm:sqref>
        </x14:dataValidation>
        <x14:dataValidation type="list" allowBlank="1" showInputMessage="1" showErrorMessage="1" xr:uid="{9025D891-A28D-40CA-B5AA-6EFBB4004A2C}">
          <x14:formula1>
            <xm:f>項目!A4:$TVA$131074</xm:f>
          </x14:formula1>
          <xm:sqref>TVJ131079:TVJ131102</xm:sqref>
        </x14:dataValidation>
        <x14:dataValidation type="list" allowBlank="1" showInputMessage="1" showErrorMessage="1" xr:uid="{9C4A3D12-CC05-42BD-A2BB-42AE386F9D49}">
          <x14:formula1>
            <xm:f>項目!A4:$UEW$131074</xm:f>
          </x14:formula1>
          <xm:sqref>UFF131079:UFF131102</xm:sqref>
        </x14:dataValidation>
        <x14:dataValidation type="list" allowBlank="1" showInputMessage="1" showErrorMessage="1" xr:uid="{394987C5-DDC3-4295-A513-797E541B524E}">
          <x14:formula1>
            <xm:f>項目!A4:$UOS$131074</xm:f>
          </x14:formula1>
          <xm:sqref>UPB131079:UPB131102</xm:sqref>
        </x14:dataValidation>
        <x14:dataValidation type="list" allowBlank="1" showInputMessage="1" showErrorMessage="1" xr:uid="{D82F27AB-9B68-404B-9017-7294455DB237}">
          <x14:formula1>
            <xm:f>項目!A4:$UYO$131074</xm:f>
          </x14:formula1>
          <xm:sqref>UYX131079:UYX131102</xm:sqref>
        </x14:dataValidation>
        <x14:dataValidation type="list" allowBlank="1" showInputMessage="1" showErrorMessage="1" xr:uid="{EE16F040-2D95-4E73-959F-4BCF058CC8FB}">
          <x14:formula1>
            <xm:f>項目!A4:$VIK$131074</xm:f>
          </x14:formula1>
          <xm:sqref>VIT131079:VIT131102</xm:sqref>
        </x14:dataValidation>
        <x14:dataValidation type="list" allowBlank="1" showInputMessage="1" showErrorMessage="1" xr:uid="{395337E2-C59B-41FA-91E9-D2037D4CD4D1}">
          <x14:formula1>
            <xm:f>項目!A4:$VSG$131074</xm:f>
          </x14:formula1>
          <xm:sqref>VSP131079:VSP131102</xm:sqref>
        </x14:dataValidation>
        <x14:dataValidation type="list" allowBlank="1" showInputMessage="1" showErrorMessage="1" xr:uid="{06F912F2-C260-4417-B638-BB0EF953AEBF}">
          <x14:formula1>
            <xm:f>項目!A4:$WCC$131074</xm:f>
          </x14:formula1>
          <xm:sqref>WCL131079:WCL131102</xm:sqref>
        </x14:dataValidation>
        <x14:dataValidation type="list" allowBlank="1" showInputMessage="1" showErrorMessage="1" xr:uid="{4AD18346-3DCE-4CAD-B197-4E44E1EB705C}">
          <x14:formula1>
            <xm:f>項目!A4:$WLY$131074</xm:f>
          </x14:formula1>
          <xm:sqref>WMH131079:WMH131102</xm:sqref>
        </x14:dataValidation>
        <x14:dataValidation type="list" allowBlank="1" showInputMessage="1" showErrorMessage="1" xr:uid="{AFF445F1-7D72-4F3A-BD89-FD870D05A10E}">
          <x14:formula1>
            <xm:f>項目!A4:$WVU$131074</xm:f>
          </x14:formula1>
          <xm:sqref>WWD131079:WWD131102</xm:sqref>
        </x14:dataValidation>
        <x14:dataValidation type="list" allowBlank="1" showInputMessage="1" showErrorMessage="1" xr:uid="{36EA8D54-FB29-45C3-A8FF-EBB334AF243C}">
          <x14:formula1>
            <xm:f>項目!A4:$N$196610</xm:f>
          </x14:formula1>
          <xm:sqref>V196615:V196638</xm:sqref>
        </x14:dataValidation>
        <x14:dataValidation type="list" allowBlank="1" showInputMessage="1" showErrorMessage="1" xr:uid="{975780FD-34A2-44F6-90CF-83A6F470F0FB}">
          <x14:formula1>
            <xm:f>項目!A4:$JI$196610</xm:f>
          </x14:formula1>
          <xm:sqref>JR196615:JR196638</xm:sqref>
        </x14:dataValidation>
        <x14:dataValidation type="list" allowBlank="1" showInputMessage="1" showErrorMessage="1" xr:uid="{3C5B5F24-E6ED-4BC7-9687-60B088357EAE}">
          <x14:formula1>
            <xm:f>項目!A4:$TE$196610</xm:f>
          </x14:formula1>
          <xm:sqref>TN196615:TN196638</xm:sqref>
        </x14:dataValidation>
        <x14:dataValidation type="list" allowBlank="1" showInputMessage="1" showErrorMessage="1" xr:uid="{8AE09E90-0E92-4965-A821-5AB5E29938CF}">
          <x14:formula1>
            <xm:f>項目!A4:$ADA$196610</xm:f>
          </x14:formula1>
          <xm:sqref>ADJ196615:ADJ196638</xm:sqref>
        </x14:dataValidation>
        <x14:dataValidation type="list" allowBlank="1" showInputMessage="1" showErrorMessage="1" xr:uid="{DF026EE6-679C-44B5-A857-5684343238DD}">
          <x14:formula1>
            <xm:f>項目!A4:$AMW$196610</xm:f>
          </x14:formula1>
          <xm:sqref>ANF196615:ANF196638</xm:sqref>
        </x14:dataValidation>
        <x14:dataValidation type="list" allowBlank="1" showInputMessage="1" showErrorMessage="1" xr:uid="{B8E838E4-567F-4145-A936-01CA680BA93F}">
          <x14:formula1>
            <xm:f>項目!A4:$AWS$196610</xm:f>
          </x14:formula1>
          <xm:sqref>AXB196615:AXB196638</xm:sqref>
        </x14:dataValidation>
        <x14:dataValidation type="list" allowBlank="1" showInputMessage="1" showErrorMessage="1" xr:uid="{9E6051B1-5974-4A0D-9D7B-D41A4F914D76}">
          <x14:formula1>
            <xm:f>項目!A4:$BGO$196610</xm:f>
          </x14:formula1>
          <xm:sqref>BGX196615:BGX196638</xm:sqref>
        </x14:dataValidation>
        <x14:dataValidation type="list" allowBlank="1" showInputMessage="1" showErrorMessage="1" xr:uid="{07B57F05-6ACD-4C76-944E-CD4117014A4B}">
          <x14:formula1>
            <xm:f>項目!A4:$BQK$196610</xm:f>
          </x14:formula1>
          <xm:sqref>BQT196615:BQT196638</xm:sqref>
        </x14:dataValidation>
        <x14:dataValidation type="list" allowBlank="1" showInputMessage="1" showErrorMessage="1" xr:uid="{3A6CA3A8-04F6-49BE-8A80-10059498762D}">
          <x14:formula1>
            <xm:f>項目!A4:$CAG$196610</xm:f>
          </x14:formula1>
          <xm:sqref>CAP196615:CAP196638</xm:sqref>
        </x14:dataValidation>
        <x14:dataValidation type="list" allowBlank="1" showInputMessage="1" showErrorMessage="1" xr:uid="{255A8841-3257-4509-B414-C0F4712EE220}">
          <x14:formula1>
            <xm:f>項目!A4:$CKC$196610</xm:f>
          </x14:formula1>
          <xm:sqref>CKL196615:CKL196638</xm:sqref>
        </x14:dataValidation>
        <x14:dataValidation type="list" allowBlank="1" showInputMessage="1" showErrorMessage="1" xr:uid="{F76E6BF0-7943-44CC-9A64-4AA0A24559F3}">
          <x14:formula1>
            <xm:f>項目!A4:$CTY$196610</xm:f>
          </x14:formula1>
          <xm:sqref>CUH196615:CUH196638</xm:sqref>
        </x14:dataValidation>
        <x14:dataValidation type="list" allowBlank="1" showInputMessage="1" showErrorMessage="1" xr:uid="{873514AF-C6D1-4CA9-80C2-41A0742E4B1C}">
          <x14:formula1>
            <xm:f>項目!A4:$DDU$196610</xm:f>
          </x14:formula1>
          <xm:sqref>DED196615:DED196638</xm:sqref>
        </x14:dataValidation>
        <x14:dataValidation type="list" allowBlank="1" showInputMessage="1" showErrorMessage="1" xr:uid="{A31E8806-1A8D-412D-9D38-1A90A97F128F}">
          <x14:formula1>
            <xm:f>項目!A4:$DNQ$196610</xm:f>
          </x14:formula1>
          <xm:sqref>DNZ196615:DNZ196638</xm:sqref>
        </x14:dataValidation>
        <x14:dataValidation type="list" allowBlank="1" showInputMessage="1" showErrorMessage="1" xr:uid="{166DC87D-7A48-4115-8DC0-4792F8E472A9}">
          <x14:formula1>
            <xm:f>項目!A4:$DXM$196610</xm:f>
          </x14:formula1>
          <xm:sqref>DXV196615:DXV196638</xm:sqref>
        </x14:dataValidation>
        <x14:dataValidation type="list" allowBlank="1" showInputMessage="1" showErrorMessage="1" xr:uid="{2BC61524-9379-4D52-9397-176AE9BAE237}">
          <x14:formula1>
            <xm:f>項目!A4:$EHI$196610</xm:f>
          </x14:formula1>
          <xm:sqref>EHR196615:EHR196638</xm:sqref>
        </x14:dataValidation>
        <x14:dataValidation type="list" allowBlank="1" showInputMessage="1" showErrorMessage="1" xr:uid="{C07A6949-B150-45B2-899E-75F67C82FEF5}">
          <x14:formula1>
            <xm:f>項目!A4:$ERE$196610</xm:f>
          </x14:formula1>
          <xm:sqref>ERN196615:ERN196638</xm:sqref>
        </x14:dataValidation>
        <x14:dataValidation type="list" allowBlank="1" showInputMessage="1" showErrorMessage="1" xr:uid="{49E73E27-93AD-4F8B-8180-258984BABC2B}">
          <x14:formula1>
            <xm:f>項目!A4:$FBA$196610</xm:f>
          </x14:formula1>
          <xm:sqref>FBJ196615:FBJ196638</xm:sqref>
        </x14:dataValidation>
        <x14:dataValidation type="list" allowBlank="1" showInputMessage="1" showErrorMessage="1" xr:uid="{1CAED470-F79B-48AC-88C2-C4780AFDBF41}">
          <x14:formula1>
            <xm:f>項目!A4:$FKW$196610</xm:f>
          </x14:formula1>
          <xm:sqref>FLF196615:FLF196638</xm:sqref>
        </x14:dataValidation>
        <x14:dataValidation type="list" allowBlank="1" showInputMessage="1" showErrorMessage="1" xr:uid="{1EB59938-7408-47EF-BABC-6DD8E8BE8B29}">
          <x14:formula1>
            <xm:f>項目!A4:$FUS$196610</xm:f>
          </x14:formula1>
          <xm:sqref>FVB196615:FVB196638</xm:sqref>
        </x14:dataValidation>
        <x14:dataValidation type="list" allowBlank="1" showInputMessage="1" showErrorMessage="1" xr:uid="{D8916A8F-073A-4451-8E3A-A278441EE520}">
          <x14:formula1>
            <xm:f>項目!A4:$GEO$196610</xm:f>
          </x14:formula1>
          <xm:sqref>GEX196615:GEX196638</xm:sqref>
        </x14:dataValidation>
        <x14:dataValidation type="list" allowBlank="1" showInputMessage="1" showErrorMessage="1" xr:uid="{7837AAAB-5B05-4E2F-B490-AEC2FA8A3296}">
          <x14:formula1>
            <xm:f>項目!A4:$GOK$196610</xm:f>
          </x14:formula1>
          <xm:sqref>GOT196615:GOT196638</xm:sqref>
        </x14:dataValidation>
        <x14:dataValidation type="list" allowBlank="1" showInputMessage="1" showErrorMessage="1" xr:uid="{9B606EAA-AA62-4BF0-B907-36F40246361C}">
          <x14:formula1>
            <xm:f>項目!A4:$GYG$196610</xm:f>
          </x14:formula1>
          <xm:sqref>GYP196615:GYP196638</xm:sqref>
        </x14:dataValidation>
        <x14:dataValidation type="list" allowBlank="1" showInputMessage="1" showErrorMessage="1" xr:uid="{E671AE57-AC21-4C0F-BF62-BC84CEFCC508}">
          <x14:formula1>
            <xm:f>項目!A4:$HIC$196610</xm:f>
          </x14:formula1>
          <xm:sqref>HIL196615:HIL196638</xm:sqref>
        </x14:dataValidation>
        <x14:dataValidation type="list" allowBlank="1" showInputMessage="1" showErrorMessage="1" xr:uid="{6CFFD89F-6191-47A9-BFF7-B4885AF6B2D4}">
          <x14:formula1>
            <xm:f>項目!A4:$HRY$196610</xm:f>
          </x14:formula1>
          <xm:sqref>HSH196615:HSH196638</xm:sqref>
        </x14:dataValidation>
        <x14:dataValidation type="list" allowBlank="1" showInputMessage="1" showErrorMessage="1" xr:uid="{8FD14B91-3491-4F8D-8B61-8BBC84E1B3A3}">
          <x14:formula1>
            <xm:f>項目!A4:$IBU$196610</xm:f>
          </x14:formula1>
          <xm:sqref>ICD196615:ICD196638</xm:sqref>
        </x14:dataValidation>
        <x14:dataValidation type="list" allowBlank="1" showInputMessage="1" showErrorMessage="1" xr:uid="{E22B2961-2663-4AF8-92BF-F9ED6E7376E0}">
          <x14:formula1>
            <xm:f>項目!A4:$ILQ$196610</xm:f>
          </x14:formula1>
          <xm:sqref>ILZ196615:ILZ196638</xm:sqref>
        </x14:dataValidation>
        <x14:dataValidation type="list" allowBlank="1" showInputMessage="1" showErrorMessage="1" xr:uid="{62E07BE2-1F3C-4A31-B52C-C9C517772D8B}">
          <x14:formula1>
            <xm:f>項目!A4:$IVM$196610</xm:f>
          </x14:formula1>
          <xm:sqref>IVV196615:IVV196638</xm:sqref>
        </x14:dataValidation>
        <x14:dataValidation type="list" allowBlank="1" showInputMessage="1" showErrorMessage="1" xr:uid="{1BBA9316-FB11-4DE3-993C-CE2CCE90BD53}">
          <x14:formula1>
            <xm:f>項目!A4:$JFI$196610</xm:f>
          </x14:formula1>
          <xm:sqref>JFR196615:JFR196638</xm:sqref>
        </x14:dataValidation>
        <x14:dataValidation type="list" allowBlank="1" showInputMessage="1" showErrorMessage="1" xr:uid="{BDAD34C3-33B5-4EBC-B909-64C14965F001}">
          <x14:formula1>
            <xm:f>項目!A4:$JPE$196610</xm:f>
          </x14:formula1>
          <xm:sqref>JPN196615:JPN196638</xm:sqref>
        </x14:dataValidation>
        <x14:dataValidation type="list" allowBlank="1" showInputMessage="1" showErrorMessage="1" xr:uid="{2A02632D-27AB-4CD8-992A-16F20CF2A4A0}">
          <x14:formula1>
            <xm:f>項目!A4:$JZA$196610</xm:f>
          </x14:formula1>
          <xm:sqref>JZJ196615:JZJ196638</xm:sqref>
        </x14:dataValidation>
        <x14:dataValidation type="list" allowBlank="1" showInputMessage="1" showErrorMessage="1" xr:uid="{B71B1BD2-CD72-4CEB-94BE-E9FB6EF7DDB0}">
          <x14:formula1>
            <xm:f>項目!A4:$KIW$196610</xm:f>
          </x14:formula1>
          <xm:sqref>KJF196615:KJF196638</xm:sqref>
        </x14:dataValidation>
        <x14:dataValidation type="list" allowBlank="1" showInputMessage="1" showErrorMessage="1" xr:uid="{560E35FA-FED7-4A72-8649-F5F470108479}">
          <x14:formula1>
            <xm:f>項目!A4:$KSS$196610</xm:f>
          </x14:formula1>
          <xm:sqref>KTB196615:KTB196638</xm:sqref>
        </x14:dataValidation>
        <x14:dataValidation type="list" allowBlank="1" showInputMessage="1" showErrorMessage="1" xr:uid="{EDF088DE-FD0E-4977-9C29-5E489991D457}">
          <x14:formula1>
            <xm:f>項目!A4:$LCO$196610</xm:f>
          </x14:formula1>
          <xm:sqref>LCX196615:LCX196638</xm:sqref>
        </x14:dataValidation>
        <x14:dataValidation type="list" allowBlank="1" showInputMessage="1" showErrorMessage="1" xr:uid="{9B7583D5-4E79-4BCC-B575-5A3CF0CA2A26}">
          <x14:formula1>
            <xm:f>項目!A4:$LMK$196610</xm:f>
          </x14:formula1>
          <xm:sqref>LMT196615:LMT196638</xm:sqref>
        </x14:dataValidation>
        <x14:dataValidation type="list" allowBlank="1" showInputMessage="1" showErrorMessage="1" xr:uid="{E9F507DE-EE3A-428F-BDD7-B7F09E050A19}">
          <x14:formula1>
            <xm:f>項目!A4:$LWG$196610</xm:f>
          </x14:formula1>
          <xm:sqref>LWP196615:LWP196638</xm:sqref>
        </x14:dataValidation>
        <x14:dataValidation type="list" allowBlank="1" showInputMessage="1" showErrorMessage="1" xr:uid="{2E6DE892-3BC0-4EF8-B662-80253B49B366}">
          <x14:formula1>
            <xm:f>項目!A4:$MGC$196610</xm:f>
          </x14:formula1>
          <xm:sqref>MGL196615:MGL196638</xm:sqref>
        </x14:dataValidation>
        <x14:dataValidation type="list" allowBlank="1" showInputMessage="1" showErrorMessage="1" xr:uid="{BF463C21-CEE0-4844-87E4-47D93B355FDE}">
          <x14:formula1>
            <xm:f>項目!A4:$MPY$196610</xm:f>
          </x14:formula1>
          <xm:sqref>MQH196615:MQH196638</xm:sqref>
        </x14:dataValidation>
        <x14:dataValidation type="list" allowBlank="1" showInputMessage="1" showErrorMessage="1" xr:uid="{83A323E8-E83B-401A-A6A7-7CCD310C5D12}">
          <x14:formula1>
            <xm:f>項目!A4:$MZU$196610</xm:f>
          </x14:formula1>
          <xm:sqref>NAD196615:NAD196638</xm:sqref>
        </x14:dataValidation>
        <x14:dataValidation type="list" allowBlank="1" showInputMessage="1" showErrorMessage="1" xr:uid="{402697EE-DA5E-469C-95A7-C7B5D331F50E}">
          <x14:formula1>
            <xm:f>項目!A4:$NJQ$196610</xm:f>
          </x14:formula1>
          <xm:sqref>NJZ196615:NJZ196638</xm:sqref>
        </x14:dataValidation>
        <x14:dataValidation type="list" allowBlank="1" showInputMessage="1" showErrorMessage="1" xr:uid="{5CF3FBD7-E1D6-47B2-941D-545A23B95302}">
          <x14:formula1>
            <xm:f>項目!A4:$NTM$196610</xm:f>
          </x14:formula1>
          <xm:sqref>NTV196615:NTV196638</xm:sqref>
        </x14:dataValidation>
        <x14:dataValidation type="list" allowBlank="1" showInputMessage="1" showErrorMessage="1" xr:uid="{1662EB30-4AF6-4472-8B9F-F0897B1B5BDD}">
          <x14:formula1>
            <xm:f>項目!A4:$ODI$196610</xm:f>
          </x14:formula1>
          <xm:sqref>ODR196615:ODR196638</xm:sqref>
        </x14:dataValidation>
        <x14:dataValidation type="list" allowBlank="1" showInputMessage="1" showErrorMessage="1" xr:uid="{8BECD155-C1F4-4387-9BF7-08F7A98DEFFA}">
          <x14:formula1>
            <xm:f>項目!A4:$ONE$196610</xm:f>
          </x14:formula1>
          <xm:sqref>ONN196615:ONN196638</xm:sqref>
        </x14:dataValidation>
        <x14:dataValidation type="list" allowBlank="1" showInputMessage="1" showErrorMessage="1" xr:uid="{93F5BAC8-4930-4DA2-8CA3-FF2108969109}">
          <x14:formula1>
            <xm:f>項目!A4:$OXA$196610</xm:f>
          </x14:formula1>
          <xm:sqref>OXJ196615:OXJ196638</xm:sqref>
        </x14:dataValidation>
        <x14:dataValidation type="list" allowBlank="1" showInputMessage="1" showErrorMessage="1" xr:uid="{C223C356-D86A-4020-97D9-5CD72B05EFF6}">
          <x14:formula1>
            <xm:f>項目!A4:$PGW$196610</xm:f>
          </x14:formula1>
          <xm:sqref>PHF196615:PHF196638</xm:sqref>
        </x14:dataValidation>
        <x14:dataValidation type="list" allowBlank="1" showInputMessage="1" showErrorMessage="1" xr:uid="{32880115-3C78-456E-B7B4-784288E2B4CF}">
          <x14:formula1>
            <xm:f>項目!A4:$PQS$196610</xm:f>
          </x14:formula1>
          <xm:sqref>PRB196615:PRB196638</xm:sqref>
        </x14:dataValidation>
        <x14:dataValidation type="list" allowBlank="1" showInputMessage="1" showErrorMessage="1" xr:uid="{B46CAB21-CEC6-423A-AC0C-FF356465251F}">
          <x14:formula1>
            <xm:f>項目!A4:$QAO$196610</xm:f>
          </x14:formula1>
          <xm:sqref>QAX196615:QAX196638</xm:sqref>
        </x14:dataValidation>
        <x14:dataValidation type="list" allowBlank="1" showInputMessage="1" showErrorMessage="1" xr:uid="{598F020B-300B-48F7-8CD2-2E494A32360C}">
          <x14:formula1>
            <xm:f>項目!A4:$QKK$196610</xm:f>
          </x14:formula1>
          <xm:sqref>QKT196615:QKT196638</xm:sqref>
        </x14:dataValidation>
        <x14:dataValidation type="list" allowBlank="1" showInputMessage="1" showErrorMessage="1" xr:uid="{CA540168-CBFA-4420-8F73-C5E7E776794F}">
          <x14:formula1>
            <xm:f>項目!A4:$QUG$196610</xm:f>
          </x14:formula1>
          <xm:sqref>QUP196615:QUP196638</xm:sqref>
        </x14:dataValidation>
        <x14:dataValidation type="list" allowBlank="1" showInputMessage="1" showErrorMessage="1" xr:uid="{B5B4E154-FB77-48D1-A54E-21CC2CF257B2}">
          <x14:formula1>
            <xm:f>項目!A4:$REC$196610</xm:f>
          </x14:formula1>
          <xm:sqref>REL196615:REL196638</xm:sqref>
        </x14:dataValidation>
        <x14:dataValidation type="list" allowBlank="1" showInputMessage="1" showErrorMessage="1" xr:uid="{8F7F9D18-3B53-44B7-93A3-50785C15DA4D}">
          <x14:formula1>
            <xm:f>項目!A4:$RNY$196610</xm:f>
          </x14:formula1>
          <xm:sqref>ROH196615:ROH196638</xm:sqref>
        </x14:dataValidation>
        <x14:dataValidation type="list" allowBlank="1" showInputMessage="1" showErrorMessage="1" xr:uid="{21A4A361-AC52-4E4F-ADF8-98C8856A4E3A}">
          <x14:formula1>
            <xm:f>項目!A4:$RXU$196610</xm:f>
          </x14:formula1>
          <xm:sqref>RYD196615:RYD196638</xm:sqref>
        </x14:dataValidation>
        <x14:dataValidation type="list" allowBlank="1" showInputMessage="1" showErrorMessage="1" xr:uid="{053D6571-EFED-413B-BAB2-535B6333B7AE}">
          <x14:formula1>
            <xm:f>項目!A4:$SHQ$196610</xm:f>
          </x14:formula1>
          <xm:sqref>SHZ196615:SHZ196638</xm:sqref>
        </x14:dataValidation>
        <x14:dataValidation type="list" allowBlank="1" showInputMessage="1" showErrorMessage="1" xr:uid="{612F2974-967F-42F3-953B-147F92795ED7}">
          <x14:formula1>
            <xm:f>項目!A4:$SRM$196610</xm:f>
          </x14:formula1>
          <xm:sqref>SRV196615:SRV196638</xm:sqref>
        </x14:dataValidation>
        <x14:dataValidation type="list" allowBlank="1" showInputMessage="1" showErrorMessage="1" xr:uid="{5C63A661-8854-478F-9ADB-B4AAF68A58BE}">
          <x14:formula1>
            <xm:f>項目!A4:$TBI$196610</xm:f>
          </x14:formula1>
          <xm:sqref>TBR196615:TBR196638</xm:sqref>
        </x14:dataValidation>
        <x14:dataValidation type="list" allowBlank="1" showInputMessage="1" showErrorMessage="1" xr:uid="{32E5DF26-C6DB-4190-8D82-69E6FE41DBD6}">
          <x14:formula1>
            <xm:f>項目!A4:$TLE$196610</xm:f>
          </x14:formula1>
          <xm:sqref>TLN196615:TLN196638</xm:sqref>
        </x14:dataValidation>
        <x14:dataValidation type="list" allowBlank="1" showInputMessage="1" showErrorMessage="1" xr:uid="{6830C2BA-1AF7-4C3F-B9F4-756FE02B6284}">
          <x14:formula1>
            <xm:f>項目!A4:$TVA$196610</xm:f>
          </x14:formula1>
          <xm:sqref>TVJ196615:TVJ196638</xm:sqref>
        </x14:dataValidation>
        <x14:dataValidation type="list" allowBlank="1" showInputMessage="1" showErrorMessage="1" xr:uid="{72A28D8F-27CA-4A1F-967A-98D8B21E83B6}">
          <x14:formula1>
            <xm:f>項目!A4:$UEW$196610</xm:f>
          </x14:formula1>
          <xm:sqref>UFF196615:UFF196638</xm:sqref>
        </x14:dataValidation>
        <x14:dataValidation type="list" allowBlank="1" showInputMessage="1" showErrorMessage="1" xr:uid="{E6B54C8E-01E7-4E0A-8DBB-85A00F3B88C6}">
          <x14:formula1>
            <xm:f>項目!A4:$UOS$196610</xm:f>
          </x14:formula1>
          <xm:sqref>UPB196615:UPB196638</xm:sqref>
        </x14:dataValidation>
        <x14:dataValidation type="list" allowBlank="1" showInputMessage="1" showErrorMessage="1" xr:uid="{76406280-FECD-49DA-88AA-9B348B4A2000}">
          <x14:formula1>
            <xm:f>項目!A4:$UYO$196610</xm:f>
          </x14:formula1>
          <xm:sqref>UYX196615:UYX196638</xm:sqref>
        </x14:dataValidation>
        <x14:dataValidation type="list" allowBlank="1" showInputMessage="1" showErrorMessage="1" xr:uid="{15DDFCB5-39A8-40CD-9FC2-29C274A19067}">
          <x14:formula1>
            <xm:f>項目!A4:$VIK$196610</xm:f>
          </x14:formula1>
          <xm:sqref>VIT196615:VIT196638</xm:sqref>
        </x14:dataValidation>
        <x14:dataValidation type="list" allowBlank="1" showInputMessage="1" showErrorMessage="1" xr:uid="{6E6E7CF3-C27A-4436-8F1E-221EC0F729D1}">
          <x14:formula1>
            <xm:f>項目!A4:$VSG$196610</xm:f>
          </x14:formula1>
          <xm:sqref>VSP196615:VSP196638</xm:sqref>
        </x14:dataValidation>
        <x14:dataValidation type="list" allowBlank="1" showInputMessage="1" showErrorMessage="1" xr:uid="{6894CB8B-781A-4BDA-8302-15EA61D4C65F}">
          <x14:formula1>
            <xm:f>項目!A4:$WCC$196610</xm:f>
          </x14:formula1>
          <xm:sqref>WCL196615:WCL196638</xm:sqref>
        </x14:dataValidation>
        <x14:dataValidation type="list" allowBlank="1" showInputMessage="1" showErrorMessage="1" xr:uid="{9AC2E2BB-E1F0-4B37-8F74-C0C8516ACB13}">
          <x14:formula1>
            <xm:f>項目!A4:$WLY$196610</xm:f>
          </x14:formula1>
          <xm:sqref>WMH196615:WMH196638</xm:sqref>
        </x14:dataValidation>
        <x14:dataValidation type="list" allowBlank="1" showInputMessage="1" showErrorMessage="1" xr:uid="{0F890D59-0F93-44BD-A8EB-4B4CE4879746}">
          <x14:formula1>
            <xm:f>項目!A4:$WVU$196610</xm:f>
          </x14:formula1>
          <xm:sqref>WWD196615:WWD196638</xm:sqref>
        </x14:dataValidation>
        <x14:dataValidation type="list" allowBlank="1" showInputMessage="1" showErrorMessage="1" xr:uid="{E5816E5E-0050-4846-A5AA-E2F279F5B7F1}">
          <x14:formula1>
            <xm:f>項目!A4:$N$262146</xm:f>
          </x14:formula1>
          <xm:sqref>V262151:V262174</xm:sqref>
        </x14:dataValidation>
        <x14:dataValidation type="list" allowBlank="1" showInputMessage="1" showErrorMessage="1" xr:uid="{064FAE3F-3F0F-4163-8A3B-17D8BDA55022}">
          <x14:formula1>
            <xm:f>項目!A4:$JI$262146</xm:f>
          </x14:formula1>
          <xm:sqref>JR262151:JR262174</xm:sqref>
        </x14:dataValidation>
        <x14:dataValidation type="list" allowBlank="1" showInputMessage="1" showErrorMessage="1" xr:uid="{D363B4DD-70EB-4454-AF9F-34575472FA75}">
          <x14:formula1>
            <xm:f>項目!A4:$TE$262146</xm:f>
          </x14:formula1>
          <xm:sqref>TN262151:TN262174</xm:sqref>
        </x14:dataValidation>
        <x14:dataValidation type="list" allowBlank="1" showInputMessage="1" showErrorMessage="1" xr:uid="{FA10EB25-9D95-45A0-98C9-78CA7913E37E}">
          <x14:formula1>
            <xm:f>項目!A4:$ADA$262146</xm:f>
          </x14:formula1>
          <xm:sqref>ADJ262151:ADJ262174</xm:sqref>
        </x14:dataValidation>
        <x14:dataValidation type="list" allowBlank="1" showInputMessage="1" showErrorMessage="1" xr:uid="{6CC9033B-BAC4-4393-BBB6-D5277652C7F2}">
          <x14:formula1>
            <xm:f>項目!A4:$AMW$262146</xm:f>
          </x14:formula1>
          <xm:sqref>ANF262151:ANF262174</xm:sqref>
        </x14:dataValidation>
        <x14:dataValidation type="list" allowBlank="1" showInputMessage="1" showErrorMessage="1" xr:uid="{0862393B-E8A4-4D2A-8B00-43472008765C}">
          <x14:formula1>
            <xm:f>項目!A4:$AWS$262146</xm:f>
          </x14:formula1>
          <xm:sqref>AXB262151:AXB262174</xm:sqref>
        </x14:dataValidation>
        <x14:dataValidation type="list" allowBlank="1" showInputMessage="1" showErrorMessage="1" xr:uid="{559A251A-9260-4E70-B4F7-89AE0DAF8F4D}">
          <x14:formula1>
            <xm:f>項目!A4:$BGO$262146</xm:f>
          </x14:formula1>
          <xm:sqref>BGX262151:BGX262174</xm:sqref>
        </x14:dataValidation>
        <x14:dataValidation type="list" allowBlank="1" showInputMessage="1" showErrorMessage="1" xr:uid="{7681BA08-5CD6-43FD-AC8C-3026AE919E24}">
          <x14:formula1>
            <xm:f>項目!A4:$BQK$262146</xm:f>
          </x14:formula1>
          <xm:sqref>BQT262151:BQT262174</xm:sqref>
        </x14:dataValidation>
        <x14:dataValidation type="list" allowBlank="1" showInputMessage="1" showErrorMessage="1" xr:uid="{643AFFED-0223-410D-A20F-5F39194F12B1}">
          <x14:formula1>
            <xm:f>項目!A4:$CAG$262146</xm:f>
          </x14:formula1>
          <xm:sqref>CAP262151:CAP262174</xm:sqref>
        </x14:dataValidation>
        <x14:dataValidation type="list" allowBlank="1" showInputMessage="1" showErrorMessage="1" xr:uid="{48A49E11-1D11-4C16-80DE-8CCA8AE08403}">
          <x14:formula1>
            <xm:f>項目!A4:$CKC$262146</xm:f>
          </x14:formula1>
          <xm:sqref>CKL262151:CKL262174</xm:sqref>
        </x14:dataValidation>
        <x14:dataValidation type="list" allowBlank="1" showInputMessage="1" showErrorMessage="1" xr:uid="{8A1AEE77-69A9-4B61-BEF3-CD1C927462E7}">
          <x14:formula1>
            <xm:f>項目!A4:$CTY$262146</xm:f>
          </x14:formula1>
          <xm:sqref>CUH262151:CUH262174</xm:sqref>
        </x14:dataValidation>
        <x14:dataValidation type="list" allowBlank="1" showInputMessage="1" showErrorMessage="1" xr:uid="{B29759A0-9543-443C-ADD1-7B8C59B98F1A}">
          <x14:formula1>
            <xm:f>項目!A4:$DDU$262146</xm:f>
          </x14:formula1>
          <xm:sqref>DED262151:DED262174</xm:sqref>
        </x14:dataValidation>
        <x14:dataValidation type="list" allowBlank="1" showInputMessage="1" showErrorMessage="1" xr:uid="{4520BAD2-6AEB-4C68-974A-D4ABF97039D7}">
          <x14:formula1>
            <xm:f>項目!A4:$DNQ$262146</xm:f>
          </x14:formula1>
          <xm:sqref>DNZ262151:DNZ262174</xm:sqref>
        </x14:dataValidation>
        <x14:dataValidation type="list" allowBlank="1" showInputMessage="1" showErrorMessage="1" xr:uid="{40C83662-3610-47CD-ADB8-0269EE72623F}">
          <x14:formula1>
            <xm:f>項目!A4:$DXM$262146</xm:f>
          </x14:formula1>
          <xm:sqref>DXV262151:DXV262174</xm:sqref>
        </x14:dataValidation>
        <x14:dataValidation type="list" allowBlank="1" showInputMessage="1" showErrorMessage="1" xr:uid="{16BAEC00-E245-4932-82AC-730D25004F43}">
          <x14:formula1>
            <xm:f>項目!A4:$EHI$262146</xm:f>
          </x14:formula1>
          <xm:sqref>EHR262151:EHR262174</xm:sqref>
        </x14:dataValidation>
        <x14:dataValidation type="list" allowBlank="1" showInputMessage="1" showErrorMessage="1" xr:uid="{76557FCF-7BC0-44F6-8E95-BD3361E6E7FE}">
          <x14:formula1>
            <xm:f>項目!A4:$ERE$262146</xm:f>
          </x14:formula1>
          <xm:sqref>ERN262151:ERN262174</xm:sqref>
        </x14:dataValidation>
        <x14:dataValidation type="list" allowBlank="1" showInputMessage="1" showErrorMessage="1" xr:uid="{61F97ADC-7173-4B93-8E42-5E2127E38D62}">
          <x14:formula1>
            <xm:f>項目!A4:$FBA$262146</xm:f>
          </x14:formula1>
          <xm:sqref>FBJ262151:FBJ262174</xm:sqref>
        </x14:dataValidation>
        <x14:dataValidation type="list" allowBlank="1" showInputMessage="1" showErrorMessage="1" xr:uid="{8BB312E0-7DAE-45A5-8145-E9635545C1B5}">
          <x14:formula1>
            <xm:f>項目!A4:$FKW$262146</xm:f>
          </x14:formula1>
          <xm:sqref>FLF262151:FLF262174</xm:sqref>
        </x14:dataValidation>
        <x14:dataValidation type="list" allowBlank="1" showInputMessage="1" showErrorMessage="1" xr:uid="{74AF19BF-1B75-4D85-B87A-84E2E2FCE6B4}">
          <x14:formula1>
            <xm:f>項目!A4:$FUS$262146</xm:f>
          </x14:formula1>
          <xm:sqref>FVB262151:FVB262174</xm:sqref>
        </x14:dataValidation>
        <x14:dataValidation type="list" allowBlank="1" showInputMessage="1" showErrorMessage="1" xr:uid="{4E10D2E3-7C9C-4FDA-B690-51D6ADDF7104}">
          <x14:formula1>
            <xm:f>項目!A4:$GEO$262146</xm:f>
          </x14:formula1>
          <xm:sqref>GEX262151:GEX262174</xm:sqref>
        </x14:dataValidation>
        <x14:dataValidation type="list" allowBlank="1" showInputMessage="1" showErrorMessage="1" xr:uid="{71129B10-2AEF-48D7-8BCB-8CD8EDEFB004}">
          <x14:formula1>
            <xm:f>項目!A4:$GOK$262146</xm:f>
          </x14:formula1>
          <xm:sqref>GOT262151:GOT262174</xm:sqref>
        </x14:dataValidation>
        <x14:dataValidation type="list" allowBlank="1" showInputMessage="1" showErrorMessage="1" xr:uid="{AE2146A7-3B2F-4C0F-A0EE-EB8EAC6189AF}">
          <x14:formula1>
            <xm:f>項目!A4:$GYG$262146</xm:f>
          </x14:formula1>
          <xm:sqref>GYP262151:GYP262174</xm:sqref>
        </x14:dataValidation>
        <x14:dataValidation type="list" allowBlank="1" showInputMessage="1" showErrorMessage="1" xr:uid="{73BB17C2-4722-4AE7-A88D-1AE14F5AA99B}">
          <x14:formula1>
            <xm:f>項目!A4:$HIC$262146</xm:f>
          </x14:formula1>
          <xm:sqref>HIL262151:HIL262174</xm:sqref>
        </x14:dataValidation>
        <x14:dataValidation type="list" allowBlank="1" showInputMessage="1" showErrorMessage="1" xr:uid="{0D931E1A-1208-4C2F-AD47-4118F1EB396F}">
          <x14:formula1>
            <xm:f>項目!A4:$HRY$262146</xm:f>
          </x14:formula1>
          <xm:sqref>HSH262151:HSH262174</xm:sqref>
        </x14:dataValidation>
        <x14:dataValidation type="list" allowBlank="1" showInputMessage="1" showErrorMessage="1" xr:uid="{DF34F227-4BE8-4A38-A535-4E39EFA82DFA}">
          <x14:formula1>
            <xm:f>項目!A4:$IBU$262146</xm:f>
          </x14:formula1>
          <xm:sqref>ICD262151:ICD262174</xm:sqref>
        </x14:dataValidation>
        <x14:dataValidation type="list" allowBlank="1" showInputMessage="1" showErrorMessage="1" xr:uid="{32FCF15E-D35B-423F-AFA6-D303B1271F6C}">
          <x14:formula1>
            <xm:f>項目!A4:$ILQ$262146</xm:f>
          </x14:formula1>
          <xm:sqref>ILZ262151:ILZ262174</xm:sqref>
        </x14:dataValidation>
        <x14:dataValidation type="list" allowBlank="1" showInputMessage="1" showErrorMessage="1" xr:uid="{EA2DA4BC-A546-4779-9400-9847A126E506}">
          <x14:formula1>
            <xm:f>項目!A4:$IVM$262146</xm:f>
          </x14:formula1>
          <xm:sqref>IVV262151:IVV262174</xm:sqref>
        </x14:dataValidation>
        <x14:dataValidation type="list" allowBlank="1" showInputMessage="1" showErrorMessage="1" xr:uid="{CC95773A-899C-4148-85C8-C3FA7B20447A}">
          <x14:formula1>
            <xm:f>項目!A4:$JFI$262146</xm:f>
          </x14:formula1>
          <xm:sqref>JFR262151:JFR262174</xm:sqref>
        </x14:dataValidation>
        <x14:dataValidation type="list" allowBlank="1" showInputMessage="1" showErrorMessage="1" xr:uid="{BD8190C0-4EB2-4826-AE56-BBF3761CADDE}">
          <x14:formula1>
            <xm:f>項目!A4:$JPE$262146</xm:f>
          </x14:formula1>
          <xm:sqref>JPN262151:JPN262174</xm:sqref>
        </x14:dataValidation>
        <x14:dataValidation type="list" allowBlank="1" showInputMessage="1" showErrorMessage="1" xr:uid="{D328285B-5828-4F97-884D-20445F931529}">
          <x14:formula1>
            <xm:f>項目!A4:$JZA$262146</xm:f>
          </x14:formula1>
          <xm:sqref>JZJ262151:JZJ262174</xm:sqref>
        </x14:dataValidation>
        <x14:dataValidation type="list" allowBlank="1" showInputMessage="1" showErrorMessage="1" xr:uid="{2AF85ABC-5185-46F9-A3F9-7BC883D64F46}">
          <x14:formula1>
            <xm:f>項目!A4:$KIW$262146</xm:f>
          </x14:formula1>
          <xm:sqref>KJF262151:KJF262174</xm:sqref>
        </x14:dataValidation>
        <x14:dataValidation type="list" allowBlank="1" showInputMessage="1" showErrorMessage="1" xr:uid="{3C020180-BDF8-47A3-A4FB-B90582C5F629}">
          <x14:formula1>
            <xm:f>項目!A4:$KSS$262146</xm:f>
          </x14:formula1>
          <xm:sqref>KTB262151:KTB262174</xm:sqref>
        </x14:dataValidation>
        <x14:dataValidation type="list" allowBlank="1" showInputMessage="1" showErrorMessage="1" xr:uid="{EDE476A7-B72A-42EC-9B17-C6FCAC751556}">
          <x14:formula1>
            <xm:f>項目!A4:$LCO$262146</xm:f>
          </x14:formula1>
          <xm:sqref>LCX262151:LCX262174</xm:sqref>
        </x14:dataValidation>
        <x14:dataValidation type="list" allowBlank="1" showInputMessage="1" showErrorMessage="1" xr:uid="{6C019D51-6316-48BE-8751-3CD74C372D3D}">
          <x14:formula1>
            <xm:f>項目!A4:$LMK$262146</xm:f>
          </x14:formula1>
          <xm:sqref>LMT262151:LMT262174</xm:sqref>
        </x14:dataValidation>
        <x14:dataValidation type="list" allowBlank="1" showInputMessage="1" showErrorMessage="1" xr:uid="{4B6655EF-AA59-42E5-9FCC-197F83BB6B86}">
          <x14:formula1>
            <xm:f>項目!A4:$LWG$262146</xm:f>
          </x14:formula1>
          <xm:sqref>LWP262151:LWP262174</xm:sqref>
        </x14:dataValidation>
        <x14:dataValidation type="list" allowBlank="1" showInputMessage="1" showErrorMessage="1" xr:uid="{08740296-8925-4F24-99FF-EA60EAD3BD2E}">
          <x14:formula1>
            <xm:f>項目!A4:$MGC$262146</xm:f>
          </x14:formula1>
          <xm:sqref>MGL262151:MGL262174</xm:sqref>
        </x14:dataValidation>
        <x14:dataValidation type="list" allowBlank="1" showInputMessage="1" showErrorMessage="1" xr:uid="{BBC9CBAF-742E-4EE6-909F-36AE59B706C5}">
          <x14:formula1>
            <xm:f>項目!A4:$MPY$262146</xm:f>
          </x14:formula1>
          <xm:sqref>MQH262151:MQH262174</xm:sqref>
        </x14:dataValidation>
        <x14:dataValidation type="list" allowBlank="1" showInputMessage="1" showErrorMessage="1" xr:uid="{F549C98B-FF88-4066-AA1F-DA313A927DF8}">
          <x14:formula1>
            <xm:f>項目!A4:$MZU$262146</xm:f>
          </x14:formula1>
          <xm:sqref>NAD262151:NAD262174</xm:sqref>
        </x14:dataValidation>
        <x14:dataValidation type="list" allowBlank="1" showInputMessage="1" showErrorMessage="1" xr:uid="{4AFF0544-B93A-44D4-8672-0B5E758435D2}">
          <x14:formula1>
            <xm:f>項目!A4:$NJQ$262146</xm:f>
          </x14:formula1>
          <xm:sqref>NJZ262151:NJZ262174</xm:sqref>
        </x14:dataValidation>
        <x14:dataValidation type="list" allowBlank="1" showInputMessage="1" showErrorMessage="1" xr:uid="{D747E2B2-0AB9-44EE-B3C1-10F351155B3A}">
          <x14:formula1>
            <xm:f>項目!A4:$NTM$262146</xm:f>
          </x14:formula1>
          <xm:sqref>NTV262151:NTV262174</xm:sqref>
        </x14:dataValidation>
        <x14:dataValidation type="list" allowBlank="1" showInputMessage="1" showErrorMessage="1" xr:uid="{5F307227-2C04-4353-B4AE-368BBB2221A3}">
          <x14:formula1>
            <xm:f>項目!A4:$ODI$262146</xm:f>
          </x14:formula1>
          <xm:sqref>ODR262151:ODR262174</xm:sqref>
        </x14:dataValidation>
        <x14:dataValidation type="list" allowBlank="1" showInputMessage="1" showErrorMessage="1" xr:uid="{CC039CAD-66C9-451A-A303-913203F91C77}">
          <x14:formula1>
            <xm:f>項目!A4:$ONE$262146</xm:f>
          </x14:formula1>
          <xm:sqref>ONN262151:ONN262174</xm:sqref>
        </x14:dataValidation>
        <x14:dataValidation type="list" allowBlank="1" showInputMessage="1" showErrorMessage="1" xr:uid="{F5A250D8-ECB1-4C65-BB13-4EED5582A417}">
          <x14:formula1>
            <xm:f>項目!A4:$OXA$262146</xm:f>
          </x14:formula1>
          <xm:sqref>OXJ262151:OXJ262174</xm:sqref>
        </x14:dataValidation>
        <x14:dataValidation type="list" allowBlank="1" showInputMessage="1" showErrorMessage="1" xr:uid="{33A64C46-66FE-478B-845F-F316CB104318}">
          <x14:formula1>
            <xm:f>項目!A4:$PGW$262146</xm:f>
          </x14:formula1>
          <xm:sqref>PHF262151:PHF262174</xm:sqref>
        </x14:dataValidation>
        <x14:dataValidation type="list" allowBlank="1" showInputMessage="1" showErrorMessage="1" xr:uid="{A74A4C3F-528A-4B96-90CF-AA5CA07EA963}">
          <x14:formula1>
            <xm:f>項目!A4:$PQS$262146</xm:f>
          </x14:formula1>
          <xm:sqref>PRB262151:PRB262174</xm:sqref>
        </x14:dataValidation>
        <x14:dataValidation type="list" allowBlank="1" showInputMessage="1" showErrorMessage="1" xr:uid="{EC3686CB-6582-4EC5-BBFD-61F66016E442}">
          <x14:formula1>
            <xm:f>項目!A4:$QAO$262146</xm:f>
          </x14:formula1>
          <xm:sqref>QAX262151:QAX262174</xm:sqref>
        </x14:dataValidation>
        <x14:dataValidation type="list" allowBlank="1" showInputMessage="1" showErrorMessage="1" xr:uid="{06FC15BC-3B79-4BC8-B842-BE61098C068A}">
          <x14:formula1>
            <xm:f>項目!A4:$QKK$262146</xm:f>
          </x14:formula1>
          <xm:sqref>QKT262151:QKT262174</xm:sqref>
        </x14:dataValidation>
        <x14:dataValidation type="list" allowBlank="1" showInputMessage="1" showErrorMessage="1" xr:uid="{33CF5C0E-053A-417A-98FE-F859BEF4E7F3}">
          <x14:formula1>
            <xm:f>項目!A4:$QUG$262146</xm:f>
          </x14:formula1>
          <xm:sqref>QUP262151:QUP262174</xm:sqref>
        </x14:dataValidation>
        <x14:dataValidation type="list" allowBlank="1" showInputMessage="1" showErrorMessage="1" xr:uid="{B5318693-9401-40E9-9C2D-DC4F20960F98}">
          <x14:formula1>
            <xm:f>項目!A4:$REC$262146</xm:f>
          </x14:formula1>
          <xm:sqref>REL262151:REL262174</xm:sqref>
        </x14:dataValidation>
        <x14:dataValidation type="list" allowBlank="1" showInputMessage="1" showErrorMessage="1" xr:uid="{D703254F-1A69-4D5E-BD76-3314B631A8DF}">
          <x14:formula1>
            <xm:f>項目!A4:$RNY$262146</xm:f>
          </x14:formula1>
          <xm:sqref>ROH262151:ROH262174</xm:sqref>
        </x14:dataValidation>
        <x14:dataValidation type="list" allowBlank="1" showInputMessage="1" showErrorMessage="1" xr:uid="{074A0427-0C61-40C1-A57C-F7E66FBFFAA7}">
          <x14:formula1>
            <xm:f>項目!A4:$RXU$262146</xm:f>
          </x14:formula1>
          <xm:sqref>RYD262151:RYD262174</xm:sqref>
        </x14:dataValidation>
        <x14:dataValidation type="list" allowBlank="1" showInputMessage="1" showErrorMessage="1" xr:uid="{AC3773D5-E14D-4653-A1EA-E220A5F738BF}">
          <x14:formula1>
            <xm:f>項目!A4:$SHQ$262146</xm:f>
          </x14:formula1>
          <xm:sqref>SHZ262151:SHZ262174</xm:sqref>
        </x14:dataValidation>
        <x14:dataValidation type="list" allowBlank="1" showInputMessage="1" showErrorMessage="1" xr:uid="{A960504F-9971-44E2-8865-66A50CA48319}">
          <x14:formula1>
            <xm:f>項目!A4:$SRM$262146</xm:f>
          </x14:formula1>
          <xm:sqref>SRV262151:SRV262174</xm:sqref>
        </x14:dataValidation>
        <x14:dataValidation type="list" allowBlank="1" showInputMessage="1" showErrorMessage="1" xr:uid="{C941494A-8188-4384-BF20-1C1D260E19E4}">
          <x14:formula1>
            <xm:f>項目!A4:$TBI$262146</xm:f>
          </x14:formula1>
          <xm:sqref>TBR262151:TBR262174</xm:sqref>
        </x14:dataValidation>
        <x14:dataValidation type="list" allowBlank="1" showInputMessage="1" showErrorMessage="1" xr:uid="{D1D19986-C52C-4D51-97FA-BC6C4E03C47F}">
          <x14:formula1>
            <xm:f>項目!A4:$TLE$262146</xm:f>
          </x14:formula1>
          <xm:sqref>TLN262151:TLN262174</xm:sqref>
        </x14:dataValidation>
        <x14:dataValidation type="list" allowBlank="1" showInputMessage="1" showErrorMessage="1" xr:uid="{FD1A0EBE-8BF7-4A35-BAA5-31CBCC54D5D2}">
          <x14:formula1>
            <xm:f>項目!A4:$TVA$262146</xm:f>
          </x14:formula1>
          <xm:sqref>TVJ262151:TVJ262174</xm:sqref>
        </x14:dataValidation>
        <x14:dataValidation type="list" allowBlank="1" showInputMessage="1" showErrorMessage="1" xr:uid="{71C89A62-60DD-4F00-A078-3E54CDA09989}">
          <x14:formula1>
            <xm:f>項目!A4:$UEW$262146</xm:f>
          </x14:formula1>
          <xm:sqref>UFF262151:UFF262174</xm:sqref>
        </x14:dataValidation>
        <x14:dataValidation type="list" allowBlank="1" showInputMessage="1" showErrorMessage="1" xr:uid="{D415C18E-0B19-4B97-A806-9DFC69FB58D5}">
          <x14:formula1>
            <xm:f>項目!A4:$UOS$262146</xm:f>
          </x14:formula1>
          <xm:sqref>UPB262151:UPB262174</xm:sqref>
        </x14:dataValidation>
        <x14:dataValidation type="list" allowBlank="1" showInputMessage="1" showErrorMessage="1" xr:uid="{CF42514B-F8DB-4149-9DD6-0D68E9EE0C4E}">
          <x14:formula1>
            <xm:f>項目!A4:$UYO$262146</xm:f>
          </x14:formula1>
          <xm:sqref>UYX262151:UYX262174</xm:sqref>
        </x14:dataValidation>
        <x14:dataValidation type="list" allowBlank="1" showInputMessage="1" showErrorMessage="1" xr:uid="{9B87BB57-89FC-4D45-9D1F-5C1D200724A4}">
          <x14:formula1>
            <xm:f>項目!A4:$VIK$262146</xm:f>
          </x14:formula1>
          <xm:sqref>VIT262151:VIT262174</xm:sqref>
        </x14:dataValidation>
        <x14:dataValidation type="list" allowBlank="1" showInputMessage="1" showErrorMessage="1" xr:uid="{8DEEAFC3-CC29-4FCD-A831-4EBF39F3CBF8}">
          <x14:formula1>
            <xm:f>項目!A4:$VSG$262146</xm:f>
          </x14:formula1>
          <xm:sqref>VSP262151:VSP262174</xm:sqref>
        </x14:dataValidation>
        <x14:dataValidation type="list" allowBlank="1" showInputMessage="1" showErrorMessage="1" xr:uid="{A82D7055-FD63-4A62-9CE7-7A8B06C40845}">
          <x14:formula1>
            <xm:f>項目!A4:$WCC$262146</xm:f>
          </x14:formula1>
          <xm:sqref>WCL262151:WCL262174</xm:sqref>
        </x14:dataValidation>
        <x14:dataValidation type="list" allowBlank="1" showInputMessage="1" showErrorMessage="1" xr:uid="{2AAAD725-C3E1-49F4-94DE-03126774F432}">
          <x14:formula1>
            <xm:f>項目!A4:$WLY$262146</xm:f>
          </x14:formula1>
          <xm:sqref>WMH262151:WMH262174</xm:sqref>
        </x14:dataValidation>
        <x14:dataValidation type="list" allowBlank="1" showInputMessage="1" showErrorMessage="1" xr:uid="{D5956937-4DA7-46B3-B7FF-610C1AE308AD}">
          <x14:formula1>
            <xm:f>項目!A4:$WVU$262146</xm:f>
          </x14:formula1>
          <xm:sqref>WWD262151:WWD262174</xm:sqref>
        </x14:dataValidation>
        <x14:dataValidation type="list" allowBlank="1" showInputMessage="1" showErrorMessage="1" xr:uid="{3FA1C511-4337-437D-BBF3-B18A819DB121}">
          <x14:formula1>
            <xm:f>項目!A4:$N$327682</xm:f>
          </x14:formula1>
          <xm:sqref>V327687:V327710</xm:sqref>
        </x14:dataValidation>
        <x14:dataValidation type="list" allowBlank="1" showInputMessage="1" showErrorMessage="1" xr:uid="{52F3CB6A-AB48-4955-9E1A-8B7ED1A9AD04}">
          <x14:formula1>
            <xm:f>項目!A4:$JI$327682</xm:f>
          </x14:formula1>
          <xm:sqref>JR327687:JR327710</xm:sqref>
        </x14:dataValidation>
        <x14:dataValidation type="list" allowBlank="1" showInputMessage="1" showErrorMessage="1" xr:uid="{EC7BA8BE-0EF4-41F2-99E9-1D28C2A497D1}">
          <x14:formula1>
            <xm:f>項目!A4:$TE$327682</xm:f>
          </x14:formula1>
          <xm:sqref>TN327687:TN327710</xm:sqref>
        </x14:dataValidation>
        <x14:dataValidation type="list" allowBlank="1" showInputMessage="1" showErrorMessage="1" xr:uid="{BAC18E33-B6B4-4CF2-8711-911900AD027F}">
          <x14:formula1>
            <xm:f>項目!A4:$ADA$327682</xm:f>
          </x14:formula1>
          <xm:sqref>ADJ327687:ADJ327710</xm:sqref>
        </x14:dataValidation>
        <x14:dataValidation type="list" allowBlank="1" showInputMessage="1" showErrorMessage="1" xr:uid="{4EC42FED-E218-4616-8C7C-729A9455D3E1}">
          <x14:formula1>
            <xm:f>項目!A4:$AMW$327682</xm:f>
          </x14:formula1>
          <xm:sqref>ANF327687:ANF327710</xm:sqref>
        </x14:dataValidation>
        <x14:dataValidation type="list" allowBlank="1" showInputMessage="1" showErrorMessage="1" xr:uid="{0ABDF885-26C5-4388-89DF-257F46C0B6EF}">
          <x14:formula1>
            <xm:f>項目!A4:$AWS$327682</xm:f>
          </x14:formula1>
          <xm:sqref>AXB327687:AXB327710</xm:sqref>
        </x14:dataValidation>
        <x14:dataValidation type="list" allowBlank="1" showInputMessage="1" showErrorMessage="1" xr:uid="{FEBE9FB2-8888-4C08-B2BB-94F2CBF8CC85}">
          <x14:formula1>
            <xm:f>項目!A4:$BGO$327682</xm:f>
          </x14:formula1>
          <xm:sqref>BGX327687:BGX327710</xm:sqref>
        </x14:dataValidation>
        <x14:dataValidation type="list" allowBlank="1" showInputMessage="1" showErrorMessage="1" xr:uid="{8FD7AA9B-E133-4860-864A-A74512751661}">
          <x14:formula1>
            <xm:f>項目!A4:$BQK$327682</xm:f>
          </x14:formula1>
          <xm:sqref>BQT327687:BQT327710</xm:sqref>
        </x14:dataValidation>
        <x14:dataValidation type="list" allowBlank="1" showInputMessage="1" showErrorMessage="1" xr:uid="{92C0FD9E-A1C5-4EF2-A09D-06E014011646}">
          <x14:formula1>
            <xm:f>項目!A4:$CAG$327682</xm:f>
          </x14:formula1>
          <xm:sqref>CAP327687:CAP327710</xm:sqref>
        </x14:dataValidation>
        <x14:dataValidation type="list" allowBlank="1" showInputMessage="1" showErrorMessage="1" xr:uid="{A1968FE8-417F-443F-8306-6074AF09A26D}">
          <x14:formula1>
            <xm:f>項目!A4:$CKC$327682</xm:f>
          </x14:formula1>
          <xm:sqref>CKL327687:CKL327710</xm:sqref>
        </x14:dataValidation>
        <x14:dataValidation type="list" allowBlank="1" showInputMessage="1" showErrorMessage="1" xr:uid="{6B54731C-FB92-43BA-B792-23E567128DC4}">
          <x14:formula1>
            <xm:f>項目!A4:$CTY$327682</xm:f>
          </x14:formula1>
          <xm:sqref>CUH327687:CUH327710</xm:sqref>
        </x14:dataValidation>
        <x14:dataValidation type="list" allowBlank="1" showInputMessage="1" showErrorMessage="1" xr:uid="{2FBBB84D-68E6-43D4-820B-2805476E3984}">
          <x14:formula1>
            <xm:f>項目!A4:$DDU$327682</xm:f>
          </x14:formula1>
          <xm:sqref>DED327687:DED327710</xm:sqref>
        </x14:dataValidation>
        <x14:dataValidation type="list" allowBlank="1" showInputMessage="1" showErrorMessage="1" xr:uid="{56F13F8B-5ECB-4A53-A194-696434CFC672}">
          <x14:formula1>
            <xm:f>項目!A4:$DNQ$327682</xm:f>
          </x14:formula1>
          <xm:sqref>DNZ327687:DNZ327710</xm:sqref>
        </x14:dataValidation>
        <x14:dataValidation type="list" allowBlank="1" showInputMessage="1" showErrorMessage="1" xr:uid="{45C4FFA0-4A6B-4680-8DE8-B8C891E5269D}">
          <x14:formula1>
            <xm:f>項目!A4:$DXM$327682</xm:f>
          </x14:formula1>
          <xm:sqref>DXV327687:DXV327710</xm:sqref>
        </x14:dataValidation>
        <x14:dataValidation type="list" allowBlank="1" showInputMessage="1" showErrorMessage="1" xr:uid="{E7AC3471-CB97-4597-BD35-6ABBC955D779}">
          <x14:formula1>
            <xm:f>項目!A4:$EHI$327682</xm:f>
          </x14:formula1>
          <xm:sqref>EHR327687:EHR327710</xm:sqref>
        </x14:dataValidation>
        <x14:dataValidation type="list" allowBlank="1" showInputMessage="1" showErrorMessage="1" xr:uid="{C71ABFA5-7AF8-4B05-B162-97AC9CF98AB5}">
          <x14:formula1>
            <xm:f>項目!A4:$ERE$327682</xm:f>
          </x14:formula1>
          <xm:sqref>ERN327687:ERN327710</xm:sqref>
        </x14:dataValidation>
        <x14:dataValidation type="list" allowBlank="1" showInputMessage="1" showErrorMessage="1" xr:uid="{760B8C76-CCC9-42C6-B037-50DC730280A1}">
          <x14:formula1>
            <xm:f>項目!A4:$FBA$327682</xm:f>
          </x14:formula1>
          <xm:sqref>FBJ327687:FBJ327710</xm:sqref>
        </x14:dataValidation>
        <x14:dataValidation type="list" allowBlank="1" showInputMessage="1" showErrorMessage="1" xr:uid="{FCA6C866-1C2A-469B-B745-DB610A9D19D2}">
          <x14:formula1>
            <xm:f>項目!A4:$FKW$327682</xm:f>
          </x14:formula1>
          <xm:sqref>FLF327687:FLF327710</xm:sqref>
        </x14:dataValidation>
        <x14:dataValidation type="list" allowBlank="1" showInputMessage="1" showErrorMessage="1" xr:uid="{B7C7B7FB-1C28-4036-89A7-6DBFF579B43C}">
          <x14:formula1>
            <xm:f>項目!A4:$FUS$327682</xm:f>
          </x14:formula1>
          <xm:sqref>FVB327687:FVB327710</xm:sqref>
        </x14:dataValidation>
        <x14:dataValidation type="list" allowBlank="1" showInputMessage="1" showErrorMessage="1" xr:uid="{5FA13775-DB6E-45F6-AFF7-73020727BA2D}">
          <x14:formula1>
            <xm:f>項目!A4:$GEO$327682</xm:f>
          </x14:formula1>
          <xm:sqref>GEX327687:GEX327710</xm:sqref>
        </x14:dataValidation>
        <x14:dataValidation type="list" allowBlank="1" showInputMessage="1" showErrorMessage="1" xr:uid="{FD3320F9-5AEE-4FB7-910C-44BFB943E0E5}">
          <x14:formula1>
            <xm:f>項目!A4:$GOK$327682</xm:f>
          </x14:formula1>
          <xm:sqref>GOT327687:GOT327710</xm:sqref>
        </x14:dataValidation>
        <x14:dataValidation type="list" allowBlank="1" showInputMessage="1" showErrorMessage="1" xr:uid="{0CB8FE33-FC51-4417-A189-7823B9A90B4F}">
          <x14:formula1>
            <xm:f>項目!A4:$GYG$327682</xm:f>
          </x14:formula1>
          <xm:sqref>GYP327687:GYP327710</xm:sqref>
        </x14:dataValidation>
        <x14:dataValidation type="list" allowBlank="1" showInputMessage="1" showErrorMessage="1" xr:uid="{B6E6C478-AF89-4BDB-8544-35E1C28C29A3}">
          <x14:formula1>
            <xm:f>項目!A4:$HIC$327682</xm:f>
          </x14:formula1>
          <xm:sqref>HIL327687:HIL327710</xm:sqref>
        </x14:dataValidation>
        <x14:dataValidation type="list" allowBlank="1" showInputMessage="1" showErrorMessage="1" xr:uid="{74497F6E-4E26-45BC-8153-FD5011DB4B85}">
          <x14:formula1>
            <xm:f>項目!A4:$HRY$327682</xm:f>
          </x14:formula1>
          <xm:sqref>HSH327687:HSH327710</xm:sqref>
        </x14:dataValidation>
        <x14:dataValidation type="list" allowBlank="1" showInputMessage="1" showErrorMessage="1" xr:uid="{1C1EE8F0-AF2F-4614-9107-4F6AEE3F4737}">
          <x14:formula1>
            <xm:f>項目!A4:$IBU$327682</xm:f>
          </x14:formula1>
          <xm:sqref>ICD327687:ICD327710</xm:sqref>
        </x14:dataValidation>
        <x14:dataValidation type="list" allowBlank="1" showInputMessage="1" showErrorMessage="1" xr:uid="{E0E56D0C-766F-4658-A4CC-F188CE1DA7EC}">
          <x14:formula1>
            <xm:f>項目!A4:$ILQ$327682</xm:f>
          </x14:formula1>
          <xm:sqref>ILZ327687:ILZ327710</xm:sqref>
        </x14:dataValidation>
        <x14:dataValidation type="list" allowBlank="1" showInputMessage="1" showErrorMessage="1" xr:uid="{3842B2FD-34D8-4786-A2F8-0D03D958395A}">
          <x14:formula1>
            <xm:f>項目!A4:$IVM$327682</xm:f>
          </x14:formula1>
          <xm:sqref>IVV327687:IVV327710</xm:sqref>
        </x14:dataValidation>
        <x14:dataValidation type="list" allowBlank="1" showInputMessage="1" showErrorMessage="1" xr:uid="{26B562DE-7829-4C7E-976D-04DC2794597F}">
          <x14:formula1>
            <xm:f>項目!A4:$JFI$327682</xm:f>
          </x14:formula1>
          <xm:sqref>JFR327687:JFR327710</xm:sqref>
        </x14:dataValidation>
        <x14:dataValidation type="list" allowBlank="1" showInputMessage="1" showErrorMessage="1" xr:uid="{D1AD685B-E639-46A7-B57D-3860298765B2}">
          <x14:formula1>
            <xm:f>項目!A4:$JPE$327682</xm:f>
          </x14:formula1>
          <xm:sqref>JPN327687:JPN327710</xm:sqref>
        </x14:dataValidation>
        <x14:dataValidation type="list" allowBlank="1" showInputMessage="1" showErrorMessage="1" xr:uid="{1CB656B0-7A9E-44D1-A2BA-356DB8AB902C}">
          <x14:formula1>
            <xm:f>項目!A4:$JZA$327682</xm:f>
          </x14:formula1>
          <xm:sqref>JZJ327687:JZJ327710</xm:sqref>
        </x14:dataValidation>
        <x14:dataValidation type="list" allowBlank="1" showInputMessage="1" showErrorMessage="1" xr:uid="{5EB11D48-B729-4C10-9365-E14D71DC7FF1}">
          <x14:formula1>
            <xm:f>項目!A4:$KIW$327682</xm:f>
          </x14:formula1>
          <xm:sqref>KJF327687:KJF327710</xm:sqref>
        </x14:dataValidation>
        <x14:dataValidation type="list" allowBlank="1" showInputMessage="1" showErrorMessage="1" xr:uid="{FE1003B7-50CF-49DA-84B7-AEE7FF04730D}">
          <x14:formula1>
            <xm:f>項目!A4:$KSS$327682</xm:f>
          </x14:formula1>
          <xm:sqref>KTB327687:KTB327710</xm:sqref>
        </x14:dataValidation>
        <x14:dataValidation type="list" allowBlank="1" showInputMessage="1" showErrorMessage="1" xr:uid="{F2EC52B2-175A-4C3C-8CAA-F80F3F88EB52}">
          <x14:formula1>
            <xm:f>項目!A4:$LCO$327682</xm:f>
          </x14:formula1>
          <xm:sqref>LCX327687:LCX327710</xm:sqref>
        </x14:dataValidation>
        <x14:dataValidation type="list" allowBlank="1" showInputMessage="1" showErrorMessage="1" xr:uid="{F1858C5E-4D66-4B83-AC75-112F26AF9AB7}">
          <x14:formula1>
            <xm:f>項目!A4:$LMK$327682</xm:f>
          </x14:formula1>
          <xm:sqref>LMT327687:LMT327710</xm:sqref>
        </x14:dataValidation>
        <x14:dataValidation type="list" allowBlank="1" showInputMessage="1" showErrorMessage="1" xr:uid="{072428C5-CAF6-45AC-A558-132C31B9F6B2}">
          <x14:formula1>
            <xm:f>項目!A4:$LWG$327682</xm:f>
          </x14:formula1>
          <xm:sqref>LWP327687:LWP327710</xm:sqref>
        </x14:dataValidation>
        <x14:dataValidation type="list" allowBlank="1" showInputMessage="1" showErrorMessage="1" xr:uid="{25C3D302-001B-458A-A1CB-D07B6B902E16}">
          <x14:formula1>
            <xm:f>項目!A4:$MGC$327682</xm:f>
          </x14:formula1>
          <xm:sqref>MGL327687:MGL327710</xm:sqref>
        </x14:dataValidation>
        <x14:dataValidation type="list" allowBlank="1" showInputMessage="1" showErrorMessage="1" xr:uid="{292814F9-99BC-4F90-921E-E2B7967957AB}">
          <x14:formula1>
            <xm:f>項目!A4:$MPY$327682</xm:f>
          </x14:formula1>
          <xm:sqref>MQH327687:MQH327710</xm:sqref>
        </x14:dataValidation>
        <x14:dataValidation type="list" allowBlank="1" showInputMessage="1" showErrorMessage="1" xr:uid="{1E613724-809B-47C1-9C49-4FF0F44C046D}">
          <x14:formula1>
            <xm:f>項目!A4:$MZU$327682</xm:f>
          </x14:formula1>
          <xm:sqref>NAD327687:NAD327710</xm:sqref>
        </x14:dataValidation>
        <x14:dataValidation type="list" allowBlank="1" showInputMessage="1" showErrorMessage="1" xr:uid="{70F04C63-2B95-47AF-9C3A-B3A01E139BD3}">
          <x14:formula1>
            <xm:f>項目!A4:$NJQ$327682</xm:f>
          </x14:formula1>
          <xm:sqref>NJZ327687:NJZ327710</xm:sqref>
        </x14:dataValidation>
        <x14:dataValidation type="list" allowBlank="1" showInputMessage="1" showErrorMessage="1" xr:uid="{24C171B1-E531-4FD8-B999-96E3B2970E83}">
          <x14:formula1>
            <xm:f>項目!A4:$NTM$327682</xm:f>
          </x14:formula1>
          <xm:sqref>NTV327687:NTV327710</xm:sqref>
        </x14:dataValidation>
        <x14:dataValidation type="list" allowBlank="1" showInputMessage="1" showErrorMessage="1" xr:uid="{E68B0005-3F5F-45DB-AC8C-F3579B9C65FC}">
          <x14:formula1>
            <xm:f>項目!A4:$ODI$327682</xm:f>
          </x14:formula1>
          <xm:sqref>ODR327687:ODR327710</xm:sqref>
        </x14:dataValidation>
        <x14:dataValidation type="list" allowBlank="1" showInputMessage="1" showErrorMessage="1" xr:uid="{A3C091D9-3360-4016-9D68-EF54DF1F7592}">
          <x14:formula1>
            <xm:f>項目!A4:$ONE$327682</xm:f>
          </x14:formula1>
          <xm:sqref>ONN327687:ONN327710</xm:sqref>
        </x14:dataValidation>
        <x14:dataValidation type="list" allowBlank="1" showInputMessage="1" showErrorMessage="1" xr:uid="{5E4835B3-4B09-44AD-88A1-61BF5E8D4A15}">
          <x14:formula1>
            <xm:f>項目!A4:$OXA$327682</xm:f>
          </x14:formula1>
          <xm:sqref>OXJ327687:OXJ327710</xm:sqref>
        </x14:dataValidation>
        <x14:dataValidation type="list" allowBlank="1" showInputMessage="1" showErrorMessage="1" xr:uid="{CABA641D-DE2B-48F9-AAF3-9DD10A3DEF94}">
          <x14:formula1>
            <xm:f>項目!A4:$PGW$327682</xm:f>
          </x14:formula1>
          <xm:sqref>PHF327687:PHF327710</xm:sqref>
        </x14:dataValidation>
        <x14:dataValidation type="list" allowBlank="1" showInputMessage="1" showErrorMessage="1" xr:uid="{427FE5AD-CBE4-4C75-B6ED-B373EF76CC4E}">
          <x14:formula1>
            <xm:f>項目!A4:$PQS$327682</xm:f>
          </x14:formula1>
          <xm:sqref>PRB327687:PRB327710</xm:sqref>
        </x14:dataValidation>
        <x14:dataValidation type="list" allowBlank="1" showInputMessage="1" showErrorMessage="1" xr:uid="{0C2DF48C-215A-45BE-B118-9D70F0AD8EE0}">
          <x14:formula1>
            <xm:f>項目!A4:$QAO$327682</xm:f>
          </x14:formula1>
          <xm:sqref>QAX327687:QAX327710</xm:sqref>
        </x14:dataValidation>
        <x14:dataValidation type="list" allowBlank="1" showInputMessage="1" showErrorMessage="1" xr:uid="{DF6D2D97-90BC-4496-9A5B-C99E1F82B61A}">
          <x14:formula1>
            <xm:f>項目!A4:$QKK$327682</xm:f>
          </x14:formula1>
          <xm:sqref>QKT327687:QKT327710</xm:sqref>
        </x14:dataValidation>
        <x14:dataValidation type="list" allowBlank="1" showInputMessage="1" showErrorMessage="1" xr:uid="{FAB3F87C-6F9A-4FA4-AABC-E93011760870}">
          <x14:formula1>
            <xm:f>項目!A4:$QUG$327682</xm:f>
          </x14:formula1>
          <xm:sqref>QUP327687:QUP327710</xm:sqref>
        </x14:dataValidation>
        <x14:dataValidation type="list" allowBlank="1" showInputMessage="1" showErrorMessage="1" xr:uid="{E16948CD-2FA7-47FD-A0B4-5F802F9CFB2D}">
          <x14:formula1>
            <xm:f>項目!A4:$REC$327682</xm:f>
          </x14:formula1>
          <xm:sqref>REL327687:REL327710</xm:sqref>
        </x14:dataValidation>
        <x14:dataValidation type="list" allowBlank="1" showInputMessage="1" showErrorMessage="1" xr:uid="{A5E6686A-6879-4269-8851-A16D53641B54}">
          <x14:formula1>
            <xm:f>項目!A4:$RNY$327682</xm:f>
          </x14:formula1>
          <xm:sqref>ROH327687:ROH327710</xm:sqref>
        </x14:dataValidation>
        <x14:dataValidation type="list" allowBlank="1" showInputMessage="1" showErrorMessage="1" xr:uid="{B9B6D75E-0763-486D-8D29-2A43692284E3}">
          <x14:formula1>
            <xm:f>項目!A4:$RXU$327682</xm:f>
          </x14:formula1>
          <xm:sqref>RYD327687:RYD327710</xm:sqref>
        </x14:dataValidation>
        <x14:dataValidation type="list" allowBlank="1" showInputMessage="1" showErrorMessage="1" xr:uid="{FBC4C540-5337-4D88-A8F9-8AF885D9946A}">
          <x14:formula1>
            <xm:f>項目!A4:$SHQ$327682</xm:f>
          </x14:formula1>
          <xm:sqref>SHZ327687:SHZ327710</xm:sqref>
        </x14:dataValidation>
        <x14:dataValidation type="list" allowBlank="1" showInputMessage="1" showErrorMessage="1" xr:uid="{DA5D1017-07C7-489B-8426-D13FE423921E}">
          <x14:formula1>
            <xm:f>項目!A4:$SRM$327682</xm:f>
          </x14:formula1>
          <xm:sqref>SRV327687:SRV327710</xm:sqref>
        </x14:dataValidation>
        <x14:dataValidation type="list" allowBlank="1" showInputMessage="1" showErrorMessage="1" xr:uid="{88EA8066-BCE5-46FE-AA58-5E458E73DAB3}">
          <x14:formula1>
            <xm:f>項目!A4:$TBI$327682</xm:f>
          </x14:formula1>
          <xm:sqref>TBR327687:TBR327710</xm:sqref>
        </x14:dataValidation>
        <x14:dataValidation type="list" allowBlank="1" showInputMessage="1" showErrorMessage="1" xr:uid="{7211955D-D314-450F-A6EE-8D303DE1E133}">
          <x14:formula1>
            <xm:f>項目!A4:$TLE$327682</xm:f>
          </x14:formula1>
          <xm:sqref>TLN327687:TLN327710</xm:sqref>
        </x14:dataValidation>
        <x14:dataValidation type="list" allowBlank="1" showInputMessage="1" showErrorMessage="1" xr:uid="{8E8E75A3-07C0-4E1A-ADED-7DF1F2D20C08}">
          <x14:formula1>
            <xm:f>項目!A4:$TVA$327682</xm:f>
          </x14:formula1>
          <xm:sqref>TVJ327687:TVJ327710</xm:sqref>
        </x14:dataValidation>
        <x14:dataValidation type="list" allowBlank="1" showInputMessage="1" showErrorMessage="1" xr:uid="{DA027A34-A911-4F0C-A245-1224990694DE}">
          <x14:formula1>
            <xm:f>項目!A4:$UEW$327682</xm:f>
          </x14:formula1>
          <xm:sqref>UFF327687:UFF327710</xm:sqref>
        </x14:dataValidation>
        <x14:dataValidation type="list" allowBlank="1" showInputMessage="1" showErrorMessage="1" xr:uid="{F0B6AC01-9B7F-4633-9B18-4B6DF4B4E39A}">
          <x14:formula1>
            <xm:f>項目!A4:$UOS$327682</xm:f>
          </x14:formula1>
          <xm:sqref>UPB327687:UPB327710</xm:sqref>
        </x14:dataValidation>
        <x14:dataValidation type="list" allowBlank="1" showInputMessage="1" showErrorMessage="1" xr:uid="{40A8A566-F70B-4625-8DC8-253097C6DC1E}">
          <x14:formula1>
            <xm:f>項目!A4:$UYO$327682</xm:f>
          </x14:formula1>
          <xm:sqref>UYX327687:UYX327710</xm:sqref>
        </x14:dataValidation>
        <x14:dataValidation type="list" allowBlank="1" showInputMessage="1" showErrorMessage="1" xr:uid="{5AE8B547-25BE-475A-A449-73C4EB6F06B1}">
          <x14:formula1>
            <xm:f>項目!A4:$VIK$327682</xm:f>
          </x14:formula1>
          <xm:sqref>VIT327687:VIT327710</xm:sqref>
        </x14:dataValidation>
        <x14:dataValidation type="list" allowBlank="1" showInputMessage="1" showErrorMessage="1" xr:uid="{A6EE6415-92BD-4D38-A65C-9C1B3414B705}">
          <x14:formula1>
            <xm:f>項目!A4:$VSG$327682</xm:f>
          </x14:formula1>
          <xm:sqref>VSP327687:VSP327710</xm:sqref>
        </x14:dataValidation>
        <x14:dataValidation type="list" allowBlank="1" showInputMessage="1" showErrorMessage="1" xr:uid="{F1EB3DF0-89ED-4923-958A-E8433D63054F}">
          <x14:formula1>
            <xm:f>項目!A4:$WCC$327682</xm:f>
          </x14:formula1>
          <xm:sqref>WCL327687:WCL327710</xm:sqref>
        </x14:dataValidation>
        <x14:dataValidation type="list" allowBlank="1" showInputMessage="1" showErrorMessage="1" xr:uid="{5B3BB913-6F15-47CD-B04D-4FF0A6C0D130}">
          <x14:formula1>
            <xm:f>項目!A4:$WLY$327682</xm:f>
          </x14:formula1>
          <xm:sqref>WMH327687:WMH327710</xm:sqref>
        </x14:dataValidation>
        <x14:dataValidation type="list" allowBlank="1" showInputMessage="1" showErrorMessage="1" xr:uid="{77CFE1D7-3707-4DDA-B3B7-A1257BCFDB9E}">
          <x14:formula1>
            <xm:f>項目!A4:$WVU$327682</xm:f>
          </x14:formula1>
          <xm:sqref>WWD327687:WWD327710</xm:sqref>
        </x14:dataValidation>
        <x14:dataValidation type="list" allowBlank="1" showInputMessage="1" showErrorMessage="1" xr:uid="{D19F5439-7CE1-417D-9301-CB77EC775FF2}">
          <x14:formula1>
            <xm:f>項目!A4:$N$393218</xm:f>
          </x14:formula1>
          <xm:sqref>V393223:V393246</xm:sqref>
        </x14:dataValidation>
        <x14:dataValidation type="list" allowBlank="1" showInputMessage="1" showErrorMessage="1" xr:uid="{E6099CF7-1E79-4E8F-AA8C-511A17065F04}">
          <x14:formula1>
            <xm:f>項目!A4:$JI$393218</xm:f>
          </x14:formula1>
          <xm:sqref>JR393223:JR393246</xm:sqref>
        </x14:dataValidation>
        <x14:dataValidation type="list" allowBlank="1" showInputMessage="1" showErrorMessage="1" xr:uid="{3B8AAE9E-969A-43BE-AEDF-9337DEA78A8F}">
          <x14:formula1>
            <xm:f>項目!A4:$TE$393218</xm:f>
          </x14:formula1>
          <xm:sqref>TN393223:TN393246</xm:sqref>
        </x14:dataValidation>
        <x14:dataValidation type="list" allowBlank="1" showInputMessage="1" showErrorMessage="1" xr:uid="{79AB668D-BD02-4CFF-9CC4-29820E65F7B2}">
          <x14:formula1>
            <xm:f>項目!A4:$ADA$393218</xm:f>
          </x14:formula1>
          <xm:sqref>ADJ393223:ADJ393246</xm:sqref>
        </x14:dataValidation>
        <x14:dataValidation type="list" allowBlank="1" showInputMessage="1" showErrorMessage="1" xr:uid="{8B596B25-45EF-4294-8E62-E0783FA02051}">
          <x14:formula1>
            <xm:f>項目!A4:$AMW$393218</xm:f>
          </x14:formula1>
          <xm:sqref>ANF393223:ANF393246</xm:sqref>
        </x14:dataValidation>
        <x14:dataValidation type="list" allowBlank="1" showInputMessage="1" showErrorMessage="1" xr:uid="{288A1ED9-781A-48ED-8879-7A0D9C16DA73}">
          <x14:formula1>
            <xm:f>項目!A4:$AWS$393218</xm:f>
          </x14:formula1>
          <xm:sqref>AXB393223:AXB393246</xm:sqref>
        </x14:dataValidation>
        <x14:dataValidation type="list" allowBlank="1" showInputMessage="1" showErrorMessage="1" xr:uid="{5E12D5B7-5A69-4DF2-85D2-23B8105AEAF0}">
          <x14:formula1>
            <xm:f>項目!A4:$BGO$393218</xm:f>
          </x14:formula1>
          <xm:sqref>BGX393223:BGX393246</xm:sqref>
        </x14:dataValidation>
        <x14:dataValidation type="list" allowBlank="1" showInputMessage="1" showErrorMessage="1" xr:uid="{A01A6B43-409D-44CB-A268-FA2633484ECF}">
          <x14:formula1>
            <xm:f>項目!A4:$BQK$393218</xm:f>
          </x14:formula1>
          <xm:sqref>BQT393223:BQT393246</xm:sqref>
        </x14:dataValidation>
        <x14:dataValidation type="list" allowBlank="1" showInputMessage="1" showErrorMessage="1" xr:uid="{7A159A81-5BB3-4BB0-B47C-6C14C45CCD13}">
          <x14:formula1>
            <xm:f>項目!A4:$CAG$393218</xm:f>
          </x14:formula1>
          <xm:sqref>CAP393223:CAP393246</xm:sqref>
        </x14:dataValidation>
        <x14:dataValidation type="list" allowBlank="1" showInputMessage="1" showErrorMessage="1" xr:uid="{BA228C08-B078-42F1-A891-8A7FCAB24400}">
          <x14:formula1>
            <xm:f>項目!A4:$CKC$393218</xm:f>
          </x14:formula1>
          <xm:sqref>CKL393223:CKL393246</xm:sqref>
        </x14:dataValidation>
        <x14:dataValidation type="list" allowBlank="1" showInputMessage="1" showErrorMessage="1" xr:uid="{D87B3C4E-880D-46D7-96B6-4EDBFAB55E94}">
          <x14:formula1>
            <xm:f>項目!A4:$CTY$393218</xm:f>
          </x14:formula1>
          <xm:sqref>CUH393223:CUH393246</xm:sqref>
        </x14:dataValidation>
        <x14:dataValidation type="list" allowBlank="1" showInputMessage="1" showErrorMessage="1" xr:uid="{06D84AF3-C033-4F8B-A118-A84E332166AF}">
          <x14:formula1>
            <xm:f>項目!A4:$DDU$393218</xm:f>
          </x14:formula1>
          <xm:sqref>DED393223:DED393246</xm:sqref>
        </x14:dataValidation>
        <x14:dataValidation type="list" allowBlank="1" showInputMessage="1" showErrorMessage="1" xr:uid="{BB75C804-EE58-413F-A3FF-74ED7A9B92B7}">
          <x14:formula1>
            <xm:f>項目!A4:$DNQ$393218</xm:f>
          </x14:formula1>
          <xm:sqref>DNZ393223:DNZ393246</xm:sqref>
        </x14:dataValidation>
        <x14:dataValidation type="list" allowBlank="1" showInputMessage="1" showErrorMessage="1" xr:uid="{9966CDE6-2955-44A3-B346-30F65425A4B7}">
          <x14:formula1>
            <xm:f>項目!A4:$DXM$393218</xm:f>
          </x14:formula1>
          <xm:sqref>DXV393223:DXV393246</xm:sqref>
        </x14:dataValidation>
        <x14:dataValidation type="list" allowBlank="1" showInputMessage="1" showErrorMessage="1" xr:uid="{59A57CA0-3EAA-48C5-80EC-EEE701943EF3}">
          <x14:formula1>
            <xm:f>項目!A4:$EHI$393218</xm:f>
          </x14:formula1>
          <xm:sqref>EHR393223:EHR393246</xm:sqref>
        </x14:dataValidation>
        <x14:dataValidation type="list" allowBlank="1" showInputMessage="1" showErrorMessage="1" xr:uid="{B0879AF2-CB0B-45BA-9A94-816177230FFC}">
          <x14:formula1>
            <xm:f>項目!A4:$ERE$393218</xm:f>
          </x14:formula1>
          <xm:sqref>ERN393223:ERN393246</xm:sqref>
        </x14:dataValidation>
        <x14:dataValidation type="list" allowBlank="1" showInputMessage="1" showErrorMessage="1" xr:uid="{BCD03745-0B72-4E89-B80B-600159501720}">
          <x14:formula1>
            <xm:f>項目!A4:$FBA$393218</xm:f>
          </x14:formula1>
          <xm:sqref>FBJ393223:FBJ393246</xm:sqref>
        </x14:dataValidation>
        <x14:dataValidation type="list" allowBlank="1" showInputMessage="1" showErrorMessage="1" xr:uid="{90C82036-49E1-43B8-A2DE-5E146187226F}">
          <x14:formula1>
            <xm:f>項目!A4:$FKW$393218</xm:f>
          </x14:formula1>
          <xm:sqref>FLF393223:FLF393246</xm:sqref>
        </x14:dataValidation>
        <x14:dataValidation type="list" allowBlank="1" showInputMessage="1" showErrorMessage="1" xr:uid="{8AE5C737-46B9-4E23-BAED-3D4E2A537637}">
          <x14:formula1>
            <xm:f>項目!A4:$FUS$393218</xm:f>
          </x14:formula1>
          <xm:sqref>FVB393223:FVB393246</xm:sqref>
        </x14:dataValidation>
        <x14:dataValidation type="list" allowBlank="1" showInputMessage="1" showErrorMessage="1" xr:uid="{C268B14B-1FF3-4BEC-97DA-BD9368827CCF}">
          <x14:formula1>
            <xm:f>項目!A4:$GEO$393218</xm:f>
          </x14:formula1>
          <xm:sqref>GEX393223:GEX393246</xm:sqref>
        </x14:dataValidation>
        <x14:dataValidation type="list" allowBlank="1" showInputMessage="1" showErrorMessage="1" xr:uid="{ADEB33AB-D41B-4E97-818C-C7EB85AF99F3}">
          <x14:formula1>
            <xm:f>項目!A4:$GOK$393218</xm:f>
          </x14:formula1>
          <xm:sqref>GOT393223:GOT393246</xm:sqref>
        </x14:dataValidation>
        <x14:dataValidation type="list" allowBlank="1" showInputMessage="1" showErrorMessage="1" xr:uid="{00FAD26E-64F0-4081-8B2B-34B7EF86AC4F}">
          <x14:formula1>
            <xm:f>項目!A4:$GYG$393218</xm:f>
          </x14:formula1>
          <xm:sqref>GYP393223:GYP393246</xm:sqref>
        </x14:dataValidation>
        <x14:dataValidation type="list" allowBlank="1" showInputMessage="1" showErrorMessage="1" xr:uid="{6C2EF58D-4E56-4C26-8D0B-84F1DA238F0E}">
          <x14:formula1>
            <xm:f>項目!A4:$HIC$393218</xm:f>
          </x14:formula1>
          <xm:sqref>HIL393223:HIL393246</xm:sqref>
        </x14:dataValidation>
        <x14:dataValidation type="list" allowBlank="1" showInputMessage="1" showErrorMessage="1" xr:uid="{38FFD5B9-364A-4F16-9835-597F33C372E4}">
          <x14:formula1>
            <xm:f>項目!A4:$HRY$393218</xm:f>
          </x14:formula1>
          <xm:sqref>HSH393223:HSH393246</xm:sqref>
        </x14:dataValidation>
        <x14:dataValidation type="list" allowBlank="1" showInputMessage="1" showErrorMessage="1" xr:uid="{7E066E83-6086-437D-9B66-4A3FA46C3232}">
          <x14:formula1>
            <xm:f>項目!A4:$IBU$393218</xm:f>
          </x14:formula1>
          <xm:sqref>ICD393223:ICD393246</xm:sqref>
        </x14:dataValidation>
        <x14:dataValidation type="list" allowBlank="1" showInputMessage="1" showErrorMessage="1" xr:uid="{3A412B57-F2FD-47EA-A479-3A2B99D5281E}">
          <x14:formula1>
            <xm:f>項目!A4:$ILQ$393218</xm:f>
          </x14:formula1>
          <xm:sqref>ILZ393223:ILZ393246</xm:sqref>
        </x14:dataValidation>
        <x14:dataValidation type="list" allowBlank="1" showInputMessage="1" showErrorMessage="1" xr:uid="{730EBCCA-805B-4494-A7B9-C8D00AA5A4E2}">
          <x14:formula1>
            <xm:f>項目!A4:$IVM$393218</xm:f>
          </x14:formula1>
          <xm:sqref>IVV393223:IVV393246</xm:sqref>
        </x14:dataValidation>
        <x14:dataValidation type="list" allowBlank="1" showInputMessage="1" showErrorMessage="1" xr:uid="{99C0E4F0-EB66-4BCC-B7DB-BBE664155DA9}">
          <x14:formula1>
            <xm:f>項目!A4:$JFI$393218</xm:f>
          </x14:formula1>
          <xm:sqref>JFR393223:JFR393246</xm:sqref>
        </x14:dataValidation>
        <x14:dataValidation type="list" allowBlank="1" showInputMessage="1" showErrorMessage="1" xr:uid="{A0973058-AFF6-4C98-A102-4587493743BA}">
          <x14:formula1>
            <xm:f>項目!A4:$JPE$393218</xm:f>
          </x14:formula1>
          <xm:sqref>JPN393223:JPN393246</xm:sqref>
        </x14:dataValidation>
        <x14:dataValidation type="list" allowBlank="1" showInputMessage="1" showErrorMessage="1" xr:uid="{37A5EC5C-487F-40D9-88D0-5B17FF7B4534}">
          <x14:formula1>
            <xm:f>項目!A4:$JZA$393218</xm:f>
          </x14:formula1>
          <xm:sqref>JZJ393223:JZJ393246</xm:sqref>
        </x14:dataValidation>
        <x14:dataValidation type="list" allowBlank="1" showInputMessage="1" showErrorMessage="1" xr:uid="{45A73E55-7763-44E7-A969-FA8FFE46E98D}">
          <x14:formula1>
            <xm:f>項目!A4:$KIW$393218</xm:f>
          </x14:formula1>
          <xm:sqref>KJF393223:KJF393246</xm:sqref>
        </x14:dataValidation>
        <x14:dataValidation type="list" allowBlank="1" showInputMessage="1" showErrorMessage="1" xr:uid="{3FFC51C7-3DE6-4E49-8166-30B6FB7C4A04}">
          <x14:formula1>
            <xm:f>項目!A4:$KSS$393218</xm:f>
          </x14:formula1>
          <xm:sqref>KTB393223:KTB393246</xm:sqref>
        </x14:dataValidation>
        <x14:dataValidation type="list" allowBlank="1" showInputMessage="1" showErrorMessage="1" xr:uid="{7E29FCE8-9209-4849-8553-A1F00218B1F6}">
          <x14:formula1>
            <xm:f>項目!A4:$LCO$393218</xm:f>
          </x14:formula1>
          <xm:sqref>LCX393223:LCX393246</xm:sqref>
        </x14:dataValidation>
        <x14:dataValidation type="list" allowBlank="1" showInputMessage="1" showErrorMessage="1" xr:uid="{E5B31D46-73B7-4321-873A-25C40C95B90D}">
          <x14:formula1>
            <xm:f>項目!A4:$LMK$393218</xm:f>
          </x14:formula1>
          <xm:sqref>LMT393223:LMT393246</xm:sqref>
        </x14:dataValidation>
        <x14:dataValidation type="list" allowBlank="1" showInputMessage="1" showErrorMessage="1" xr:uid="{6D1B44D8-8A3D-4B8D-B4DB-FCA531EF2B83}">
          <x14:formula1>
            <xm:f>項目!A4:$LWG$393218</xm:f>
          </x14:formula1>
          <xm:sqref>LWP393223:LWP393246</xm:sqref>
        </x14:dataValidation>
        <x14:dataValidation type="list" allowBlank="1" showInputMessage="1" showErrorMessage="1" xr:uid="{92903BDC-03D5-4853-B8A5-4960D6008185}">
          <x14:formula1>
            <xm:f>項目!A4:$MGC$393218</xm:f>
          </x14:formula1>
          <xm:sqref>MGL393223:MGL393246</xm:sqref>
        </x14:dataValidation>
        <x14:dataValidation type="list" allowBlank="1" showInputMessage="1" showErrorMessage="1" xr:uid="{9BC7182F-8B28-4A46-9643-C7E202E5326E}">
          <x14:formula1>
            <xm:f>項目!A4:$MPY$393218</xm:f>
          </x14:formula1>
          <xm:sqref>MQH393223:MQH393246</xm:sqref>
        </x14:dataValidation>
        <x14:dataValidation type="list" allowBlank="1" showInputMessage="1" showErrorMessage="1" xr:uid="{203C43E0-D312-452B-85E1-5954CC6C7002}">
          <x14:formula1>
            <xm:f>項目!A4:$MZU$393218</xm:f>
          </x14:formula1>
          <xm:sqref>NAD393223:NAD393246</xm:sqref>
        </x14:dataValidation>
        <x14:dataValidation type="list" allowBlank="1" showInputMessage="1" showErrorMessage="1" xr:uid="{EC8AF406-7DC8-4C5C-B53D-692B6C059516}">
          <x14:formula1>
            <xm:f>項目!A4:$NJQ$393218</xm:f>
          </x14:formula1>
          <xm:sqref>NJZ393223:NJZ393246</xm:sqref>
        </x14:dataValidation>
        <x14:dataValidation type="list" allowBlank="1" showInputMessage="1" showErrorMessage="1" xr:uid="{D797D613-8B4A-4B03-9008-E6AE7E716E8F}">
          <x14:formula1>
            <xm:f>項目!A4:$NTM$393218</xm:f>
          </x14:formula1>
          <xm:sqref>NTV393223:NTV393246</xm:sqref>
        </x14:dataValidation>
        <x14:dataValidation type="list" allowBlank="1" showInputMessage="1" showErrorMessage="1" xr:uid="{FBF6CBE8-F411-428D-AB46-33676AC93383}">
          <x14:formula1>
            <xm:f>項目!A4:$ODI$393218</xm:f>
          </x14:formula1>
          <xm:sqref>ODR393223:ODR393246</xm:sqref>
        </x14:dataValidation>
        <x14:dataValidation type="list" allowBlank="1" showInputMessage="1" showErrorMessage="1" xr:uid="{208B0C79-A1EE-4807-B028-8B832BC5176B}">
          <x14:formula1>
            <xm:f>項目!A4:$ONE$393218</xm:f>
          </x14:formula1>
          <xm:sqref>ONN393223:ONN393246</xm:sqref>
        </x14:dataValidation>
        <x14:dataValidation type="list" allowBlank="1" showInputMessage="1" showErrorMessage="1" xr:uid="{5521D8E4-D57D-45CB-8E01-F65B80AA20A8}">
          <x14:formula1>
            <xm:f>項目!A4:$OXA$393218</xm:f>
          </x14:formula1>
          <xm:sqref>OXJ393223:OXJ393246</xm:sqref>
        </x14:dataValidation>
        <x14:dataValidation type="list" allowBlank="1" showInputMessage="1" showErrorMessage="1" xr:uid="{8F7F5274-9876-4E9A-B7D3-B6BAC7D3162E}">
          <x14:formula1>
            <xm:f>項目!A4:$PGW$393218</xm:f>
          </x14:formula1>
          <xm:sqref>PHF393223:PHF393246</xm:sqref>
        </x14:dataValidation>
        <x14:dataValidation type="list" allowBlank="1" showInputMessage="1" showErrorMessage="1" xr:uid="{CEF6791A-655A-4BE0-87BB-40B5F0C269A9}">
          <x14:formula1>
            <xm:f>項目!A4:$PQS$393218</xm:f>
          </x14:formula1>
          <xm:sqref>PRB393223:PRB393246</xm:sqref>
        </x14:dataValidation>
        <x14:dataValidation type="list" allowBlank="1" showInputMessage="1" showErrorMessage="1" xr:uid="{1185953C-DC85-493F-A0E8-D910FDF857D6}">
          <x14:formula1>
            <xm:f>項目!A4:$QAO$393218</xm:f>
          </x14:formula1>
          <xm:sqref>QAX393223:QAX393246</xm:sqref>
        </x14:dataValidation>
        <x14:dataValidation type="list" allowBlank="1" showInputMessage="1" showErrorMessage="1" xr:uid="{BBF89C57-D9AC-4F3F-845B-61847C00F985}">
          <x14:formula1>
            <xm:f>項目!A4:$QKK$393218</xm:f>
          </x14:formula1>
          <xm:sqref>QKT393223:QKT393246</xm:sqref>
        </x14:dataValidation>
        <x14:dataValidation type="list" allowBlank="1" showInputMessage="1" showErrorMessage="1" xr:uid="{DFFDD30D-5EC7-4963-9658-341FE434CF5D}">
          <x14:formula1>
            <xm:f>項目!A4:$QUG$393218</xm:f>
          </x14:formula1>
          <xm:sqref>QUP393223:QUP393246</xm:sqref>
        </x14:dataValidation>
        <x14:dataValidation type="list" allowBlank="1" showInputMessage="1" showErrorMessage="1" xr:uid="{981766F2-F0C8-487D-8749-DFE4651B519A}">
          <x14:formula1>
            <xm:f>項目!A4:$REC$393218</xm:f>
          </x14:formula1>
          <xm:sqref>REL393223:REL393246</xm:sqref>
        </x14:dataValidation>
        <x14:dataValidation type="list" allowBlank="1" showInputMessage="1" showErrorMessage="1" xr:uid="{C7CF6C3C-822B-4FB5-81AB-A57736A50D04}">
          <x14:formula1>
            <xm:f>項目!A4:$RNY$393218</xm:f>
          </x14:formula1>
          <xm:sqref>ROH393223:ROH393246</xm:sqref>
        </x14:dataValidation>
        <x14:dataValidation type="list" allowBlank="1" showInputMessage="1" showErrorMessage="1" xr:uid="{7B59D209-E88D-4901-9525-837F5A9F8651}">
          <x14:formula1>
            <xm:f>項目!A4:$RXU$393218</xm:f>
          </x14:formula1>
          <xm:sqref>RYD393223:RYD393246</xm:sqref>
        </x14:dataValidation>
        <x14:dataValidation type="list" allowBlank="1" showInputMessage="1" showErrorMessage="1" xr:uid="{E77CBC53-BE3F-4DF3-92DB-75EF8EC4F0D5}">
          <x14:formula1>
            <xm:f>項目!A4:$SHQ$393218</xm:f>
          </x14:formula1>
          <xm:sqref>SHZ393223:SHZ393246</xm:sqref>
        </x14:dataValidation>
        <x14:dataValidation type="list" allowBlank="1" showInputMessage="1" showErrorMessage="1" xr:uid="{769B36C3-A888-4D5A-85D4-550EA826B0FE}">
          <x14:formula1>
            <xm:f>項目!A4:$SRM$393218</xm:f>
          </x14:formula1>
          <xm:sqref>SRV393223:SRV393246</xm:sqref>
        </x14:dataValidation>
        <x14:dataValidation type="list" allowBlank="1" showInputMessage="1" showErrorMessage="1" xr:uid="{4D70C119-C185-4D59-84D0-CE13D84090A1}">
          <x14:formula1>
            <xm:f>項目!A4:$TBI$393218</xm:f>
          </x14:formula1>
          <xm:sqref>TBR393223:TBR393246</xm:sqref>
        </x14:dataValidation>
        <x14:dataValidation type="list" allowBlank="1" showInputMessage="1" showErrorMessage="1" xr:uid="{EB0C346E-897C-4DDF-8FD7-7B30F0C96BFE}">
          <x14:formula1>
            <xm:f>項目!A4:$TLE$393218</xm:f>
          </x14:formula1>
          <xm:sqref>TLN393223:TLN393246</xm:sqref>
        </x14:dataValidation>
        <x14:dataValidation type="list" allowBlank="1" showInputMessage="1" showErrorMessage="1" xr:uid="{47340BE7-D89E-4B2E-B16F-B04B23EA8EE8}">
          <x14:formula1>
            <xm:f>項目!A4:$TVA$393218</xm:f>
          </x14:formula1>
          <xm:sqref>TVJ393223:TVJ393246</xm:sqref>
        </x14:dataValidation>
        <x14:dataValidation type="list" allowBlank="1" showInputMessage="1" showErrorMessage="1" xr:uid="{D82BFD2A-943B-4033-919C-6EAF29809F01}">
          <x14:formula1>
            <xm:f>項目!A4:$UEW$393218</xm:f>
          </x14:formula1>
          <xm:sqref>UFF393223:UFF393246</xm:sqref>
        </x14:dataValidation>
        <x14:dataValidation type="list" allowBlank="1" showInputMessage="1" showErrorMessage="1" xr:uid="{CB6B805A-B10F-467F-A784-D330AF1CEF2E}">
          <x14:formula1>
            <xm:f>項目!A4:$UOS$393218</xm:f>
          </x14:formula1>
          <xm:sqref>UPB393223:UPB393246</xm:sqref>
        </x14:dataValidation>
        <x14:dataValidation type="list" allowBlank="1" showInputMessage="1" showErrorMessage="1" xr:uid="{D883ED45-5D9E-43C5-ACCD-E140E7E2E4D4}">
          <x14:formula1>
            <xm:f>項目!A4:$UYO$393218</xm:f>
          </x14:formula1>
          <xm:sqref>UYX393223:UYX393246</xm:sqref>
        </x14:dataValidation>
        <x14:dataValidation type="list" allowBlank="1" showInputMessage="1" showErrorMessage="1" xr:uid="{1030DA67-54F8-4BED-9405-27BCE1EEC305}">
          <x14:formula1>
            <xm:f>項目!A4:$VIK$393218</xm:f>
          </x14:formula1>
          <xm:sqref>VIT393223:VIT393246</xm:sqref>
        </x14:dataValidation>
        <x14:dataValidation type="list" allowBlank="1" showInputMessage="1" showErrorMessage="1" xr:uid="{C7C10144-31E5-4654-AD0E-1460B68311EC}">
          <x14:formula1>
            <xm:f>項目!A4:$VSG$393218</xm:f>
          </x14:formula1>
          <xm:sqref>VSP393223:VSP393246</xm:sqref>
        </x14:dataValidation>
        <x14:dataValidation type="list" allowBlank="1" showInputMessage="1" showErrorMessage="1" xr:uid="{316924F9-AAA7-4BCD-90E9-8A851C41F82F}">
          <x14:formula1>
            <xm:f>項目!A4:$WCC$393218</xm:f>
          </x14:formula1>
          <xm:sqref>WCL393223:WCL393246</xm:sqref>
        </x14:dataValidation>
        <x14:dataValidation type="list" allowBlank="1" showInputMessage="1" showErrorMessage="1" xr:uid="{A363574E-DEA3-48ED-94BC-8803BFBC5C2E}">
          <x14:formula1>
            <xm:f>項目!A4:$WLY$393218</xm:f>
          </x14:formula1>
          <xm:sqref>WMH393223:WMH393246</xm:sqref>
        </x14:dataValidation>
        <x14:dataValidation type="list" allowBlank="1" showInputMessage="1" showErrorMessage="1" xr:uid="{1664B60A-225D-4956-B568-5237AA3FC82F}">
          <x14:formula1>
            <xm:f>項目!A4:$WVU$393218</xm:f>
          </x14:formula1>
          <xm:sqref>WWD393223:WWD393246</xm:sqref>
        </x14:dataValidation>
        <x14:dataValidation type="list" allowBlank="1" showInputMessage="1" showErrorMessage="1" xr:uid="{E79B78C5-8DF8-4AD6-AC20-EFD09FBDFAA6}">
          <x14:formula1>
            <xm:f>項目!A4:$N$458754</xm:f>
          </x14:formula1>
          <xm:sqref>V458759:V458782</xm:sqref>
        </x14:dataValidation>
        <x14:dataValidation type="list" allowBlank="1" showInputMessage="1" showErrorMessage="1" xr:uid="{8BFA9DC3-CC5A-425D-A118-C14869E2F296}">
          <x14:formula1>
            <xm:f>項目!A4:$JI$458754</xm:f>
          </x14:formula1>
          <xm:sqref>JR458759:JR458782</xm:sqref>
        </x14:dataValidation>
        <x14:dataValidation type="list" allowBlank="1" showInputMessage="1" showErrorMessage="1" xr:uid="{7139E501-EBC0-40EE-9057-1C9E781F09C4}">
          <x14:formula1>
            <xm:f>項目!A4:$TE$458754</xm:f>
          </x14:formula1>
          <xm:sqref>TN458759:TN458782</xm:sqref>
        </x14:dataValidation>
        <x14:dataValidation type="list" allowBlank="1" showInputMessage="1" showErrorMessage="1" xr:uid="{DAD93C9E-228D-40AD-B05F-3EEC79920B1B}">
          <x14:formula1>
            <xm:f>項目!A4:$ADA$458754</xm:f>
          </x14:formula1>
          <xm:sqref>ADJ458759:ADJ458782</xm:sqref>
        </x14:dataValidation>
        <x14:dataValidation type="list" allowBlank="1" showInputMessage="1" showErrorMessage="1" xr:uid="{FC9140C2-5133-43CD-B9A0-F4EA672BEE14}">
          <x14:formula1>
            <xm:f>項目!A4:$AMW$458754</xm:f>
          </x14:formula1>
          <xm:sqref>ANF458759:ANF458782</xm:sqref>
        </x14:dataValidation>
        <x14:dataValidation type="list" allowBlank="1" showInputMessage="1" showErrorMessage="1" xr:uid="{A71FC4DF-A596-4A95-95BA-6CF674B91107}">
          <x14:formula1>
            <xm:f>項目!A4:$AWS$458754</xm:f>
          </x14:formula1>
          <xm:sqref>AXB458759:AXB458782</xm:sqref>
        </x14:dataValidation>
        <x14:dataValidation type="list" allowBlank="1" showInputMessage="1" showErrorMessage="1" xr:uid="{97C8E55C-503F-428B-8E35-E23A1AF653F4}">
          <x14:formula1>
            <xm:f>項目!A4:$BGO$458754</xm:f>
          </x14:formula1>
          <xm:sqref>BGX458759:BGX458782</xm:sqref>
        </x14:dataValidation>
        <x14:dataValidation type="list" allowBlank="1" showInputMessage="1" showErrorMessage="1" xr:uid="{B227AFA5-E42A-4D71-971B-D78AF33C58D2}">
          <x14:formula1>
            <xm:f>項目!A4:$BQK$458754</xm:f>
          </x14:formula1>
          <xm:sqref>BQT458759:BQT458782</xm:sqref>
        </x14:dataValidation>
        <x14:dataValidation type="list" allowBlank="1" showInputMessage="1" showErrorMessage="1" xr:uid="{A24BC654-7434-4909-BCE4-FB2B9F222666}">
          <x14:formula1>
            <xm:f>項目!A4:$CAG$458754</xm:f>
          </x14:formula1>
          <xm:sqref>CAP458759:CAP458782</xm:sqref>
        </x14:dataValidation>
        <x14:dataValidation type="list" allowBlank="1" showInputMessage="1" showErrorMessage="1" xr:uid="{11EA2233-EE40-4621-937C-38F2E617C646}">
          <x14:formula1>
            <xm:f>項目!A4:$CKC$458754</xm:f>
          </x14:formula1>
          <xm:sqref>CKL458759:CKL458782</xm:sqref>
        </x14:dataValidation>
        <x14:dataValidation type="list" allowBlank="1" showInputMessage="1" showErrorMessage="1" xr:uid="{43464A2E-4046-45F7-AE56-4D884DE7420F}">
          <x14:formula1>
            <xm:f>項目!A4:$CTY$458754</xm:f>
          </x14:formula1>
          <xm:sqref>CUH458759:CUH458782</xm:sqref>
        </x14:dataValidation>
        <x14:dataValidation type="list" allowBlank="1" showInputMessage="1" showErrorMessage="1" xr:uid="{4CC54BEC-FA34-46F4-84BF-64A57F1ABC99}">
          <x14:formula1>
            <xm:f>項目!A4:$DDU$458754</xm:f>
          </x14:formula1>
          <xm:sqref>DED458759:DED458782</xm:sqref>
        </x14:dataValidation>
        <x14:dataValidation type="list" allowBlank="1" showInputMessage="1" showErrorMessage="1" xr:uid="{0DD7041F-FBAA-4D67-B14A-E96069EBFE1E}">
          <x14:formula1>
            <xm:f>項目!A4:$DNQ$458754</xm:f>
          </x14:formula1>
          <xm:sqref>DNZ458759:DNZ458782</xm:sqref>
        </x14:dataValidation>
        <x14:dataValidation type="list" allowBlank="1" showInputMessage="1" showErrorMessage="1" xr:uid="{9702554D-01AF-462F-B5AC-D04776A1E0F2}">
          <x14:formula1>
            <xm:f>項目!A4:$DXM$458754</xm:f>
          </x14:formula1>
          <xm:sqref>DXV458759:DXV458782</xm:sqref>
        </x14:dataValidation>
        <x14:dataValidation type="list" allowBlank="1" showInputMessage="1" showErrorMessage="1" xr:uid="{ADC26768-241A-4E64-845E-64AF3AB25DAA}">
          <x14:formula1>
            <xm:f>項目!A4:$EHI$458754</xm:f>
          </x14:formula1>
          <xm:sqref>EHR458759:EHR458782</xm:sqref>
        </x14:dataValidation>
        <x14:dataValidation type="list" allowBlank="1" showInputMessage="1" showErrorMessage="1" xr:uid="{C59E2586-544F-4548-A27C-EFBE533CAD88}">
          <x14:formula1>
            <xm:f>項目!A4:$ERE$458754</xm:f>
          </x14:formula1>
          <xm:sqref>ERN458759:ERN458782</xm:sqref>
        </x14:dataValidation>
        <x14:dataValidation type="list" allowBlank="1" showInputMessage="1" showErrorMessage="1" xr:uid="{297611A3-C243-4DAB-886A-8532C374EF4F}">
          <x14:formula1>
            <xm:f>項目!A4:$FBA$458754</xm:f>
          </x14:formula1>
          <xm:sqref>FBJ458759:FBJ458782</xm:sqref>
        </x14:dataValidation>
        <x14:dataValidation type="list" allowBlank="1" showInputMessage="1" showErrorMessage="1" xr:uid="{6DDE05CB-438D-4242-82EC-8A1F3AC3D787}">
          <x14:formula1>
            <xm:f>項目!A4:$FKW$458754</xm:f>
          </x14:formula1>
          <xm:sqref>FLF458759:FLF458782</xm:sqref>
        </x14:dataValidation>
        <x14:dataValidation type="list" allowBlank="1" showInputMessage="1" showErrorMessage="1" xr:uid="{FEA455E2-37FA-4BD5-ABFC-2C6E3B59628C}">
          <x14:formula1>
            <xm:f>項目!A4:$FUS$458754</xm:f>
          </x14:formula1>
          <xm:sqref>FVB458759:FVB458782</xm:sqref>
        </x14:dataValidation>
        <x14:dataValidation type="list" allowBlank="1" showInputMessage="1" showErrorMessage="1" xr:uid="{E02242BF-DFE8-4C1B-B2A0-9A7A4BD0EA7F}">
          <x14:formula1>
            <xm:f>項目!A4:$GEO$458754</xm:f>
          </x14:formula1>
          <xm:sqref>GEX458759:GEX458782</xm:sqref>
        </x14:dataValidation>
        <x14:dataValidation type="list" allowBlank="1" showInputMessage="1" showErrorMessage="1" xr:uid="{47F6C3A5-D10D-4912-BEE8-A514645EDEC0}">
          <x14:formula1>
            <xm:f>項目!A4:$GOK$458754</xm:f>
          </x14:formula1>
          <xm:sqref>GOT458759:GOT458782</xm:sqref>
        </x14:dataValidation>
        <x14:dataValidation type="list" allowBlank="1" showInputMessage="1" showErrorMessage="1" xr:uid="{4953460A-281F-47AF-A6C7-434DDEC83B13}">
          <x14:formula1>
            <xm:f>項目!A4:$GYG$458754</xm:f>
          </x14:formula1>
          <xm:sqref>GYP458759:GYP458782</xm:sqref>
        </x14:dataValidation>
        <x14:dataValidation type="list" allowBlank="1" showInputMessage="1" showErrorMessage="1" xr:uid="{0C78AA96-FC38-4DFE-92B2-37D393A49C8F}">
          <x14:formula1>
            <xm:f>項目!A4:$HIC$458754</xm:f>
          </x14:formula1>
          <xm:sqref>HIL458759:HIL458782</xm:sqref>
        </x14:dataValidation>
        <x14:dataValidation type="list" allowBlank="1" showInputMessage="1" showErrorMessage="1" xr:uid="{689D32C4-18F3-490D-AD48-88DB4109BF80}">
          <x14:formula1>
            <xm:f>項目!A4:$HRY$458754</xm:f>
          </x14:formula1>
          <xm:sqref>HSH458759:HSH458782</xm:sqref>
        </x14:dataValidation>
        <x14:dataValidation type="list" allowBlank="1" showInputMessage="1" showErrorMessage="1" xr:uid="{746DDBB6-9F8B-429A-BDEC-981F429975C1}">
          <x14:formula1>
            <xm:f>項目!A4:$IBU$458754</xm:f>
          </x14:formula1>
          <xm:sqref>ICD458759:ICD458782</xm:sqref>
        </x14:dataValidation>
        <x14:dataValidation type="list" allowBlank="1" showInputMessage="1" showErrorMessage="1" xr:uid="{FF99B750-D8AF-40E9-BD98-411648A6B028}">
          <x14:formula1>
            <xm:f>項目!A4:$ILQ$458754</xm:f>
          </x14:formula1>
          <xm:sqref>ILZ458759:ILZ458782</xm:sqref>
        </x14:dataValidation>
        <x14:dataValidation type="list" allowBlank="1" showInputMessage="1" showErrorMessage="1" xr:uid="{DF3056CA-15C3-4A4E-8693-D53EC8DCB734}">
          <x14:formula1>
            <xm:f>項目!A4:$IVM$458754</xm:f>
          </x14:formula1>
          <xm:sqref>IVV458759:IVV458782</xm:sqref>
        </x14:dataValidation>
        <x14:dataValidation type="list" allowBlank="1" showInputMessage="1" showErrorMessage="1" xr:uid="{B4F4A916-2CD9-4082-A4AC-7357D43BBDD6}">
          <x14:formula1>
            <xm:f>項目!A4:$JFI$458754</xm:f>
          </x14:formula1>
          <xm:sqref>JFR458759:JFR458782</xm:sqref>
        </x14:dataValidation>
        <x14:dataValidation type="list" allowBlank="1" showInputMessage="1" showErrorMessage="1" xr:uid="{B67C1329-278A-4209-9D82-5C6BBE514AC7}">
          <x14:formula1>
            <xm:f>項目!A4:$JPE$458754</xm:f>
          </x14:formula1>
          <xm:sqref>JPN458759:JPN458782</xm:sqref>
        </x14:dataValidation>
        <x14:dataValidation type="list" allowBlank="1" showInputMessage="1" showErrorMessage="1" xr:uid="{7B6D706C-E6A1-4AE2-8413-D09F06087CF2}">
          <x14:formula1>
            <xm:f>項目!A4:$JZA$458754</xm:f>
          </x14:formula1>
          <xm:sqref>JZJ458759:JZJ458782</xm:sqref>
        </x14:dataValidation>
        <x14:dataValidation type="list" allowBlank="1" showInputMessage="1" showErrorMessage="1" xr:uid="{A60CB47B-182D-4777-89B5-C9B8613F62C4}">
          <x14:formula1>
            <xm:f>項目!A4:$KIW$458754</xm:f>
          </x14:formula1>
          <xm:sqref>KJF458759:KJF458782</xm:sqref>
        </x14:dataValidation>
        <x14:dataValidation type="list" allowBlank="1" showInputMessage="1" showErrorMessage="1" xr:uid="{908491B2-313B-41AA-AF8F-04B4D5D2A21E}">
          <x14:formula1>
            <xm:f>項目!A4:$KSS$458754</xm:f>
          </x14:formula1>
          <xm:sqref>KTB458759:KTB458782</xm:sqref>
        </x14:dataValidation>
        <x14:dataValidation type="list" allowBlank="1" showInputMessage="1" showErrorMessage="1" xr:uid="{5FCB61F6-803C-4E26-99E5-F63288334369}">
          <x14:formula1>
            <xm:f>項目!A4:$LCO$458754</xm:f>
          </x14:formula1>
          <xm:sqref>LCX458759:LCX458782</xm:sqref>
        </x14:dataValidation>
        <x14:dataValidation type="list" allowBlank="1" showInputMessage="1" showErrorMessage="1" xr:uid="{DF0FA170-7B96-47E3-A4A9-DCC816FB7FC0}">
          <x14:formula1>
            <xm:f>項目!A4:$LMK$458754</xm:f>
          </x14:formula1>
          <xm:sqref>LMT458759:LMT458782</xm:sqref>
        </x14:dataValidation>
        <x14:dataValidation type="list" allowBlank="1" showInputMessage="1" showErrorMessage="1" xr:uid="{576436C1-C8FE-4F07-B233-55A27C235591}">
          <x14:formula1>
            <xm:f>項目!A4:$LWG$458754</xm:f>
          </x14:formula1>
          <xm:sqref>LWP458759:LWP458782</xm:sqref>
        </x14:dataValidation>
        <x14:dataValidation type="list" allowBlank="1" showInputMessage="1" showErrorMessage="1" xr:uid="{A9144928-6EB6-4B02-92C0-2E79A2850A76}">
          <x14:formula1>
            <xm:f>項目!A4:$MGC$458754</xm:f>
          </x14:formula1>
          <xm:sqref>MGL458759:MGL458782</xm:sqref>
        </x14:dataValidation>
        <x14:dataValidation type="list" allowBlank="1" showInputMessage="1" showErrorMessage="1" xr:uid="{176A2A59-E9BB-4BDC-9AC9-0F410433B903}">
          <x14:formula1>
            <xm:f>項目!A4:$MPY$458754</xm:f>
          </x14:formula1>
          <xm:sqref>MQH458759:MQH458782</xm:sqref>
        </x14:dataValidation>
        <x14:dataValidation type="list" allowBlank="1" showInputMessage="1" showErrorMessage="1" xr:uid="{67615DDA-FEF8-4006-9B36-462A75687480}">
          <x14:formula1>
            <xm:f>項目!A4:$MZU$458754</xm:f>
          </x14:formula1>
          <xm:sqref>NAD458759:NAD458782</xm:sqref>
        </x14:dataValidation>
        <x14:dataValidation type="list" allowBlank="1" showInputMessage="1" showErrorMessage="1" xr:uid="{28B5A101-101E-4B94-82E3-96D9D126D8BE}">
          <x14:formula1>
            <xm:f>項目!A4:$NJQ$458754</xm:f>
          </x14:formula1>
          <xm:sqref>NJZ458759:NJZ458782</xm:sqref>
        </x14:dataValidation>
        <x14:dataValidation type="list" allowBlank="1" showInputMessage="1" showErrorMessage="1" xr:uid="{52C516E9-0503-4CB7-9802-F7C27E9A8A53}">
          <x14:formula1>
            <xm:f>項目!A4:$NTM$458754</xm:f>
          </x14:formula1>
          <xm:sqref>NTV458759:NTV458782</xm:sqref>
        </x14:dataValidation>
        <x14:dataValidation type="list" allowBlank="1" showInputMessage="1" showErrorMessage="1" xr:uid="{D4B2581E-3907-4C27-88A6-FB1A63BD73FF}">
          <x14:formula1>
            <xm:f>項目!A4:$ODI$458754</xm:f>
          </x14:formula1>
          <xm:sqref>ODR458759:ODR458782</xm:sqref>
        </x14:dataValidation>
        <x14:dataValidation type="list" allowBlank="1" showInputMessage="1" showErrorMessage="1" xr:uid="{8C72DEC5-F6CB-4ACA-81AE-1E54051920E0}">
          <x14:formula1>
            <xm:f>項目!A4:$ONE$458754</xm:f>
          </x14:formula1>
          <xm:sqref>ONN458759:ONN458782</xm:sqref>
        </x14:dataValidation>
        <x14:dataValidation type="list" allowBlank="1" showInputMessage="1" showErrorMessage="1" xr:uid="{7E34B7BC-7C13-44D7-8E60-FD6EAAE64323}">
          <x14:formula1>
            <xm:f>項目!A4:$OXA$458754</xm:f>
          </x14:formula1>
          <xm:sqref>OXJ458759:OXJ458782</xm:sqref>
        </x14:dataValidation>
        <x14:dataValidation type="list" allowBlank="1" showInputMessage="1" showErrorMessage="1" xr:uid="{325E09D6-B130-4C5A-A516-F0C73C4A1D09}">
          <x14:formula1>
            <xm:f>項目!A4:$PGW$458754</xm:f>
          </x14:formula1>
          <xm:sqref>PHF458759:PHF458782</xm:sqref>
        </x14:dataValidation>
        <x14:dataValidation type="list" allowBlank="1" showInputMessage="1" showErrorMessage="1" xr:uid="{78E17CD1-1DED-44BF-8C22-5103B06D8F9B}">
          <x14:formula1>
            <xm:f>項目!A4:$PQS$458754</xm:f>
          </x14:formula1>
          <xm:sqref>PRB458759:PRB458782</xm:sqref>
        </x14:dataValidation>
        <x14:dataValidation type="list" allowBlank="1" showInputMessage="1" showErrorMessage="1" xr:uid="{5446A348-F41E-4236-B869-39E793089B9F}">
          <x14:formula1>
            <xm:f>項目!A4:$QAO$458754</xm:f>
          </x14:formula1>
          <xm:sqref>QAX458759:QAX458782</xm:sqref>
        </x14:dataValidation>
        <x14:dataValidation type="list" allowBlank="1" showInputMessage="1" showErrorMessage="1" xr:uid="{B40D36CA-EC09-4BCB-AAB8-B4DD72AEE361}">
          <x14:formula1>
            <xm:f>項目!A4:$QKK$458754</xm:f>
          </x14:formula1>
          <xm:sqref>QKT458759:QKT458782</xm:sqref>
        </x14:dataValidation>
        <x14:dataValidation type="list" allowBlank="1" showInputMessage="1" showErrorMessage="1" xr:uid="{518F47B1-F9C2-4E62-88C0-8DF0A8B82FB3}">
          <x14:formula1>
            <xm:f>項目!A4:$QUG$458754</xm:f>
          </x14:formula1>
          <xm:sqref>QUP458759:QUP458782</xm:sqref>
        </x14:dataValidation>
        <x14:dataValidation type="list" allowBlank="1" showInputMessage="1" showErrorMessage="1" xr:uid="{6D77A302-91F1-409E-9DF9-8A83AA57FEDF}">
          <x14:formula1>
            <xm:f>項目!A4:$REC$458754</xm:f>
          </x14:formula1>
          <xm:sqref>REL458759:REL458782</xm:sqref>
        </x14:dataValidation>
        <x14:dataValidation type="list" allowBlank="1" showInputMessage="1" showErrorMessage="1" xr:uid="{F1C33D09-8D75-419C-9732-D7CBF4237805}">
          <x14:formula1>
            <xm:f>項目!A4:$RNY$458754</xm:f>
          </x14:formula1>
          <xm:sqref>ROH458759:ROH458782</xm:sqref>
        </x14:dataValidation>
        <x14:dataValidation type="list" allowBlank="1" showInputMessage="1" showErrorMessage="1" xr:uid="{0A2EE2EB-361C-4397-A387-BA9D2B016730}">
          <x14:formula1>
            <xm:f>項目!A4:$RXU$458754</xm:f>
          </x14:formula1>
          <xm:sqref>RYD458759:RYD458782</xm:sqref>
        </x14:dataValidation>
        <x14:dataValidation type="list" allowBlank="1" showInputMessage="1" showErrorMessage="1" xr:uid="{550652A8-26D8-4CBE-896E-A859BE4C6FB0}">
          <x14:formula1>
            <xm:f>項目!A4:$SHQ$458754</xm:f>
          </x14:formula1>
          <xm:sqref>SHZ458759:SHZ458782</xm:sqref>
        </x14:dataValidation>
        <x14:dataValidation type="list" allowBlank="1" showInputMessage="1" showErrorMessage="1" xr:uid="{D417AAA9-F844-43E6-9A18-B6391EAA0C40}">
          <x14:formula1>
            <xm:f>項目!A4:$SRM$458754</xm:f>
          </x14:formula1>
          <xm:sqref>SRV458759:SRV458782</xm:sqref>
        </x14:dataValidation>
        <x14:dataValidation type="list" allowBlank="1" showInputMessage="1" showErrorMessage="1" xr:uid="{5B91D9DB-9383-4720-B1C9-C9D54DA1742C}">
          <x14:formula1>
            <xm:f>項目!A4:$TBI$458754</xm:f>
          </x14:formula1>
          <xm:sqref>TBR458759:TBR458782</xm:sqref>
        </x14:dataValidation>
        <x14:dataValidation type="list" allowBlank="1" showInputMessage="1" showErrorMessage="1" xr:uid="{C1B7BA0F-AA4E-4B54-A20F-2034B573A836}">
          <x14:formula1>
            <xm:f>項目!A4:$TLE$458754</xm:f>
          </x14:formula1>
          <xm:sqref>TLN458759:TLN458782</xm:sqref>
        </x14:dataValidation>
        <x14:dataValidation type="list" allowBlank="1" showInputMessage="1" showErrorMessage="1" xr:uid="{D9302F44-5617-4B64-900F-CC542CE54CB9}">
          <x14:formula1>
            <xm:f>項目!A4:$TVA$458754</xm:f>
          </x14:formula1>
          <xm:sqref>TVJ458759:TVJ458782</xm:sqref>
        </x14:dataValidation>
        <x14:dataValidation type="list" allowBlank="1" showInputMessage="1" showErrorMessage="1" xr:uid="{64AF1CC8-F626-40A1-AF87-F20B93D42996}">
          <x14:formula1>
            <xm:f>項目!A4:$UEW$458754</xm:f>
          </x14:formula1>
          <xm:sqref>UFF458759:UFF458782</xm:sqref>
        </x14:dataValidation>
        <x14:dataValidation type="list" allowBlank="1" showInputMessage="1" showErrorMessage="1" xr:uid="{5B07E4E2-E84A-4602-B47A-E11A04F56F86}">
          <x14:formula1>
            <xm:f>項目!A4:$UOS$458754</xm:f>
          </x14:formula1>
          <xm:sqref>UPB458759:UPB458782</xm:sqref>
        </x14:dataValidation>
        <x14:dataValidation type="list" allowBlank="1" showInputMessage="1" showErrorMessage="1" xr:uid="{A8A8B6BB-F472-492C-B07C-813D6B899435}">
          <x14:formula1>
            <xm:f>項目!A4:$UYO$458754</xm:f>
          </x14:formula1>
          <xm:sqref>UYX458759:UYX458782</xm:sqref>
        </x14:dataValidation>
        <x14:dataValidation type="list" allowBlank="1" showInputMessage="1" showErrorMessage="1" xr:uid="{82290A30-8F0D-43CF-9E37-2DE45B220CF8}">
          <x14:formula1>
            <xm:f>項目!A4:$VIK$458754</xm:f>
          </x14:formula1>
          <xm:sqref>VIT458759:VIT458782</xm:sqref>
        </x14:dataValidation>
        <x14:dataValidation type="list" allowBlank="1" showInputMessage="1" showErrorMessage="1" xr:uid="{5651454B-485D-4CE3-B476-D0BDD57764A4}">
          <x14:formula1>
            <xm:f>項目!A4:$VSG$458754</xm:f>
          </x14:formula1>
          <xm:sqref>VSP458759:VSP458782</xm:sqref>
        </x14:dataValidation>
        <x14:dataValidation type="list" allowBlank="1" showInputMessage="1" showErrorMessage="1" xr:uid="{04ABC4AB-E686-45D4-ABD5-F39F28962DA3}">
          <x14:formula1>
            <xm:f>項目!A4:$WCC$458754</xm:f>
          </x14:formula1>
          <xm:sqref>WCL458759:WCL458782</xm:sqref>
        </x14:dataValidation>
        <x14:dataValidation type="list" allowBlank="1" showInputMessage="1" showErrorMessage="1" xr:uid="{3A66728C-B47A-4079-BC94-468D7A48323B}">
          <x14:formula1>
            <xm:f>項目!A4:$WLY$458754</xm:f>
          </x14:formula1>
          <xm:sqref>WMH458759:WMH458782</xm:sqref>
        </x14:dataValidation>
        <x14:dataValidation type="list" allowBlank="1" showInputMessage="1" showErrorMessage="1" xr:uid="{380A905D-C2A3-4EA9-91F8-A1BACA0FD206}">
          <x14:formula1>
            <xm:f>項目!A4:$WVU$458754</xm:f>
          </x14:formula1>
          <xm:sqref>WWD458759:WWD458782</xm:sqref>
        </x14:dataValidation>
        <x14:dataValidation type="list" allowBlank="1" showInputMessage="1" showErrorMessage="1" xr:uid="{9E947021-D458-4CE1-A366-37271D85AD67}">
          <x14:formula1>
            <xm:f>項目!A4:$N$524290</xm:f>
          </x14:formula1>
          <xm:sqref>V524295:V524318</xm:sqref>
        </x14:dataValidation>
        <x14:dataValidation type="list" allowBlank="1" showInputMessage="1" showErrorMessage="1" xr:uid="{F3C6A3DE-A3C6-4C67-BB50-F1E1A2E738A3}">
          <x14:formula1>
            <xm:f>項目!A4:$JI$524290</xm:f>
          </x14:formula1>
          <xm:sqref>JR524295:JR524318</xm:sqref>
        </x14:dataValidation>
        <x14:dataValidation type="list" allowBlank="1" showInputMessage="1" showErrorMessage="1" xr:uid="{BB47FB47-A0E3-4305-8769-55A908ED884E}">
          <x14:formula1>
            <xm:f>項目!A4:$TE$524290</xm:f>
          </x14:formula1>
          <xm:sqref>TN524295:TN524318</xm:sqref>
        </x14:dataValidation>
        <x14:dataValidation type="list" allowBlank="1" showInputMessage="1" showErrorMessage="1" xr:uid="{29DB98D4-AC97-4BE1-8C83-EB2A711031D8}">
          <x14:formula1>
            <xm:f>項目!A4:$ADA$524290</xm:f>
          </x14:formula1>
          <xm:sqref>ADJ524295:ADJ524318</xm:sqref>
        </x14:dataValidation>
        <x14:dataValidation type="list" allowBlank="1" showInputMessage="1" showErrorMessage="1" xr:uid="{34F36DC7-1DE2-448B-B920-82E4F957053C}">
          <x14:formula1>
            <xm:f>項目!A4:$AMW$524290</xm:f>
          </x14:formula1>
          <xm:sqref>ANF524295:ANF524318</xm:sqref>
        </x14:dataValidation>
        <x14:dataValidation type="list" allowBlank="1" showInputMessage="1" showErrorMessage="1" xr:uid="{94692C09-A8D5-4194-B0A9-78F8A3F18C62}">
          <x14:formula1>
            <xm:f>項目!A4:$AWS$524290</xm:f>
          </x14:formula1>
          <xm:sqref>AXB524295:AXB524318</xm:sqref>
        </x14:dataValidation>
        <x14:dataValidation type="list" allowBlank="1" showInputMessage="1" showErrorMessage="1" xr:uid="{58FD1D91-72E9-4DC4-AF18-F9B5009A699C}">
          <x14:formula1>
            <xm:f>項目!A4:$BGO$524290</xm:f>
          </x14:formula1>
          <xm:sqref>BGX524295:BGX524318</xm:sqref>
        </x14:dataValidation>
        <x14:dataValidation type="list" allowBlank="1" showInputMessage="1" showErrorMessage="1" xr:uid="{215DC672-A48E-4189-9583-41B6BD5A7A9C}">
          <x14:formula1>
            <xm:f>項目!A4:$BQK$524290</xm:f>
          </x14:formula1>
          <xm:sqref>BQT524295:BQT524318</xm:sqref>
        </x14:dataValidation>
        <x14:dataValidation type="list" allowBlank="1" showInputMessage="1" showErrorMessage="1" xr:uid="{E1871134-8576-473B-B9F3-5BE50E5168CF}">
          <x14:formula1>
            <xm:f>項目!A4:$CAG$524290</xm:f>
          </x14:formula1>
          <xm:sqref>CAP524295:CAP524318</xm:sqref>
        </x14:dataValidation>
        <x14:dataValidation type="list" allowBlank="1" showInputMessage="1" showErrorMessage="1" xr:uid="{216D212D-E3BF-4F33-98ED-7CA4CFEB3A3B}">
          <x14:formula1>
            <xm:f>項目!A4:$CKC$524290</xm:f>
          </x14:formula1>
          <xm:sqref>CKL524295:CKL524318</xm:sqref>
        </x14:dataValidation>
        <x14:dataValidation type="list" allowBlank="1" showInputMessage="1" showErrorMessage="1" xr:uid="{6F369F04-193D-49A0-9C36-8AACCF0C6F21}">
          <x14:formula1>
            <xm:f>項目!A4:$CTY$524290</xm:f>
          </x14:formula1>
          <xm:sqref>CUH524295:CUH524318</xm:sqref>
        </x14:dataValidation>
        <x14:dataValidation type="list" allowBlank="1" showInputMessage="1" showErrorMessage="1" xr:uid="{D8BC6518-D723-48BC-B820-DD71A9C7F936}">
          <x14:formula1>
            <xm:f>項目!A4:$DDU$524290</xm:f>
          </x14:formula1>
          <xm:sqref>DED524295:DED524318</xm:sqref>
        </x14:dataValidation>
        <x14:dataValidation type="list" allowBlank="1" showInputMessage="1" showErrorMessage="1" xr:uid="{EEC5CA3B-716C-4C0D-8967-5A1D2561624A}">
          <x14:formula1>
            <xm:f>項目!A4:$DNQ$524290</xm:f>
          </x14:formula1>
          <xm:sqref>DNZ524295:DNZ524318</xm:sqref>
        </x14:dataValidation>
        <x14:dataValidation type="list" allowBlank="1" showInputMessage="1" showErrorMessage="1" xr:uid="{CCFB3EAB-3124-46AC-91EF-CB4CB091D56E}">
          <x14:formula1>
            <xm:f>項目!A4:$DXM$524290</xm:f>
          </x14:formula1>
          <xm:sqref>DXV524295:DXV524318</xm:sqref>
        </x14:dataValidation>
        <x14:dataValidation type="list" allowBlank="1" showInputMessage="1" showErrorMessage="1" xr:uid="{2F870E4E-74B8-4F00-B3B9-F31BA83CE438}">
          <x14:formula1>
            <xm:f>項目!A4:$EHI$524290</xm:f>
          </x14:formula1>
          <xm:sqref>EHR524295:EHR524318</xm:sqref>
        </x14:dataValidation>
        <x14:dataValidation type="list" allowBlank="1" showInputMessage="1" showErrorMessage="1" xr:uid="{59329B66-DC64-4A50-B27E-0ECCF81F2D45}">
          <x14:formula1>
            <xm:f>項目!A4:$ERE$524290</xm:f>
          </x14:formula1>
          <xm:sqref>ERN524295:ERN524318</xm:sqref>
        </x14:dataValidation>
        <x14:dataValidation type="list" allowBlank="1" showInputMessage="1" showErrorMessage="1" xr:uid="{B22A007E-D488-4185-8498-DBC18DCA8589}">
          <x14:formula1>
            <xm:f>項目!A4:$FBA$524290</xm:f>
          </x14:formula1>
          <xm:sqref>FBJ524295:FBJ524318</xm:sqref>
        </x14:dataValidation>
        <x14:dataValidation type="list" allowBlank="1" showInputMessage="1" showErrorMessage="1" xr:uid="{6119ACDB-7B6D-4215-863A-BE7A5EF5BDCC}">
          <x14:formula1>
            <xm:f>項目!A4:$FKW$524290</xm:f>
          </x14:formula1>
          <xm:sqref>FLF524295:FLF524318</xm:sqref>
        </x14:dataValidation>
        <x14:dataValidation type="list" allowBlank="1" showInputMessage="1" showErrorMessage="1" xr:uid="{AC164A52-0380-4B4B-B866-AA1158185C06}">
          <x14:formula1>
            <xm:f>項目!A4:$FUS$524290</xm:f>
          </x14:formula1>
          <xm:sqref>FVB524295:FVB524318</xm:sqref>
        </x14:dataValidation>
        <x14:dataValidation type="list" allowBlank="1" showInputMessage="1" showErrorMessage="1" xr:uid="{006981E0-B0AE-4552-A1AB-35E39781361C}">
          <x14:formula1>
            <xm:f>項目!A4:$GEO$524290</xm:f>
          </x14:formula1>
          <xm:sqref>GEX524295:GEX524318</xm:sqref>
        </x14:dataValidation>
        <x14:dataValidation type="list" allowBlank="1" showInputMessage="1" showErrorMessage="1" xr:uid="{4340EBED-6BAA-470E-AD93-60BA8162B157}">
          <x14:formula1>
            <xm:f>項目!A4:$GOK$524290</xm:f>
          </x14:formula1>
          <xm:sqref>GOT524295:GOT524318</xm:sqref>
        </x14:dataValidation>
        <x14:dataValidation type="list" allowBlank="1" showInputMessage="1" showErrorMessage="1" xr:uid="{043C0476-D8B2-441C-987B-99B89DD780E5}">
          <x14:formula1>
            <xm:f>項目!A4:$GYG$524290</xm:f>
          </x14:formula1>
          <xm:sqref>GYP524295:GYP524318</xm:sqref>
        </x14:dataValidation>
        <x14:dataValidation type="list" allowBlank="1" showInputMessage="1" showErrorMessage="1" xr:uid="{49BF0098-4FB2-40C8-BFAC-CD17F25BFEFA}">
          <x14:formula1>
            <xm:f>項目!A4:$HIC$524290</xm:f>
          </x14:formula1>
          <xm:sqref>HIL524295:HIL524318</xm:sqref>
        </x14:dataValidation>
        <x14:dataValidation type="list" allowBlank="1" showInputMessage="1" showErrorMessage="1" xr:uid="{8B31EB21-4E45-429C-906A-1F761272C274}">
          <x14:formula1>
            <xm:f>項目!A4:$HRY$524290</xm:f>
          </x14:formula1>
          <xm:sqref>HSH524295:HSH524318</xm:sqref>
        </x14:dataValidation>
        <x14:dataValidation type="list" allowBlank="1" showInputMessage="1" showErrorMessage="1" xr:uid="{D7F5DC10-CFEA-4739-960C-8690A64D1B5A}">
          <x14:formula1>
            <xm:f>項目!A4:$IBU$524290</xm:f>
          </x14:formula1>
          <xm:sqref>ICD524295:ICD524318</xm:sqref>
        </x14:dataValidation>
        <x14:dataValidation type="list" allowBlank="1" showInputMessage="1" showErrorMessage="1" xr:uid="{EE1CDF1F-F42B-406D-8E58-2C5554A866BB}">
          <x14:formula1>
            <xm:f>項目!A4:$ILQ$524290</xm:f>
          </x14:formula1>
          <xm:sqref>ILZ524295:ILZ524318</xm:sqref>
        </x14:dataValidation>
        <x14:dataValidation type="list" allowBlank="1" showInputMessage="1" showErrorMessage="1" xr:uid="{6F2B5E16-F4D6-417C-ACEB-4253BB6B8749}">
          <x14:formula1>
            <xm:f>項目!A4:$IVM$524290</xm:f>
          </x14:formula1>
          <xm:sqref>IVV524295:IVV524318</xm:sqref>
        </x14:dataValidation>
        <x14:dataValidation type="list" allowBlank="1" showInputMessage="1" showErrorMessage="1" xr:uid="{96B1941D-E33B-4A43-B7AB-2DA15DAD02EB}">
          <x14:formula1>
            <xm:f>項目!A4:$JFI$524290</xm:f>
          </x14:formula1>
          <xm:sqref>JFR524295:JFR524318</xm:sqref>
        </x14:dataValidation>
        <x14:dataValidation type="list" allowBlank="1" showInputMessage="1" showErrorMessage="1" xr:uid="{08497039-D32E-4C91-B821-BED43364FBDA}">
          <x14:formula1>
            <xm:f>項目!A4:$JPE$524290</xm:f>
          </x14:formula1>
          <xm:sqref>JPN524295:JPN524318</xm:sqref>
        </x14:dataValidation>
        <x14:dataValidation type="list" allowBlank="1" showInputMessage="1" showErrorMessage="1" xr:uid="{92908285-65C4-415B-861A-8B5E561AD916}">
          <x14:formula1>
            <xm:f>項目!A4:$JZA$524290</xm:f>
          </x14:formula1>
          <xm:sqref>JZJ524295:JZJ524318</xm:sqref>
        </x14:dataValidation>
        <x14:dataValidation type="list" allowBlank="1" showInputMessage="1" showErrorMessage="1" xr:uid="{ACACC0E4-B16F-4175-BE90-5FC065191B43}">
          <x14:formula1>
            <xm:f>項目!A4:$KIW$524290</xm:f>
          </x14:formula1>
          <xm:sqref>KJF524295:KJF524318</xm:sqref>
        </x14:dataValidation>
        <x14:dataValidation type="list" allowBlank="1" showInputMessage="1" showErrorMessage="1" xr:uid="{61400959-629B-4E5E-A901-90B2E62BF051}">
          <x14:formula1>
            <xm:f>項目!A4:$KSS$524290</xm:f>
          </x14:formula1>
          <xm:sqref>KTB524295:KTB524318</xm:sqref>
        </x14:dataValidation>
        <x14:dataValidation type="list" allowBlank="1" showInputMessage="1" showErrorMessage="1" xr:uid="{22AA67DA-6D3F-482D-8817-DCD0BE3CD058}">
          <x14:formula1>
            <xm:f>項目!A4:$LCO$524290</xm:f>
          </x14:formula1>
          <xm:sqref>LCX524295:LCX524318</xm:sqref>
        </x14:dataValidation>
        <x14:dataValidation type="list" allowBlank="1" showInputMessage="1" showErrorMessage="1" xr:uid="{1076AD7F-FA9F-4DA4-AF45-3A7704AE5C02}">
          <x14:formula1>
            <xm:f>項目!A4:$LMK$524290</xm:f>
          </x14:formula1>
          <xm:sqref>LMT524295:LMT524318</xm:sqref>
        </x14:dataValidation>
        <x14:dataValidation type="list" allowBlank="1" showInputMessage="1" showErrorMessage="1" xr:uid="{9AE48205-2B04-4CA7-849D-3B3644820DBE}">
          <x14:formula1>
            <xm:f>項目!A4:$LWG$524290</xm:f>
          </x14:formula1>
          <xm:sqref>LWP524295:LWP524318</xm:sqref>
        </x14:dataValidation>
        <x14:dataValidation type="list" allowBlank="1" showInputMessage="1" showErrorMessage="1" xr:uid="{6228C1E4-4E5F-4ED6-977E-BD9BB9EF6FD7}">
          <x14:formula1>
            <xm:f>項目!A4:$MGC$524290</xm:f>
          </x14:formula1>
          <xm:sqref>MGL524295:MGL524318</xm:sqref>
        </x14:dataValidation>
        <x14:dataValidation type="list" allowBlank="1" showInputMessage="1" showErrorMessage="1" xr:uid="{2ECA70F0-6F15-4BDD-BA7F-A4B7960FFCF2}">
          <x14:formula1>
            <xm:f>項目!A4:$MPY$524290</xm:f>
          </x14:formula1>
          <xm:sqref>MQH524295:MQH524318</xm:sqref>
        </x14:dataValidation>
        <x14:dataValidation type="list" allowBlank="1" showInputMessage="1" showErrorMessage="1" xr:uid="{64CF6699-A79E-4BBC-BCC5-4B1A0A2F6158}">
          <x14:formula1>
            <xm:f>項目!A4:$MZU$524290</xm:f>
          </x14:formula1>
          <xm:sqref>NAD524295:NAD524318</xm:sqref>
        </x14:dataValidation>
        <x14:dataValidation type="list" allowBlank="1" showInputMessage="1" showErrorMessage="1" xr:uid="{9C6FA1C9-CC80-4ABA-88BD-22BC17A85943}">
          <x14:formula1>
            <xm:f>項目!A4:$NJQ$524290</xm:f>
          </x14:formula1>
          <xm:sqref>NJZ524295:NJZ524318</xm:sqref>
        </x14:dataValidation>
        <x14:dataValidation type="list" allowBlank="1" showInputMessage="1" showErrorMessage="1" xr:uid="{493C6FF9-EA60-4892-BBDC-4C8C24581235}">
          <x14:formula1>
            <xm:f>項目!A4:$NTM$524290</xm:f>
          </x14:formula1>
          <xm:sqref>NTV524295:NTV524318</xm:sqref>
        </x14:dataValidation>
        <x14:dataValidation type="list" allowBlank="1" showInputMessage="1" showErrorMessage="1" xr:uid="{81A59167-1742-4C92-B861-5DA33FEE76DC}">
          <x14:formula1>
            <xm:f>項目!A4:$ODI$524290</xm:f>
          </x14:formula1>
          <xm:sqref>ODR524295:ODR524318</xm:sqref>
        </x14:dataValidation>
        <x14:dataValidation type="list" allowBlank="1" showInputMessage="1" showErrorMessage="1" xr:uid="{1B011229-1089-42C6-8468-53911E026EC6}">
          <x14:formula1>
            <xm:f>項目!A4:$ONE$524290</xm:f>
          </x14:formula1>
          <xm:sqref>ONN524295:ONN524318</xm:sqref>
        </x14:dataValidation>
        <x14:dataValidation type="list" allowBlank="1" showInputMessage="1" showErrorMessage="1" xr:uid="{B25B680A-EFCF-4B9E-A826-F45500B1C113}">
          <x14:formula1>
            <xm:f>項目!A4:$OXA$524290</xm:f>
          </x14:formula1>
          <xm:sqref>OXJ524295:OXJ524318</xm:sqref>
        </x14:dataValidation>
        <x14:dataValidation type="list" allowBlank="1" showInputMessage="1" showErrorMessage="1" xr:uid="{EE09D5C2-8FC0-4566-8A2A-231BBBEE6E92}">
          <x14:formula1>
            <xm:f>項目!A4:$PGW$524290</xm:f>
          </x14:formula1>
          <xm:sqref>PHF524295:PHF524318</xm:sqref>
        </x14:dataValidation>
        <x14:dataValidation type="list" allowBlank="1" showInputMessage="1" showErrorMessage="1" xr:uid="{927B1784-30DC-4FEB-BF29-0CAF6FF5A994}">
          <x14:formula1>
            <xm:f>項目!A4:$PQS$524290</xm:f>
          </x14:formula1>
          <xm:sqref>PRB524295:PRB524318</xm:sqref>
        </x14:dataValidation>
        <x14:dataValidation type="list" allowBlank="1" showInputMessage="1" showErrorMessage="1" xr:uid="{2F495F5B-15C9-4F21-8334-8B741EF4908C}">
          <x14:formula1>
            <xm:f>項目!A4:$QAO$524290</xm:f>
          </x14:formula1>
          <xm:sqref>QAX524295:QAX524318</xm:sqref>
        </x14:dataValidation>
        <x14:dataValidation type="list" allowBlank="1" showInputMessage="1" showErrorMessage="1" xr:uid="{DC7A08AF-0C1E-47CA-8B1E-335A296922AE}">
          <x14:formula1>
            <xm:f>項目!A4:$QKK$524290</xm:f>
          </x14:formula1>
          <xm:sqref>QKT524295:QKT524318</xm:sqref>
        </x14:dataValidation>
        <x14:dataValidation type="list" allowBlank="1" showInputMessage="1" showErrorMessage="1" xr:uid="{2E43F44D-92DA-4B58-8CAB-03B549CF151B}">
          <x14:formula1>
            <xm:f>項目!A4:$QUG$524290</xm:f>
          </x14:formula1>
          <xm:sqref>QUP524295:QUP524318</xm:sqref>
        </x14:dataValidation>
        <x14:dataValidation type="list" allowBlank="1" showInputMessage="1" showErrorMessage="1" xr:uid="{DE8E04F0-BAB1-47A8-BBF0-E3E7D7C26A4E}">
          <x14:formula1>
            <xm:f>項目!A4:$REC$524290</xm:f>
          </x14:formula1>
          <xm:sqref>REL524295:REL524318</xm:sqref>
        </x14:dataValidation>
        <x14:dataValidation type="list" allowBlank="1" showInputMessage="1" showErrorMessage="1" xr:uid="{108C4403-8001-4CB8-AF42-64BCC1C1DB09}">
          <x14:formula1>
            <xm:f>項目!A4:$RNY$524290</xm:f>
          </x14:formula1>
          <xm:sqref>ROH524295:ROH524318</xm:sqref>
        </x14:dataValidation>
        <x14:dataValidation type="list" allowBlank="1" showInputMessage="1" showErrorMessage="1" xr:uid="{434F2EBA-6067-4285-A271-32FAED3C20F6}">
          <x14:formula1>
            <xm:f>項目!A4:$RXU$524290</xm:f>
          </x14:formula1>
          <xm:sqref>RYD524295:RYD524318</xm:sqref>
        </x14:dataValidation>
        <x14:dataValidation type="list" allowBlank="1" showInputMessage="1" showErrorMessage="1" xr:uid="{6DBCF4D8-4658-498F-BF1C-C47758CE47D3}">
          <x14:formula1>
            <xm:f>項目!A4:$SHQ$524290</xm:f>
          </x14:formula1>
          <xm:sqref>SHZ524295:SHZ524318</xm:sqref>
        </x14:dataValidation>
        <x14:dataValidation type="list" allowBlank="1" showInputMessage="1" showErrorMessage="1" xr:uid="{C03E02F6-2E7B-4E8D-BE42-1956924FA99F}">
          <x14:formula1>
            <xm:f>項目!A4:$SRM$524290</xm:f>
          </x14:formula1>
          <xm:sqref>SRV524295:SRV524318</xm:sqref>
        </x14:dataValidation>
        <x14:dataValidation type="list" allowBlank="1" showInputMessage="1" showErrorMessage="1" xr:uid="{2380C9F6-CE57-48B2-8216-C15A81F38989}">
          <x14:formula1>
            <xm:f>項目!A4:$TBI$524290</xm:f>
          </x14:formula1>
          <xm:sqref>TBR524295:TBR524318</xm:sqref>
        </x14:dataValidation>
        <x14:dataValidation type="list" allowBlank="1" showInputMessage="1" showErrorMessage="1" xr:uid="{5931EAC1-B470-4D17-AA41-39520CF3A4DD}">
          <x14:formula1>
            <xm:f>項目!A4:$TLE$524290</xm:f>
          </x14:formula1>
          <xm:sqref>TLN524295:TLN524318</xm:sqref>
        </x14:dataValidation>
        <x14:dataValidation type="list" allowBlank="1" showInputMessage="1" showErrorMessage="1" xr:uid="{B6C21805-9152-4E76-8026-889E11DFD5E3}">
          <x14:formula1>
            <xm:f>項目!A4:$TVA$524290</xm:f>
          </x14:formula1>
          <xm:sqref>TVJ524295:TVJ524318</xm:sqref>
        </x14:dataValidation>
        <x14:dataValidation type="list" allowBlank="1" showInputMessage="1" showErrorMessage="1" xr:uid="{EBB79D34-97F6-4C69-B44A-104DBBDD6D80}">
          <x14:formula1>
            <xm:f>項目!A4:$UEW$524290</xm:f>
          </x14:formula1>
          <xm:sqref>UFF524295:UFF524318</xm:sqref>
        </x14:dataValidation>
        <x14:dataValidation type="list" allowBlank="1" showInputMessage="1" showErrorMessage="1" xr:uid="{C1E66F01-F437-424A-B0CC-2B79C545947C}">
          <x14:formula1>
            <xm:f>項目!A4:$UOS$524290</xm:f>
          </x14:formula1>
          <xm:sqref>UPB524295:UPB524318</xm:sqref>
        </x14:dataValidation>
        <x14:dataValidation type="list" allowBlank="1" showInputMessage="1" showErrorMessage="1" xr:uid="{B20DD6FC-DB1C-4F97-95C3-849587E5D1D7}">
          <x14:formula1>
            <xm:f>項目!A4:$UYO$524290</xm:f>
          </x14:formula1>
          <xm:sqref>UYX524295:UYX524318</xm:sqref>
        </x14:dataValidation>
        <x14:dataValidation type="list" allowBlank="1" showInputMessage="1" showErrorMessage="1" xr:uid="{02C341E0-649F-4D59-B7A7-EE05344451EA}">
          <x14:formula1>
            <xm:f>項目!A4:$VIK$524290</xm:f>
          </x14:formula1>
          <xm:sqref>VIT524295:VIT524318</xm:sqref>
        </x14:dataValidation>
        <x14:dataValidation type="list" allowBlank="1" showInputMessage="1" showErrorMessage="1" xr:uid="{0583820E-0A8D-4927-BC92-2138B7DEAE9D}">
          <x14:formula1>
            <xm:f>項目!A4:$VSG$524290</xm:f>
          </x14:formula1>
          <xm:sqref>VSP524295:VSP524318</xm:sqref>
        </x14:dataValidation>
        <x14:dataValidation type="list" allowBlank="1" showInputMessage="1" showErrorMessage="1" xr:uid="{DC320366-91B4-4FF3-A378-94465BF77E4E}">
          <x14:formula1>
            <xm:f>項目!A4:$WCC$524290</xm:f>
          </x14:formula1>
          <xm:sqref>WCL524295:WCL524318</xm:sqref>
        </x14:dataValidation>
        <x14:dataValidation type="list" allowBlank="1" showInputMessage="1" showErrorMessage="1" xr:uid="{775C41C2-7661-4F8E-B0AE-1455CC7D309C}">
          <x14:formula1>
            <xm:f>項目!A4:$WLY$524290</xm:f>
          </x14:formula1>
          <xm:sqref>WMH524295:WMH524318</xm:sqref>
        </x14:dataValidation>
        <x14:dataValidation type="list" allowBlank="1" showInputMessage="1" showErrorMessage="1" xr:uid="{0C0DB1E9-51CF-4CC9-837C-253C0FAE5231}">
          <x14:formula1>
            <xm:f>項目!A4:$WVU$524290</xm:f>
          </x14:formula1>
          <xm:sqref>WWD524295:WWD524318</xm:sqref>
        </x14:dataValidation>
        <x14:dataValidation type="list" allowBlank="1" showInputMessage="1" showErrorMessage="1" xr:uid="{9D708D2D-68E1-4E28-8876-7F5AAB0C7115}">
          <x14:formula1>
            <xm:f>項目!A4:$N$589826</xm:f>
          </x14:formula1>
          <xm:sqref>V589831:V589854</xm:sqref>
        </x14:dataValidation>
        <x14:dataValidation type="list" allowBlank="1" showInputMessage="1" showErrorMessage="1" xr:uid="{85C0BF35-BD5E-4FC9-8311-C9EEA9A972AF}">
          <x14:formula1>
            <xm:f>項目!A4:$JI$589826</xm:f>
          </x14:formula1>
          <xm:sqref>JR589831:JR589854</xm:sqref>
        </x14:dataValidation>
        <x14:dataValidation type="list" allowBlank="1" showInputMessage="1" showErrorMessage="1" xr:uid="{042063A6-F52C-4586-8937-EFEA98087671}">
          <x14:formula1>
            <xm:f>項目!A4:$TE$589826</xm:f>
          </x14:formula1>
          <xm:sqref>TN589831:TN589854</xm:sqref>
        </x14:dataValidation>
        <x14:dataValidation type="list" allowBlank="1" showInputMessage="1" showErrorMessage="1" xr:uid="{8566688F-F95D-428C-B61F-43ED894FD414}">
          <x14:formula1>
            <xm:f>項目!A4:$ADA$589826</xm:f>
          </x14:formula1>
          <xm:sqref>ADJ589831:ADJ589854</xm:sqref>
        </x14:dataValidation>
        <x14:dataValidation type="list" allowBlank="1" showInputMessage="1" showErrorMessage="1" xr:uid="{6C52089D-5BD9-4CD2-B5F0-6DCC02C74E90}">
          <x14:formula1>
            <xm:f>項目!A4:$AMW$589826</xm:f>
          </x14:formula1>
          <xm:sqref>ANF589831:ANF589854</xm:sqref>
        </x14:dataValidation>
        <x14:dataValidation type="list" allowBlank="1" showInputMessage="1" showErrorMessage="1" xr:uid="{681F2599-890F-42DF-A689-92920EC972D9}">
          <x14:formula1>
            <xm:f>項目!A4:$AWS$589826</xm:f>
          </x14:formula1>
          <xm:sqref>AXB589831:AXB589854</xm:sqref>
        </x14:dataValidation>
        <x14:dataValidation type="list" allowBlank="1" showInputMessage="1" showErrorMessage="1" xr:uid="{49EF99CA-B969-4A96-BAD2-19CD6E6381BE}">
          <x14:formula1>
            <xm:f>項目!A4:$BGO$589826</xm:f>
          </x14:formula1>
          <xm:sqref>BGX589831:BGX589854</xm:sqref>
        </x14:dataValidation>
        <x14:dataValidation type="list" allowBlank="1" showInputMessage="1" showErrorMessage="1" xr:uid="{D48CC97B-A502-4095-8149-174DBB35C11F}">
          <x14:formula1>
            <xm:f>項目!A4:$BQK$589826</xm:f>
          </x14:formula1>
          <xm:sqref>BQT589831:BQT589854</xm:sqref>
        </x14:dataValidation>
        <x14:dataValidation type="list" allowBlank="1" showInputMessage="1" showErrorMessage="1" xr:uid="{EEAF57EE-75BE-4CE3-89A2-EC6F7102E39B}">
          <x14:formula1>
            <xm:f>項目!A4:$CAG$589826</xm:f>
          </x14:formula1>
          <xm:sqref>CAP589831:CAP589854</xm:sqref>
        </x14:dataValidation>
        <x14:dataValidation type="list" allowBlank="1" showInputMessage="1" showErrorMessage="1" xr:uid="{051313E0-5684-4B8B-9919-2407F5BAC3B7}">
          <x14:formula1>
            <xm:f>項目!A4:$CKC$589826</xm:f>
          </x14:formula1>
          <xm:sqref>CKL589831:CKL589854</xm:sqref>
        </x14:dataValidation>
        <x14:dataValidation type="list" allowBlank="1" showInputMessage="1" showErrorMessage="1" xr:uid="{99B82C1A-559F-409A-AEF1-7E15B13151FF}">
          <x14:formula1>
            <xm:f>項目!A4:$CTY$589826</xm:f>
          </x14:formula1>
          <xm:sqref>CUH589831:CUH589854</xm:sqref>
        </x14:dataValidation>
        <x14:dataValidation type="list" allowBlank="1" showInputMessage="1" showErrorMessage="1" xr:uid="{1E39A676-5116-471F-A949-F6B14EC219E8}">
          <x14:formula1>
            <xm:f>項目!A4:$DDU$589826</xm:f>
          </x14:formula1>
          <xm:sqref>DED589831:DED589854</xm:sqref>
        </x14:dataValidation>
        <x14:dataValidation type="list" allowBlank="1" showInputMessage="1" showErrorMessage="1" xr:uid="{3CBC7058-C815-49C7-83A6-AEB2FA9F9671}">
          <x14:formula1>
            <xm:f>項目!A4:$DNQ$589826</xm:f>
          </x14:formula1>
          <xm:sqref>DNZ589831:DNZ589854</xm:sqref>
        </x14:dataValidation>
        <x14:dataValidation type="list" allowBlank="1" showInputMessage="1" showErrorMessage="1" xr:uid="{711D455D-89A9-4013-8565-40C8F07F873A}">
          <x14:formula1>
            <xm:f>項目!A4:$DXM$589826</xm:f>
          </x14:formula1>
          <xm:sqref>DXV589831:DXV589854</xm:sqref>
        </x14:dataValidation>
        <x14:dataValidation type="list" allowBlank="1" showInputMessage="1" showErrorMessage="1" xr:uid="{0A15B7A2-AB68-4CEE-9CEA-A41039D12D30}">
          <x14:formula1>
            <xm:f>項目!A4:$EHI$589826</xm:f>
          </x14:formula1>
          <xm:sqref>EHR589831:EHR589854</xm:sqref>
        </x14:dataValidation>
        <x14:dataValidation type="list" allowBlank="1" showInputMessage="1" showErrorMessage="1" xr:uid="{8E0EFDB8-6021-4458-AE1C-CC2E75370840}">
          <x14:formula1>
            <xm:f>項目!A4:$ERE$589826</xm:f>
          </x14:formula1>
          <xm:sqref>ERN589831:ERN589854</xm:sqref>
        </x14:dataValidation>
        <x14:dataValidation type="list" allowBlank="1" showInputMessage="1" showErrorMessage="1" xr:uid="{C8ACA38F-70FD-4E9B-A5CE-5CEC62A9A3E4}">
          <x14:formula1>
            <xm:f>項目!A4:$FBA$589826</xm:f>
          </x14:formula1>
          <xm:sqref>FBJ589831:FBJ589854</xm:sqref>
        </x14:dataValidation>
        <x14:dataValidation type="list" allowBlank="1" showInputMessage="1" showErrorMessage="1" xr:uid="{DC8E71E1-2932-4441-80E8-07F15B713BAE}">
          <x14:formula1>
            <xm:f>項目!A4:$FKW$589826</xm:f>
          </x14:formula1>
          <xm:sqref>FLF589831:FLF589854</xm:sqref>
        </x14:dataValidation>
        <x14:dataValidation type="list" allowBlank="1" showInputMessage="1" showErrorMessage="1" xr:uid="{557D130F-E3B1-43D5-A97C-841893BA6835}">
          <x14:formula1>
            <xm:f>項目!A4:$FUS$589826</xm:f>
          </x14:formula1>
          <xm:sqref>FVB589831:FVB589854</xm:sqref>
        </x14:dataValidation>
        <x14:dataValidation type="list" allowBlank="1" showInputMessage="1" showErrorMessage="1" xr:uid="{6BD01DDE-63E0-4DEF-8FED-CEBC240CE915}">
          <x14:formula1>
            <xm:f>項目!A4:$GEO$589826</xm:f>
          </x14:formula1>
          <xm:sqref>GEX589831:GEX589854</xm:sqref>
        </x14:dataValidation>
        <x14:dataValidation type="list" allowBlank="1" showInputMessage="1" showErrorMessage="1" xr:uid="{C537BFCE-C24B-4059-9B61-F5495210D34C}">
          <x14:formula1>
            <xm:f>項目!A4:$GOK$589826</xm:f>
          </x14:formula1>
          <xm:sqref>GOT589831:GOT589854</xm:sqref>
        </x14:dataValidation>
        <x14:dataValidation type="list" allowBlank="1" showInputMessage="1" showErrorMessage="1" xr:uid="{0D2E86AE-844F-4B6A-8F7F-F0963A717405}">
          <x14:formula1>
            <xm:f>項目!A4:$GYG$589826</xm:f>
          </x14:formula1>
          <xm:sqref>GYP589831:GYP589854</xm:sqref>
        </x14:dataValidation>
        <x14:dataValidation type="list" allowBlank="1" showInputMessage="1" showErrorMessage="1" xr:uid="{75B7EA35-0818-49D6-825F-7BB123AA71AD}">
          <x14:formula1>
            <xm:f>項目!A4:$HIC$589826</xm:f>
          </x14:formula1>
          <xm:sqref>HIL589831:HIL589854</xm:sqref>
        </x14:dataValidation>
        <x14:dataValidation type="list" allowBlank="1" showInputMessage="1" showErrorMessage="1" xr:uid="{129F754C-75BA-4C4E-99F8-1F3FFA078EC7}">
          <x14:formula1>
            <xm:f>項目!A4:$HRY$589826</xm:f>
          </x14:formula1>
          <xm:sqref>HSH589831:HSH589854</xm:sqref>
        </x14:dataValidation>
        <x14:dataValidation type="list" allowBlank="1" showInputMessage="1" showErrorMessage="1" xr:uid="{6DA0AB58-749C-4662-A840-ACE92FB9248D}">
          <x14:formula1>
            <xm:f>項目!A4:$IBU$589826</xm:f>
          </x14:formula1>
          <xm:sqref>ICD589831:ICD589854</xm:sqref>
        </x14:dataValidation>
        <x14:dataValidation type="list" allowBlank="1" showInputMessage="1" showErrorMessage="1" xr:uid="{6083C99D-1A73-4534-8EEB-F07012F877F7}">
          <x14:formula1>
            <xm:f>項目!A4:$ILQ$589826</xm:f>
          </x14:formula1>
          <xm:sqref>ILZ589831:ILZ589854</xm:sqref>
        </x14:dataValidation>
        <x14:dataValidation type="list" allowBlank="1" showInputMessage="1" showErrorMessage="1" xr:uid="{9746D5DA-E5AC-48FD-BA34-3AB5DADF64A3}">
          <x14:formula1>
            <xm:f>項目!A4:$IVM$589826</xm:f>
          </x14:formula1>
          <xm:sqref>IVV589831:IVV589854</xm:sqref>
        </x14:dataValidation>
        <x14:dataValidation type="list" allowBlank="1" showInputMessage="1" showErrorMessage="1" xr:uid="{4A73795F-5CF4-43B4-BE43-A7E30581E7C9}">
          <x14:formula1>
            <xm:f>項目!A4:$JFI$589826</xm:f>
          </x14:formula1>
          <xm:sqref>JFR589831:JFR589854</xm:sqref>
        </x14:dataValidation>
        <x14:dataValidation type="list" allowBlank="1" showInputMessage="1" showErrorMessage="1" xr:uid="{91B93386-2ABE-4397-9707-B76DC5A76243}">
          <x14:formula1>
            <xm:f>項目!A4:$JPE$589826</xm:f>
          </x14:formula1>
          <xm:sqref>JPN589831:JPN589854</xm:sqref>
        </x14:dataValidation>
        <x14:dataValidation type="list" allowBlank="1" showInputMessage="1" showErrorMessage="1" xr:uid="{B897F690-0AE8-4C55-A021-F84B531152EA}">
          <x14:formula1>
            <xm:f>項目!A4:$JZA$589826</xm:f>
          </x14:formula1>
          <xm:sqref>JZJ589831:JZJ589854</xm:sqref>
        </x14:dataValidation>
        <x14:dataValidation type="list" allowBlank="1" showInputMessage="1" showErrorMessage="1" xr:uid="{51E4BDDA-BE66-4EF5-AC49-462530790C34}">
          <x14:formula1>
            <xm:f>項目!A4:$KIW$589826</xm:f>
          </x14:formula1>
          <xm:sqref>KJF589831:KJF589854</xm:sqref>
        </x14:dataValidation>
        <x14:dataValidation type="list" allowBlank="1" showInputMessage="1" showErrorMessage="1" xr:uid="{268E5D25-C78B-4C19-A74D-17C19C1BD6F5}">
          <x14:formula1>
            <xm:f>項目!A4:$KSS$589826</xm:f>
          </x14:formula1>
          <xm:sqref>KTB589831:KTB589854</xm:sqref>
        </x14:dataValidation>
        <x14:dataValidation type="list" allowBlank="1" showInputMessage="1" showErrorMessage="1" xr:uid="{1C6EC7C8-0E12-4664-9D05-6657A9F1768B}">
          <x14:formula1>
            <xm:f>項目!A4:$LCO$589826</xm:f>
          </x14:formula1>
          <xm:sqref>LCX589831:LCX589854</xm:sqref>
        </x14:dataValidation>
        <x14:dataValidation type="list" allowBlank="1" showInputMessage="1" showErrorMessage="1" xr:uid="{5D2E6040-3FC8-4297-BE05-894AE1E065A1}">
          <x14:formula1>
            <xm:f>項目!A4:$LMK$589826</xm:f>
          </x14:formula1>
          <xm:sqref>LMT589831:LMT589854</xm:sqref>
        </x14:dataValidation>
        <x14:dataValidation type="list" allowBlank="1" showInputMessage="1" showErrorMessage="1" xr:uid="{F6B0467B-A3B0-45AC-B668-80F62A215501}">
          <x14:formula1>
            <xm:f>項目!A4:$LWG$589826</xm:f>
          </x14:formula1>
          <xm:sqref>LWP589831:LWP589854</xm:sqref>
        </x14:dataValidation>
        <x14:dataValidation type="list" allowBlank="1" showInputMessage="1" showErrorMessage="1" xr:uid="{8E6E931D-7A46-44D2-9F12-62831B0D65FC}">
          <x14:formula1>
            <xm:f>項目!A4:$MGC$589826</xm:f>
          </x14:formula1>
          <xm:sqref>MGL589831:MGL589854</xm:sqref>
        </x14:dataValidation>
        <x14:dataValidation type="list" allowBlank="1" showInputMessage="1" showErrorMessage="1" xr:uid="{67852A56-348E-4F09-B013-7A9DD9D78278}">
          <x14:formula1>
            <xm:f>項目!A4:$MPY$589826</xm:f>
          </x14:formula1>
          <xm:sqref>MQH589831:MQH589854</xm:sqref>
        </x14:dataValidation>
        <x14:dataValidation type="list" allowBlank="1" showInputMessage="1" showErrorMessage="1" xr:uid="{A6D2D268-1771-4CCC-9B2F-A828B6EB4EBB}">
          <x14:formula1>
            <xm:f>項目!A4:$MZU$589826</xm:f>
          </x14:formula1>
          <xm:sqref>NAD589831:NAD589854</xm:sqref>
        </x14:dataValidation>
        <x14:dataValidation type="list" allowBlank="1" showInputMessage="1" showErrorMessage="1" xr:uid="{F75936B2-8D21-4891-840F-4931BBB7F9A5}">
          <x14:formula1>
            <xm:f>項目!A4:$NJQ$589826</xm:f>
          </x14:formula1>
          <xm:sqref>NJZ589831:NJZ589854</xm:sqref>
        </x14:dataValidation>
        <x14:dataValidation type="list" allowBlank="1" showInputMessage="1" showErrorMessage="1" xr:uid="{EA01610D-04A0-4AAD-82F1-D3812AABC24F}">
          <x14:formula1>
            <xm:f>項目!A4:$NTM$589826</xm:f>
          </x14:formula1>
          <xm:sqref>NTV589831:NTV589854</xm:sqref>
        </x14:dataValidation>
        <x14:dataValidation type="list" allowBlank="1" showInputMessage="1" showErrorMessage="1" xr:uid="{157D008D-5022-4520-A910-35EC6D9D9FFE}">
          <x14:formula1>
            <xm:f>項目!A4:$ODI$589826</xm:f>
          </x14:formula1>
          <xm:sqref>ODR589831:ODR589854</xm:sqref>
        </x14:dataValidation>
        <x14:dataValidation type="list" allowBlank="1" showInputMessage="1" showErrorMessage="1" xr:uid="{192EA16D-00FE-4D87-95A1-F9CBF5D9DFF5}">
          <x14:formula1>
            <xm:f>項目!A4:$ONE$589826</xm:f>
          </x14:formula1>
          <xm:sqref>ONN589831:ONN589854</xm:sqref>
        </x14:dataValidation>
        <x14:dataValidation type="list" allowBlank="1" showInputMessage="1" showErrorMessage="1" xr:uid="{F8A4654D-462E-4765-A06C-5624F68A62C6}">
          <x14:formula1>
            <xm:f>項目!A4:$OXA$589826</xm:f>
          </x14:formula1>
          <xm:sqref>OXJ589831:OXJ589854</xm:sqref>
        </x14:dataValidation>
        <x14:dataValidation type="list" allowBlank="1" showInputMessage="1" showErrorMessage="1" xr:uid="{12111C1C-626A-4E13-AEEC-0BBD46B5628E}">
          <x14:formula1>
            <xm:f>項目!A4:$PGW$589826</xm:f>
          </x14:formula1>
          <xm:sqref>PHF589831:PHF589854</xm:sqref>
        </x14:dataValidation>
        <x14:dataValidation type="list" allowBlank="1" showInputMessage="1" showErrorMessage="1" xr:uid="{7C93F16B-DDDF-4863-BE81-D501B2A4B462}">
          <x14:formula1>
            <xm:f>項目!A4:$PQS$589826</xm:f>
          </x14:formula1>
          <xm:sqref>PRB589831:PRB589854</xm:sqref>
        </x14:dataValidation>
        <x14:dataValidation type="list" allowBlank="1" showInputMessage="1" showErrorMessage="1" xr:uid="{F7F0C0B2-2B6F-4093-B0B3-BEBCD94FB73B}">
          <x14:formula1>
            <xm:f>項目!A4:$QAO$589826</xm:f>
          </x14:formula1>
          <xm:sqref>QAX589831:QAX589854</xm:sqref>
        </x14:dataValidation>
        <x14:dataValidation type="list" allowBlank="1" showInputMessage="1" showErrorMessage="1" xr:uid="{674BF69D-9188-45D8-9CF1-D5CA3ECD2FF6}">
          <x14:formula1>
            <xm:f>項目!A4:$QKK$589826</xm:f>
          </x14:formula1>
          <xm:sqref>QKT589831:QKT589854</xm:sqref>
        </x14:dataValidation>
        <x14:dataValidation type="list" allowBlank="1" showInputMessage="1" showErrorMessage="1" xr:uid="{3B7CB085-75B2-4164-AFB9-0928B829D583}">
          <x14:formula1>
            <xm:f>項目!A4:$QUG$589826</xm:f>
          </x14:formula1>
          <xm:sqref>QUP589831:QUP589854</xm:sqref>
        </x14:dataValidation>
        <x14:dataValidation type="list" allowBlank="1" showInputMessage="1" showErrorMessage="1" xr:uid="{7F0DB272-8823-4F08-AC7C-640859223BAD}">
          <x14:formula1>
            <xm:f>項目!A4:$REC$589826</xm:f>
          </x14:formula1>
          <xm:sqref>REL589831:REL589854</xm:sqref>
        </x14:dataValidation>
        <x14:dataValidation type="list" allowBlank="1" showInputMessage="1" showErrorMessage="1" xr:uid="{4486DD44-B818-432C-A121-181230D3DAB9}">
          <x14:formula1>
            <xm:f>項目!A4:$RNY$589826</xm:f>
          </x14:formula1>
          <xm:sqref>ROH589831:ROH589854</xm:sqref>
        </x14:dataValidation>
        <x14:dataValidation type="list" allowBlank="1" showInputMessage="1" showErrorMessage="1" xr:uid="{3ADA8B87-5821-4854-A4CB-52E2370C8492}">
          <x14:formula1>
            <xm:f>項目!A4:$RXU$589826</xm:f>
          </x14:formula1>
          <xm:sqref>RYD589831:RYD589854</xm:sqref>
        </x14:dataValidation>
        <x14:dataValidation type="list" allowBlank="1" showInputMessage="1" showErrorMessage="1" xr:uid="{9303EECF-0899-4145-9A6B-4B39C5F16CEE}">
          <x14:formula1>
            <xm:f>項目!A4:$SHQ$589826</xm:f>
          </x14:formula1>
          <xm:sqref>SHZ589831:SHZ589854</xm:sqref>
        </x14:dataValidation>
        <x14:dataValidation type="list" allowBlank="1" showInputMessage="1" showErrorMessage="1" xr:uid="{D11F4A08-8FD6-4325-9A7A-D59BD2F253C2}">
          <x14:formula1>
            <xm:f>項目!A4:$SRM$589826</xm:f>
          </x14:formula1>
          <xm:sqref>SRV589831:SRV589854</xm:sqref>
        </x14:dataValidation>
        <x14:dataValidation type="list" allowBlank="1" showInputMessage="1" showErrorMessage="1" xr:uid="{4D302897-E4F0-477C-B50C-333F1D2DAED9}">
          <x14:formula1>
            <xm:f>項目!A4:$TBI$589826</xm:f>
          </x14:formula1>
          <xm:sqref>TBR589831:TBR589854</xm:sqref>
        </x14:dataValidation>
        <x14:dataValidation type="list" allowBlank="1" showInputMessage="1" showErrorMessage="1" xr:uid="{CA21388B-31FE-450B-9EE5-CA8ED43899AE}">
          <x14:formula1>
            <xm:f>項目!A4:$TLE$589826</xm:f>
          </x14:formula1>
          <xm:sqref>TLN589831:TLN589854</xm:sqref>
        </x14:dataValidation>
        <x14:dataValidation type="list" allowBlank="1" showInputMessage="1" showErrorMessage="1" xr:uid="{D487EA00-6F2B-4078-AD2C-4A50548BD4EA}">
          <x14:formula1>
            <xm:f>項目!A4:$TVA$589826</xm:f>
          </x14:formula1>
          <xm:sqref>TVJ589831:TVJ589854</xm:sqref>
        </x14:dataValidation>
        <x14:dataValidation type="list" allowBlank="1" showInputMessage="1" showErrorMessage="1" xr:uid="{6120ACAF-A9D5-4B7C-AF65-9129ECB4FCE5}">
          <x14:formula1>
            <xm:f>項目!A4:$UEW$589826</xm:f>
          </x14:formula1>
          <xm:sqref>UFF589831:UFF589854</xm:sqref>
        </x14:dataValidation>
        <x14:dataValidation type="list" allowBlank="1" showInputMessage="1" showErrorMessage="1" xr:uid="{97AF1226-0443-4C29-BEAE-6D92C27E4F6E}">
          <x14:formula1>
            <xm:f>項目!A4:$UOS$589826</xm:f>
          </x14:formula1>
          <xm:sqref>UPB589831:UPB589854</xm:sqref>
        </x14:dataValidation>
        <x14:dataValidation type="list" allowBlank="1" showInputMessage="1" showErrorMessage="1" xr:uid="{ED37BED3-76B4-4AA7-A314-0ADB3FD2F955}">
          <x14:formula1>
            <xm:f>項目!A4:$UYO$589826</xm:f>
          </x14:formula1>
          <xm:sqref>UYX589831:UYX589854</xm:sqref>
        </x14:dataValidation>
        <x14:dataValidation type="list" allowBlank="1" showInputMessage="1" showErrorMessage="1" xr:uid="{91043A69-0723-4413-AC3D-C224504C47E3}">
          <x14:formula1>
            <xm:f>項目!A4:$VIK$589826</xm:f>
          </x14:formula1>
          <xm:sqref>VIT589831:VIT589854</xm:sqref>
        </x14:dataValidation>
        <x14:dataValidation type="list" allowBlank="1" showInputMessage="1" showErrorMessage="1" xr:uid="{CC9BD157-5052-4D24-A325-A40FC84F72D7}">
          <x14:formula1>
            <xm:f>項目!A4:$VSG$589826</xm:f>
          </x14:formula1>
          <xm:sqref>VSP589831:VSP589854</xm:sqref>
        </x14:dataValidation>
        <x14:dataValidation type="list" allowBlank="1" showInputMessage="1" showErrorMessage="1" xr:uid="{745A675F-28A9-4E35-9015-00F59B1E16FB}">
          <x14:formula1>
            <xm:f>項目!A4:$WCC$589826</xm:f>
          </x14:formula1>
          <xm:sqref>WCL589831:WCL589854</xm:sqref>
        </x14:dataValidation>
        <x14:dataValidation type="list" allowBlank="1" showInputMessage="1" showErrorMessage="1" xr:uid="{42796191-058B-4FCD-A62A-8863E7D7C781}">
          <x14:formula1>
            <xm:f>項目!A4:$WLY$589826</xm:f>
          </x14:formula1>
          <xm:sqref>WMH589831:WMH589854</xm:sqref>
        </x14:dataValidation>
        <x14:dataValidation type="list" allowBlank="1" showInputMessage="1" showErrorMessage="1" xr:uid="{1DB6FF97-4CBB-4F05-A0B7-46D5EDD9A0B2}">
          <x14:formula1>
            <xm:f>項目!A4:$WVU$589826</xm:f>
          </x14:formula1>
          <xm:sqref>WWD589831:WWD589854</xm:sqref>
        </x14:dataValidation>
        <x14:dataValidation type="list" allowBlank="1" showInputMessage="1" showErrorMessage="1" xr:uid="{AB87FC23-DACE-47E0-94B1-D5CC671E679E}">
          <x14:formula1>
            <xm:f>項目!A4:$N$655362</xm:f>
          </x14:formula1>
          <xm:sqref>V655367:V655390</xm:sqref>
        </x14:dataValidation>
        <x14:dataValidation type="list" allowBlank="1" showInputMessage="1" showErrorMessage="1" xr:uid="{B288E7DE-5405-4882-A7F3-F50092D27D34}">
          <x14:formula1>
            <xm:f>項目!A4:$JI$655362</xm:f>
          </x14:formula1>
          <xm:sqref>JR655367:JR655390</xm:sqref>
        </x14:dataValidation>
        <x14:dataValidation type="list" allowBlank="1" showInputMessage="1" showErrorMessage="1" xr:uid="{66B2DBC3-0579-48B4-9C00-D6C7A70F5316}">
          <x14:formula1>
            <xm:f>項目!A4:$TE$655362</xm:f>
          </x14:formula1>
          <xm:sqref>TN655367:TN655390</xm:sqref>
        </x14:dataValidation>
        <x14:dataValidation type="list" allowBlank="1" showInputMessage="1" showErrorMessage="1" xr:uid="{EDE56124-B0E2-4269-85F4-607944F988B9}">
          <x14:formula1>
            <xm:f>項目!A4:$ADA$655362</xm:f>
          </x14:formula1>
          <xm:sqref>ADJ655367:ADJ655390</xm:sqref>
        </x14:dataValidation>
        <x14:dataValidation type="list" allowBlank="1" showInputMessage="1" showErrorMessage="1" xr:uid="{13F25A3E-B848-4655-A312-2EF7DD435F15}">
          <x14:formula1>
            <xm:f>項目!A4:$AMW$655362</xm:f>
          </x14:formula1>
          <xm:sqref>ANF655367:ANF655390</xm:sqref>
        </x14:dataValidation>
        <x14:dataValidation type="list" allowBlank="1" showInputMessage="1" showErrorMessage="1" xr:uid="{B4664289-CFF8-46E7-AF99-598E840ACDCC}">
          <x14:formula1>
            <xm:f>項目!A4:$AWS$655362</xm:f>
          </x14:formula1>
          <xm:sqref>AXB655367:AXB655390</xm:sqref>
        </x14:dataValidation>
        <x14:dataValidation type="list" allowBlank="1" showInputMessage="1" showErrorMessage="1" xr:uid="{A1065A10-1A14-4FF4-A5B1-29A01F321211}">
          <x14:formula1>
            <xm:f>項目!A4:$BGO$655362</xm:f>
          </x14:formula1>
          <xm:sqref>BGX655367:BGX655390</xm:sqref>
        </x14:dataValidation>
        <x14:dataValidation type="list" allowBlank="1" showInputMessage="1" showErrorMessage="1" xr:uid="{83D2B5ED-ECA6-4366-B696-3F9E977C8CB3}">
          <x14:formula1>
            <xm:f>項目!A4:$BQK$655362</xm:f>
          </x14:formula1>
          <xm:sqref>BQT655367:BQT655390</xm:sqref>
        </x14:dataValidation>
        <x14:dataValidation type="list" allowBlank="1" showInputMessage="1" showErrorMessage="1" xr:uid="{879E6FB7-36D4-4971-B17C-812DAA345549}">
          <x14:formula1>
            <xm:f>項目!A4:$CAG$655362</xm:f>
          </x14:formula1>
          <xm:sqref>CAP655367:CAP655390</xm:sqref>
        </x14:dataValidation>
        <x14:dataValidation type="list" allowBlank="1" showInputMessage="1" showErrorMessage="1" xr:uid="{7174FE7A-7909-48CA-8F57-B4C51510094C}">
          <x14:formula1>
            <xm:f>項目!A4:$CKC$655362</xm:f>
          </x14:formula1>
          <xm:sqref>CKL655367:CKL655390</xm:sqref>
        </x14:dataValidation>
        <x14:dataValidation type="list" allowBlank="1" showInputMessage="1" showErrorMessage="1" xr:uid="{DF93E050-9D8B-4C2C-866F-C56A734CBB34}">
          <x14:formula1>
            <xm:f>項目!A4:$CTY$655362</xm:f>
          </x14:formula1>
          <xm:sqref>CUH655367:CUH655390</xm:sqref>
        </x14:dataValidation>
        <x14:dataValidation type="list" allowBlank="1" showInputMessage="1" showErrorMessage="1" xr:uid="{646172B2-FBA6-4C59-98EE-481F7293B7EF}">
          <x14:formula1>
            <xm:f>項目!A4:$DDU$655362</xm:f>
          </x14:formula1>
          <xm:sqref>DED655367:DED655390</xm:sqref>
        </x14:dataValidation>
        <x14:dataValidation type="list" allowBlank="1" showInputMessage="1" showErrorMessage="1" xr:uid="{5414A526-0A97-4199-9B77-F833077F7D41}">
          <x14:formula1>
            <xm:f>項目!A4:$DNQ$655362</xm:f>
          </x14:formula1>
          <xm:sqref>DNZ655367:DNZ655390</xm:sqref>
        </x14:dataValidation>
        <x14:dataValidation type="list" allowBlank="1" showInputMessage="1" showErrorMessage="1" xr:uid="{63412672-F908-42CB-B713-4901075C64F8}">
          <x14:formula1>
            <xm:f>項目!A4:$DXM$655362</xm:f>
          </x14:formula1>
          <xm:sqref>DXV655367:DXV655390</xm:sqref>
        </x14:dataValidation>
        <x14:dataValidation type="list" allowBlank="1" showInputMessage="1" showErrorMessage="1" xr:uid="{7F113854-A1B1-4827-9B6A-942D02ED84ED}">
          <x14:formula1>
            <xm:f>項目!A4:$EHI$655362</xm:f>
          </x14:formula1>
          <xm:sqref>EHR655367:EHR655390</xm:sqref>
        </x14:dataValidation>
        <x14:dataValidation type="list" allowBlank="1" showInputMessage="1" showErrorMessage="1" xr:uid="{02C450D8-B30C-48BC-B41B-9FE47100BCB8}">
          <x14:formula1>
            <xm:f>項目!A4:$ERE$655362</xm:f>
          </x14:formula1>
          <xm:sqref>ERN655367:ERN655390</xm:sqref>
        </x14:dataValidation>
        <x14:dataValidation type="list" allowBlank="1" showInputMessage="1" showErrorMessage="1" xr:uid="{9161C19E-84D9-4251-9B70-937746BE9D4B}">
          <x14:formula1>
            <xm:f>項目!A4:$FBA$655362</xm:f>
          </x14:formula1>
          <xm:sqref>FBJ655367:FBJ655390</xm:sqref>
        </x14:dataValidation>
        <x14:dataValidation type="list" allowBlank="1" showInputMessage="1" showErrorMessage="1" xr:uid="{3C915A97-4AE5-4386-921A-C37BFB54C8BF}">
          <x14:formula1>
            <xm:f>項目!A4:$FKW$655362</xm:f>
          </x14:formula1>
          <xm:sqref>FLF655367:FLF655390</xm:sqref>
        </x14:dataValidation>
        <x14:dataValidation type="list" allowBlank="1" showInputMessage="1" showErrorMessage="1" xr:uid="{F2AEB923-5C9D-4560-A6D8-1A38EB4BF16C}">
          <x14:formula1>
            <xm:f>項目!A4:$FUS$655362</xm:f>
          </x14:formula1>
          <xm:sqref>FVB655367:FVB655390</xm:sqref>
        </x14:dataValidation>
        <x14:dataValidation type="list" allowBlank="1" showInputMessage="1" showErrorMessage="1" xr:uid="{B317821D-2F96-4305-A4BA-BA5F95FE8283}">
          <x14:formula1>
            <xm:f>項目!A4:$GEO$655362</xm:f>
          </x14:formula1>
          <xm:sqref>GEX655367:GEX655390</xm:sqref>
        </x14:dataValidation>
        <x14:dataValidation type="list" allowBlank="1" showInputMessage="1" showErrorMessage="1" xr:uid="{AD0979FB-EBDF-4009-A90D-FA6E348E733F}">
          <x14:formula1>
            <xm:f>項目!A4:$GOK$655362</xm:f>
          </x14:formula1>
          <xm:sqref>GOT655367:GOT655390</xm:sqref>
        </x14:dataValidation>
        <x14:dataValidation type="list" allowBlank="1" showInputMessage="1" showErrorMessage="1" xr:uid="{E3A9AC41-BA07-4BA5-8A80-4D398D2370E5}">
          <x14:formula1>
            <xm:f>項目!A4:$GYG$655362</xm:f>
          </x14:formula1>
          <xm:sqref>GYP655367:GYP655390</xm:sqref>
        </x14:dataValidation>
        <x14:dataValidation type="list" allowBlank="1" showInputMessage="1" showErrorMessage="1" xr:uid="{F65E1FEF-0D79-435E-B9CF-C30A6B3CBE81}">
          <x14:formula1>
            <xm:f>項目!A4:$HIC$655362</xm:f>
          </x14:formula1>
          <xm:sqref>HIL655367:HIL655390</xm:sqref>
        </x14:dataValidation>
        <x14:dataValidation type="list" allowBlank="1" showInputMessage="1" showErrorMessage="1" xr:uid="{9EAD046C-F653-42FC-963C-2516A8CAC3AF}">
          <x14:formula1>
            <xm:f>項目!A4:$HRY$655362</xm:f>
          </x14:formula1>
          <xm:sqref>HSH655367:HSH655390</xm:sqref>
        </x14:dataValidation>
        <x14:dataValidation type="list" allowBlank="1" showInputMessage="1" showErrorMessage="1" xr:uid="{0198206B-72F8-4771-A2E5-77E70B82CD8C}">
          <x14:formula1>
            <xm:f>項目!A4:$IBU$655362</xm:f>
          </x14:formula1>
          <xm:sqref>ICD655367:ICD655390</xm:sqref>
        </x14:dataValidation>
        <x14:dataValidation type="list" allowBlank="1" showInputMessage="1" showErrorMessage="1" xr:uid="{83ABE4EE-DE2C-40EC-A3F0-56B7CC215A69}">
          <x14:formula1>
            <xm:f>項目!A4:$ILQ$655362</xm:f>
          </x14:formula1>
          <xm:sqref>ILZ655367:ILZ655390</xm:sqref>
        </x14:dataValidation>
        <x14:dataValidation type="list" allowBlank="1" showInputMessage="1" showErrorMessage="1" xr:uid="{C34109C5-72BC-4996-A3D1-E0AA63AE64F7}">
          <x14:formula1>
            <xm:f>項目!A4:$IVM$655362</xm:f>
          </x14:formula1>
          <xm:sqref>IVV655367:IVV655390</xm:sqref>
        </x14:dataValidation>
        <x14:dataValidation type="list" allowBlank="1" showInputMessage="1" showErrorMessage="1" xr:uid="{246223C9-F942-4B8B-A56C-ADDF55857E38}">
          <x14:formula1>
            <xm:f>項目!A4:$JFI$655362</xm:f>
          </x14:formula1>
          <xm:sqref>JFR655367:JFR655390</xm:sqref>
        </x14:dataValidation>
        <x14:dataValidation type="list" allowBlank="1" showInputMessage="1" showErrorMessage="1" xr:uid="{55D0D818-2B6F-4F5B-B710-F735A169A2EF}">
          <x14:formula1>
            <xm:f>項目!A4:$JPE$655362</xm:f>
          </x14:formula1>
          <xm:sqref>JPN655367:JPN655390</xm:sqref>
        </x14:dataValidation>
        <x14:dataValidation type="list" allowBlank="1" showInputMessage="1" showErrorMessage="1" xr:uid="{E0752009-25DD-4C37-8F53-D967CF6A9661}">
          <x14:formula1>
            <xm:f>項目!A4:$JZA$655362</xm:f>
          </x14:formula1>
          <xm:sqref>JZJ655367:JZJ655390</xm:sqref>
        </x14:dataValidation>
        <x14:dataValidation type="list" allowBlank="1" showInputMessage="1" showErrorMessage="1" xr:uid="{0FC96A86-5F31-4CA4-B091-E609394CD504}">
          <x14:formula1>
            <xm:f>項目!A4:$KIW$655362</xm:f>
          </x14:formula1>
          <xm:sqref>KJF655367:KJF655390</xm:sqref>
        </x14:dataValidation>
        <x14:dataValidation type="list" allowBlank="1" showInputMessage="1" showErrorMessage="1" xr:uid="{597C2218-EC55-4388-9091-12C8D8EA7BF3}">
          <x14:formula1>
            <xm:f>項目!A4:$KSS$655362</xm:f>
          </x14:formula1>
          <xm:sqref>KTB655367:KTB655390</xm:sqref>
        </x14:dataValidation>
        <x14:dataValidation type="list" allowBlank="1" showInputMessage="1" showErrorMessage="1" xr:uid="{AAF74C26-38AB-4FAD-9032-94451600556E}">
          <x14:formula1>
            <xm:f>項目!A4:$LCO$655362</xm:f>
          </x14:formula1>
          <xm:sqref>LCX655367:LCX655390</xm:sqref>
        </x14:dataValidation>
        <x14:dataValidation type="list" allowBlank="1" showInputMessage="1" showErrorMessage="1" xr:uid="{2EE7EE85-EFC4-49BF-8C03-5517130013FC}">
          <x14:formula1>
            <xm:f>項目!A4:$LMK$655362</xm:f>
          </x14:formula1>
          <xm:sqref>LMT655367:LMT655390</xm:sqref>
        </x14:dataValidation>
        <x14:dataValidation type="list" allowBlank="1" showInputMessage="1" showErrorMessage="1" xr:uid="{7903718B-5B04-4984-886E-5A9D4A7E2C14}">
          <x14:formula1>
            <xm:f>項目!A4:$LWG$655362</xm:f>
          </x14:formula1>
          <xm:sqref>LWP655367:LWP655390</xm:sqref>
        </x14:dataValidation>
        <x14:dataValidation type="list" allowBlank="1" showInputMessage="1" showErrorMessage="1" xr:uid="{34F9CFCC-20EB-4C79-9B58-29E0A20BB0AA}">
          <x14:formula1>
            <xm:f>項目!A4:$MGC$655362</xm:f>
          </x14:formula1>
          <xm:sqref>MGL655367:MGL655390</xm:sqref>
        </x14:dataValidation>
        <x14:dataValidation type="list" allowBlank="1" showInputMessage="1" showErrorMessage="1" xr:uid="{F4E2C149-19E0-442A-A0BE-AC78851475F1}">
          <x14:formula1>
            <xm:f>項目!A4:$MPY$655362</xm:f>
          </x14:formula1>
          <xm:sqref>MQH655367:MQH655390</xm:sqref>
        </x14:dataValidation>
        <x14:dataValidation type="list" allowBlank="1" showInputMessage="1" showErrorMessage="1" xr:uid="{1146DBC8-93C8-4AF5-BA44-42C22E566E46}">
          <x14:formula1>
            <xm:f>項目!A4:$MZU$655362</xm:f>
          </x14:formula1>
          <xm:sqref>NAD655367:NAD655390</xm:sqref>
        </x14:dataValidation>
        <x14:dataValidation type="list" allowBlank="1" showInputMessage="1" showErrorMessage="1" xr:uid="{37D11D72-37EE-46F9-B8DC-1480D73FB7BA}">
          <x14:formula1>
            <xm:f>項目!A4:$NJQ$655362</xm:f>
          </x14:formula1>
          <xm:sqref>NJZ655367:NJZ655390</xm:sqref>
        </x14:dataValidation>
        <x14:dataValidation type="list" allowBlank="1" showInputMessage="1" showErrorMessage="1" xr:uid="{5EFEF8EA-1881-4CB4-9A1F-9AF1ABAF8672}">
          <x14:formula1>
            <xm:f>項目!A4:$NTM$655362</xm:f>
          </x14:formula1>
          <xm:sqref>NTV655367:NTV655390</xm:sqref>
        </x14:dataValidation>
        <x14:dataValidation type="list" allowBlank="1" showInputMessage="1" showErrorMessage="1" xr:uid="{CEEF06CA-184D-4CD0-8E6D-4A0AFE16A742}">
          <x14:formula1>
            <xm:f>項目!A4:$ODI$655362</xm:f>
          </x14:formula1>
          <xm:sqref>ODR655367:ODR655390</xm:sqref>
        </x14:dataValidation>
        <x14:dataValidation type="list" allowBlank="1" showInputMessage="1" showErrorMessage="1" xr:uid="{05BB465B-50FE-498E-BE2C-30B1CC7D97DF}">
          <x14:formula1>
            <xm:f>項目!A4:$ONE$655362</xm:f>
          </x14:formula1>
          <xm:sqref>ONN655367:ONN655390</xm:sqref>
        </x14:dataValidation>
        <x14:dataValidation type="list" allowBlank="1" showInputMessage="1" showErrorMessage="1" xr:uid="{E77105AB-186B-46B0-8EF7-35FE7E673A3F}">
          <x14:formula1>
            <xm:f>項目!A4:$OXA$655362</xm:f>
          </x14:formula1>
          <xm:sqref>OXJ655367:OXJ655390</xm:sqref>
        </x14:dataValidation>
        <x14:dataValidation type="list" allowBlank="1" showInputMessage="1" showErrorMessage="1" xr:uid="{FCEFDD5C-18E9-475A-9253-8858153B763E}">
          <x14:formula1>
            <xm:f>項目!A4:$PGW$655362</xm:f>
          </x14:formula1>
          <xm:sqref>PHF655367:PHF655390</xm:sqref>
        </x14:dataValidation>
        <x14:dataValidation type="list" allowBlank="1" showInputMessage="1" showErrorMessage="1" xr:uid="{51703C89-B400-4AFB-83BA-0993832A850D}">
          <x14:formula1>
            <xm:f>項目!A4:$PQS$655362</xm:f>
          </x14:formula1>
          <xm:sqref>PRB655367:PRB655390</xm:sqref>
        </x14:dataValidation>
        <x14:dataValidation type="list" allowBlank="1" showInputMessage="1" showErrorMessage="1" xr:uid="{8B8C73F2-F5C1-4853-B9B0-902F0756DBC0}">
          <x14:formula1>
            <xm:f>項目!A4:$QAO$655362</xm:f>
          </x14:formula1>
          <xm:sqref>QAX655367:QAX655390</xm:sqref>
        </x14:dataValidation>
        <x14:dataValidation type="list" allowBlank="1" showInputMessage="1" showErrorMessage="1" xr:uid="{051892D3-C096-493B-9DAF-2E09FDA4D71C}">
          <x14:formula1>
            <xm:f>項目!A4:$QKK$655362</xm:f>
          </x14:formula1>
          <xm:sqref>QKT655367:QKT655390</xm:sqref>
        </x14:dataValidation>
        <x14:dataValidation type="list" allowBlank="1" showInputMessage="1" showErrorMessage="1" xr:uid="{556A2CEC-E35F-4804-8DB3-5D66751C2FE4}">
          <x14:formula1>
            <xm:f>項目!A4:$QUG$655362</xm:f>
          </x14:formula1>
          <xm:sqref>QUP655367:QUP655390</xm:sqref>
        </x14:dataValidation>
        <x14:dataValidation type="list" allowBlank="1" showInputMessage="1" showErrorMessage="1" xr:uid="{8616A12F-5DF5-4625-A06E-2F8D1DC92248}">
          <x14:formula1>
            <xm:f>項目!A4:$REC$655362</xm:f>
          </x14:formula1>
          <xm:sqref>REL655367:REL655390</xm:sqref>
        </x14:dataValidation>
        <x14:dataValidation type="list" allowBlank="1" showInputMessage="1" showErrorMessage="1" xr:uid="{A8E54E60-EA11-496E-AEEF-A06E66FB1873}">
          <x14:formula1>
            <xm:f>項目!A4:$RNY$655362</xm:f>
          </x14:formula1>
          <xm:sqref>ROH655367:ROH655390</xm:sqref>
        </x14:dataValidation>
        <x14:dataValidation type="list" allowBlank="1" showInputMessage="1" showErrorMessage="1" xr:uid="{81CD5327-07F2-4B86-9E38-570B0F2F9DB2}">
          <x14:formula1>
            <xm:f>項目!A4:$RXU$655362</xm:f>
          </x14:formula1>
          <xm:sqref>RYD655367:RYD655390</xm:sqref>
        </x14:dataValidation>
        <x14:dataValidation type="list" allowBlank="1" showInputMessage="1" showErrorMessage="1" xr:uid="{B298B43B-44BC-476C-A454-87A2AF397240}">
          <x14:formula1>
            <xm:f>項目!A4:$SHQ$655362</xm:f>
          </x14:formula1>
          <xm:sqref>SHZ655367:SHZ655390</xm:sqref>
        </x14:dataValidation>
        <x14:dataValidation type="list" allowBlank="1" showInputMessage="1" showErrorMessage="1" xr:uid="{4DCE9EC6-8B74-4F9E-9DD0-E3BBE4369658}">
          <x14:formula1>
            <xm:f>項目!A4:$SRM$655362</xm:f>
          </x14:formula1>
          <xm:sqref>SRV655367:SRV655390</xm:sqref>
        </x14:dataValidation>
        <x14:dataValidation type="list" allowBlank="1" showInputMessage="1" showErrorMessage="1" xr:uid="{07AF46BB-3739-4CD8-9748-BACA167CD383}">
          <x14:formula1>
            <xm:f>項目!A4:$TBI$655362</xm:f>
          </x14:formula1>
          <xm:sqref>TBR655367:TBR655390</xm:sqref>
        </x14:dataValidation>
        <x14:dataValidation type="list" allowBlank="1" showInputMessage="1" showErrorMessage="1" xr:uid="{51D39DBA-1B5C-4629-BCDA-00601BDD61F6}">
          <x14:formula1>
            <xm:f>項目!A4:$TLE$655362</xm:f>
          </x14:formula1>
          <xm:sqref>TLN655367:TLN655390</xm:sqref>
        </x14:dataValidation>
        <x14:dataValidation type="list" allowBlank="1" showInputMessage="1" showErrorMessage="1" xr:uid="{884A6F4E-BA53-4C0D-AEE7-D51C8FE49282}">
          <x14:formula1>
            <xm:f>項目!A4:$TVA$655362</xm:f>
          </x14:formula1>
          <xm:sqref>TVJ655367:TVJ655390</xm:sqref>
        </x14:dataValidation>
        <x14:dataValidation type="list" allowBlank="1" showInputMessage="1" showErrorMessage="1" xr:uid="{664CCEBA-FF4D-4369-9583-BE269BEFB7E7}">
          <x14:formula1>
            <xm:f>項目!A4:$UEW$655362</xm:f>
          </x14:formula1>
          <xm:sqref>UFF655367:UFF655390</xm:sqref>
        </x14:dataValidation>
        <x14:dataValidation type="list" allowBlank="1" showInputMessage="1" showErrorMessage="1" xr:uid="{95A64853-34CC-4AAD-8D84-2C91BA90134B}">
          <x14:formula1>
            <xm:f>項目!A4:$UOS$655362</xm:f>
          </x14:formula1>
          <xm:sqref>UPB655367:UPB655390</xm:sqref>
        </x14:dataValidation>
        <x14:dataValidation type="list" allowBlank="1" showInputMessage="1" showErrorMessage="1" xr:uid="{AA56B2E5-293C-4844-BA95-DF702FD01CC7}">
          <x14:formula1>
            <xm:f>項目!A4:$UYO$655362</xm:f>
          </x14:formula1>
          <xm:sqref>UYX655367:UYX655390</xm:sqref>
        </x14:dataValidation>
        <x14:dataValidation type="list" allowBlank="1" showInputMessage="1" showErrorMessage="1" xr:uid="{2B95EA59-FE10-4F1A-B0DC-FC72B5A767FA}">
          <x14:formula1>
            <xm:f>項目!A4:$VIK$655362</xm:f>
          </x14:formula1>
          <xm:sqref>VIT655367:VIT655390</xm:sqref>
        </x14:dataValidation>
        <x14:dataValidation type="list" allowBlank="1" showInputMessage="1" showErrorMessage="1" xr:uid="{CD631736-380C-4B18-9595-1E92553E13A2}">
          <x14:formula1>
            <xm:f>項目!A4:$VSG$655362</xm:f>
          </x14:formula1>
          <xm:sqref>VSP655367:VSP655390</xm:sqref>
        </x14:dataValidation>
        <x14:dataValidation type="list" allowBlank="1" showInputMessage="1" showErrorMessage="1" xr:uid="{5378A494-FAE6-495F-8457-37BA3058EF99}">
          <x14:formula1>
            <xm:f>項目!A4:$WCC$655362</xm:f>
          </x14:formula1>
          <xm:sqref>WCL655367:WCL655390</xm:sqref>
        </x14:dataValidation>
        <x14:dataValidation type="list" allowBlank="1" showInputMessage="1" showErrorMessage="1" xr:uid="{00F09605-05CE-40F6-AE7D-DF8163426561}">
          <x14:formula1>
            <xm:f>項目!A4:$WLY$655362</xm:f>
          </x14:formula1>
          <xm:sqref>WMH655367:WMH655390</xm:sqref>
        </x14:dataValidation>
        <x14:dataValidation type="list" allowBlank="1" showInputMessage="1" showErrorMessage="1" xr:uid="{5425F953-1E65-4318-8E0C-A53D53B7D5D2}">
          <x14:formula1>
            <xm:f>項目!A4:$WVU$655362</xm:f>
          </x14:formula1>
          <xm:sqref>WWD655367:WWD655390</xm:sqref>
        </x14:dataValidation>
        <x14:dataValidation type="list" allowBlank="1" showInputMessage="1" showErrorMessage="1" xr:uid="{25ABF044-B272-4C8E-8129-7288AFBDBF7C}">
          <x14:formula1>
            <xm:f>項目!A4:$N$720898</xm:f>
          </x14:formula1>
          <xm:sqref>V720903:V720926</xm:sqref>
        </x14:dataValidation>
        <x14:dataValidation type="list" allowBlank="1" showInputMessage="1" showErrorMessage="1" xr:uid="{4E6E0358-711E-4EA4-9BA5-1F528AF7F490}">
          <x14:formula1>
            <xm:f>項目!A4:$JI$720898</xm:f>
          </x14:formula1>
          <xm:sqref>JR720903:JR720926</xm:sqref>
        </x14:dataValidation>
        <x14:dataValidation type="list" allowBlank="1" showInputMessage="1" showErrorMessage="1" xr:uid="{F3C53D9E-5D4A-4E09-9D38-2D291F346BA9}">
          <x14:formula1>
            <xm:f>項目!A4:$TE$720898</xm:f>
          </x14:formula1>
          <xm:sqref>TN720903:TN720926</xm:sqref>
        </x14:dataValidation>
        <x14:dataValidation type="list" allowBlank="1" showInputMessage="1" showErrorMessage="1" xr:uid="{65FF6F05-63E4-4AE8-B0E9-896D6DD60C82}">
          <x14:formula1>
            <xm:f>項目!A4:$ADA$720898</xm:f>
          </x14:formula1>
          <xm:sqref>ADJ720903:ADJ720926</xm:sqref>
        </x14:dataValidation>
        <x14:dataValidation type="list" allowBlank="1" showInputMessage="1" showErrorMessage="1" xr:uid="{C62B66F1-667C-4890-A43F-9E1DC85997BB}">
          <x14:formula1>
            <xm:f>項目!A4:$AMW$720898</xm:f>
          </x14:formula1>
          <xm:sqref>ANF720903:ANF720926</xm:sqref>
        </x14:dataValidation>
        <x14:dataValidation type="list" allowBlank="1" showInputMessage="1" showErrorMessage="1" xr:uid="{32949018-13DD-45EF-872E-1C94EE895E49}">
          <x14:formula1>
            <xm:f>項目!A4:$AWS$720898</xm:f>
          </x14:formula1>
          <xm:sqref>AXB720903:AXB720926</xm:sqref>
        </x14:dataValidation>
        <x14:dataValidation type="list" allowBlank="1" showInputMessage="1" showErrorMessage="1" xr:uid="{803CC0CD-8957-4066-8ED3-BBE8E798D531}">
          <x14:formula1>
            <xm:f>項目!A4:$BGO$720898</xm:f>
          </x14:formula1>
          <xm:sqref>BGX720903:BGX720926</xm:sqref>
        </x14:dataValidation>
        <x14:dataValidation type="list" allowBlank="1" showInputMessage="1" showErrorMessage="1" xr:uid="{C2650CC7-82E1-410A-9116-F12DFB3568FB}">
          <x14:formula1>
            <xm:f>項目!A4:$BQK$720898</xm:f>
          </x14:formula1>
          <xm:sqref>BQT720903:BQT720926</xm:sqref>
        </x14:dataValidation>
        <x14:dataValidation type="list" allowBlank="1" showInputMessage="1" showErrorMessage="1" xr:uid="{ADB105D6-54F7-4DC0-88C0-7EF47485797E}">
          <x14:formula1>
            <xm:f>項目!A4:$CAG$720898</xm:f>
          </x14:formula1>
          <xm:sqref>CAP720903:CAP720926</xm:sqref>
        </x14:dataValidation>
        <x14:dataValidation type="list" allowBlank="1" showInputMessage="1" showErrorMessage="1" xr:uid="{A23AD6F9-EC81-4B8D-8BCB-B3DAF9B86E72}">
          <x14:formula1>
            <xm:f>項目!A4:$CKC$720898</xm:f>
          </x14:formula1>
          <xm:sqref>CKL720903:CKL720926</xm:sqref>
        </x14:dataValidation>
        <x14:dataValidation type="list" allowBlank="1" showInputMessage="1" showErrorMessage="1" xr:uid="{AF218CA0-F75D-4F5B-8423-29A20A972E38}">
          <x14:formula1>
            <xm:f>項目!A4:$CTY$720898</xm:f>
          </x14:formula1>
          <xm:sqref>CUH720903:CUH720926</xm:sqref>
        </x14:dataValidation>
        <x14:dataValidation type="list" allowBlank="1" showInputMessage="1" showErrorMessage="1" xr:uid="{9570ADEF-2E42-41C6-B7C4-EB2D4BB72CA3}">
          <x14:formula1>
            <xm:f>項目!A4:$DDU$720898</xm:f>
          </x14:formula1>
          <xm:sqref>DED720903:DED720926</xm:sqref>
        </x14:dataValidation>
        <x14:dataValidation type="list" allowBlank="1" showInputMessage="1" showErrorMessage="1" xr:uid="{6D27B78F-5282-4D30-8283-5D2E3CF23B5B}">
          <x14:formula1>
            <xm:f>項目!A4:$DNQ$720898</xm:f>
          </x14:formula1>
          <xm:sqref>DNZ720903:DNZ720926</xm:sqref>
        </x14:dataValidation>
        <x14:dataValidation type="list" allowBlank="1" showInputMessage="1" showErrorMessage="1" xr:uid="{A9DC1AA2-125D-4609-B846-D89C15CBDC2B}">
          <x14:formula1>
            <xm:f>項目!A4:$DXM$720898</xm:f>
          </x14:formula1>
          <xm:sqref>DXV720903:DXV720926</xm:sqref>
        </x14:dataValidation>
        <x14:dataValidation type="list" allowBlank="1" showInputMessage="1" showErrorMessage="1" xr:uid="{199267A1-2F10-498E-9E72-77E58BD8C3A0}">
          <x14:formula1>
            <xm:f>項目!A4:$EHI$720898</xm:f>
          </x14:formula1>
          <xm:sqref>EHR720903:EHR720926</xm:sqref>
        </x14:dataValidation>
        <x14:dataValidation type="list" allowBlank="1" showInputMessage="1" showErrorMessage="1" xr:uid="{8EEAE7E9-33DD-4548-9474-E3E8A4D9F754}">
          <x14:formula1>
            <xm:f>項目!A4:$ERE$720898</xm:f>
          </x14:formula1>
          <xm:sqref>ERN720903:ERN720926</xm:sqref>
        </x14:dataValidation>
        <x14:dataValidation type="list" allowBlank="1" showInputMessage="1" showErrorMessage="1" xr:uid="{03FC7DEF-5A1C-4DDE-8754-D84313B2C680}">
          <x14:formula1>
            <xm:f>項目!A4:$FBA$720898</xm:f>
          </x14:formula1>
          <xm:sqref>FBJ720903:FBJ720926</xm:sqref>
        </x14:dataValidation>
        <x14:dataValidation type="list" allowBlank="1" showInputMessage="1" showErrorMessage="1" xr:uid="{7FB085E5-5957-4A82-9D78-EFE3721EEDED}">
          <x14:formula1>
            <xm:f>項目!A4:$FKW$720898</xm:f>
          </x14:formula1>
          <xm:sqref>FLF720903:FLF720926</xm:sqref>
        </x14:dataValidation>
        <x14:dataValidation type="list" allowBlank="1" showInputMessage="1" showErrorMessage="1" xr:uid="{98C3205A-7C36-4662-8A2E-477724EA7943}">
          <x14:formula1>
            <xm:f>項目!A4:$FUS$720898</xm:f>
          </x14:formula1>
          <xm:sqref>FVB720903:FVB720926</xm:sqref>
        </x14:dataValidation>
        <x14:dataValidation type="list" allowBlank="1" showInputMessage="1" showErrorMessage="1" xr:uid="{9C6D069F-CC85-475C-BA19-2759CCBF329B}">
          <x14:formula1>
            <xm:f>項目!A4:$GEO$720898</xm:f>
          </x14:formula1>
          <xm:sqref>GEX720903:GEX720926</xm:sqref>
        </x14:dataValidation>
        <x14:dataValidation type="list" allowBlank="1" showInputMessage="1" showErrorMessage="1" xr:uid="{490C73FB-9C50-47B9-A142-9A92B7DA09C3}">
          <x14:formula1>
            <xm:f>項目!A4:$GOK$720898</xm:f>
          </x14:formula1>
          <xm:sqref>GOT720903:GOT720926</xm:sqref>
        </x14:dataValidation>
        <x14:dataValidation type="list" allowBlank="1" showInputMessage="1" showErrorMessage="1" xr:uid="{CAF2B895-2870-4BF4-846B-695D70E3B963}">
          <x14:formula1>
            <xm:f>項目!A4:$GYG$720898</xm:f>
          </x14:formula1>
          <xm:sqref>GYP720903:GYP720926</xm:sqref>
        </x14:dataValidation>
        <x14:dataValidation type="list" allowBlank="1" showInputMessage="1" showErrorMessage="1" xr:uid="{FC71C3EB-5B15-460D-A1B4-0BE040D652DA}">
          <x14:formula1>
            <xm:f>項目!A4:$HIC$720898</xm:f>
          </x14:formula1>
          <xm:sqref>HIL720903:HIL720926</xm:sqref>
        </x14:dataValidation>
        <x14:dataValidation type="list" allowBlank="1" showInputMessage="1" showErrorMessage="1" xr:uid="{138E05D9-BCEB-48B8-844F-9DFF3FBD34B1}">
          <x14:formula1>
            <xm:f>項目!A4:$HRY$720898</xm:f>
          </x14:formula1>
          <xm:sqref>HSH720903:HSH720926</xm:sqref>
        </x14:dataValidation>
        <x14:dataValidation type="list" allowBlank="1" showInputMessage="1" showErrorMessage="1" xr:uid="{E651FD4A-22D1-499D-9FCA-8A3056F9176E}">
          <x14:formula1>
            <xm:f>項目!A4:$IBU$720898</xm:f>
          </x14:formula1>
          <xm:sqref>ICD720903:ICD720926</xm:sqref>
        </x14:dataValidation>
        <x14:dataValidation type="list" allowBlank="1" showInputMessage="1" showErrorMessage="1" xr:uid="{0C5B2DA5-8F5A-4F34-8B1E-3A478E439603}">
          <x14:formula1>
            <xm:f>項目!A4:$ILQ$720898</xm:f>
          </x14:formula1>
          <xm:sqref>ILZ720903:ILZ720926</xm:sqref>
        </x14:dataValidation>
        <x14:dataValidation type="list" allowBlank="1" showInputMessage="1" showErrorMessage="1" xr:uid="{A7D2012D-5A72-444B-B0AC-DCD5355D6479}">
          <x14:formula1>
            <xm:f>項目!A4:$IVM$720898</xm:f>
          </x14:formula1>
          <xm:sqref>IVV720903:IVV720926</xm:sqref>
        </x14:dataValidation>
        <x14:dataValidation type="list" allowBlank="1" showInputMessage="1" showErrorMessage="1" xr:uid="{2F047EDC-D7D4-4F84-94DA-B7B138CEA506}">
          <x14:formula1>
            <xm:f>項目!A4:$JFI$720898</xm:f>
          </x14:formula1>
          <xm:sqref>JFR720903:JFR720926</xm:sqref>
        </x14:dataValidation>
        <x14:dataValidation type="list" allowBlank="1" showInputMessage="1" showErrorMessage="1" xr:uid="{46DC65FB-26BB-4038-A530-4B29927329F8}">
          <x14:formula1>
            <xm:f>項目!A4:$JPE$720898</xm:f>
          </x14:formula1>
          <xm:sqref>JPN720903:JPN720926</xm:sqref>
        </x14:dataValidation>
        <x14:dataValidation type="list" allowBlank="1" showInputMessage="1" showErrorMessage="1" xr:uid="{9760A9F6-C687-4992-9366-5D496CEF824B}">
          <x14:formula1>
            <xm:f>項目!A4:$JZA$720898</xm:f>
          </x14:formula1>
          <xm:sqref>JZJ720903:JZJ720926</xm:sqref>
        </x14:dataValidation>
        <x14:dataValidation type="list" allowBlank="1" showInputMessage="1" showErrorMessage="1" xr:uid="{0A634C51-78C0-456A-B197-F23DC3F14ED2}">
          <x14:formula1>
            <xm:f>項目!A4:$KIW$720898</xm:f>
          </x14:formula1>
          <xm:sqref>KJF720903:KJF720926</xm:sqref>
        </x14:dataValidation>
        <x14:dataValidation type="list" allowBlank="1" showInputMessage="1" showErrorMessage="1" xr:uid="{2E17F3E1-BBA6-468D-A6B7-1C806F8D00D1}">
          <x14:formula1>
            <xm:f>項目!A4:$KSS$720898</xm:f>
          </x14:formula1>
          <xm:sqref>KTB720903:KTB720926</xm:sqref>
        </x14:dataValidation>
        <x14:dataValidation type="list" allowBlank="1" showInputMessage="1" showErrorMessage="1" xr:uid="{4B4A302C-02BB-4622-A9AA-ADD187890237}">
          <x14:formula1>
            <xm:f>項目!A4:$LCO$720898</xm:f>
          </x14:formula1>
          <xm:sqref>LCX720903:LCX720926</xm:sqref>
        </x14:dataValidation>
        <x14:dataValidation type="list" allowBlank="1" showInputMessage="1" showErrorMessage="1" xr:uid="{7CE26F4C-8457-4038-837E-B39A52E48B13}">
          <x14:formula1>
            <xm:f>項目!A4:$LMK$720898</xm:f>
          </x14:formula1>
          <xm:sqref>LMT720903:LMT720926</xm:sqref>
        </x14:dataValidation>
        <x14:dataValidation type="list" allowBlank="1" showInputMessage="1" showErrorMessage="1" xr:uid="{82956C96-1A77-4D79-9668-8753F4C93AB1}">
          <x14:formula1>
            <xm:f>項目!A4:$LWG$720898</xm:f>
          </x14:formula1>
          <xm:sqref>LWP720903:LWP720926</xm:sqref>
        </x14:dataValidation>
        <x14:dataValidation type="list" allowBlank="1" showInputMessage="1" showErrorMessage="1" xr:uid="{4B797752-3DB8-457C-B148-7DC9571048BE}">
          <x14:formula1>
            <xm:f>項目!A4:$MGC$720898</xm:f>
          </x14:formula1>
          <xm:sqref>MGL720903:MGL720926</xm:sqref>
        </x14:dataValidation>
        <x14:dataValidation type="list" allowBlank="1" showInputMessage="1" showErrorMessage="1" xr:uid="{1454484A-BF88-4702-AAA5-EBC0A6B22C17}">
          <x14:formula1>
            <xm:f>項目!A4:$MPY$720898</xm:f>
          </x14:formula1>
          <xm:sqref>MQH720903:MQH720926</xm:sqref>
        </x14:dataValidation>
        <x14:dataValidation type="list" allowBlank="1" showInputMessage="1" showErrorMessage="1" xr:uid="{1E999B67-EB68-4D6E-9ABD-8990706EF6D3}">
          <x14:formula1>
            <xm:f>項目!A4:$MZU$720898</xm:f>
          </x14:formula1>
          <xm:sqref>NAD720903:NAD720926</xm:sqref>
        </x14:dataValidation>
        <x14:dataValidation type="list" allowBlank="1" showInputMessage="1" showErrorMessage="1" xr:uid="{F81E510A-9B47-4B7F-AD14-1EFFB48484A4}">
          <x14:formula1>
            <xm:f>項目!A4:$NJQ$720898</xm:f>
          </x14:formula1>
          <xm:sqref>NJZ720903:NJZ720926</xm:sqref>
        </x14:dataValidation>
        <x14:dataValidation type="list" allowBlank="1" showInputMessage="1" showErrorMessage="1" xr:uid="{D01B31DD-176D-4A50-A16B-3C8F5279D8B6}">
          <x14:formula1>
            <xm:f>項目!A4:$NTM$720898</xm:f>
          </x14:formula1>
          <xm:sqref>NTV720903:NTV720926</xm:sqref>
        </x14:dataValidation>
        <x14:dataValidation type="list" allowBlank="1" showInputMessage="1" showErrorMessage="1" xr:uid="{3505AC52-ACBF-4D94-A144-27022B9EDA6A}">
          <x14:formula1>
            <xm:f>項目!A4:$ODI$720898</xm:f>
          </x14:formula1>
          <xm:sqref>ODR720903:ODR720926</xm:sqref>
        </x14:dataValidation>
        <x14:dataValidation type="list" allowBlank="1" showInputMessage="1" showErrorMessage="1" xr:uid="{F74DA588-A403-4C33-B32E-692F39D462A7}">
          <x14:formula1>
            <xm:f>項目!A4:$ONE$720898</xm:f>
          </x14:formula1>
          <xm:sqref>ONN720903:ONN720926</xm:sqref>
        </x14:dataValidation>
        <x14:dataValidation type="list" allowBlank="1" showInputMessage="1" showErrorMessage="1" xr:uid="{CB203F25-A624-4535-ACFF-0CF46F2E6EA5}">
          <x14:formula1>
            <xm:f>項目!A4:$OXA$720898</xm:f>
          </x14:formula1>
          <xm:sqref>OXJ720903:OXJ720926</xm:sqref>
        </x14:dataValidation>
        <x14:dataValidation type="list" allowBlank="1" showInputMessage="1" showErrorMessage="1" xr:uid="{718E7BF2-1B87-4C14-93F5-507A50D44665}">
          <x14:formula1>
            <xm:f>項目!A4:$PGW$720898</xm:f>
          </x14:formula1>
          <xm:sqref>PHF720903:PHF720926</xm:sqref>
        </x14:dataValidation>
        <x14:dataValidation type="list" allowBlank="1" showInputMessage="1" showErrorMessage="1" xr:uid="{DA7D9E02-113F-48B5-81B2-697E0FF97A7A}">
          <x14:formula1>
            <xm:f>項目!A4:$PQS$720898</xm:f>
          </x14:formula1>
          <xm:sqref>PRB720903:PRB720926</xm:sqref>
        </x14:dataValidation>
        <x14:dataValidation type="list" allowBlank="1" showInputMessage="1" showErrorMessage="1" xr:uid="{72D88CD1-31FC-4D58-87D1-80958944E3C8}">
          <x14:formula1>
            <xm:f>項目!A4:$QAO$720898</xm:f>
          </x14:formula1>
          <xm:sqref>QAX720903:QAX720926</xm:sqref>
        </x14:dataValidation>
        <x14:dataValidation type="list" allowBlank="1" showInputMessage="1" showErrorMessage="1" xr:uid="{19957556-F549-4F26-A353-141A4A5332EE}">
          <x14:formula1>
            <xm:f>項目!A4:$QKK$720898</xm:f>
          </x14:formula1>
          <xm:sqref>QKT720903:QKT720926</xm:sqref>
        </x14:dataValidation>
        <x14:dataValidation type="list" allowBlank="1" showInputMessage="1" showErrorMessage="1" xr:uid="{886F1FA7-90D0-4925-B4FA-A3BBC5D21750}">
          <x14:formula1>
            <xm:f>項目!A4:$QUG$720898</xm:f>
          </x14:formula1>
          <xm:sqref>QUP720903:QUP720926</xm:sqref>
        </x14:dataValidation>
        <x14:dataValidation type="list" allowBlank="1" showInputMessage="1" showErrorMessage="1" xr:uid="{CCC5B4F1-4939-440D-9E15-CC8309BAF097}">
          <x14:formula1>
            <xm:f>項目!A4:$REC$720898</xm:f>
          </x14:formula1>
          <xm:sqref>REL720903:REL720926</xm:sqref>
        </x14:dataValidation>
        <x14:dataValidation type="list" allowBlank="1" showInputMessage="1" showErrorMessage="1" xr:uid="{C97C4E17-0DFF-48FF-BC60-D99D5A496AC7}">
          <x14:formula1>
            <xm:f>項目!A4:$RNY$720898</xm:f>
          </x14:formula1>
          <xm:sqref>ROH720903:ROH720926</xm:sqref>
        </x14:dataValidation>
        <x14:dataValidation type="list" allowBlank="1" showInputMessage="1" showErrorMessage="1" xr:uid="{8B0C2A93-E045-4108-A9B6-D1535351B8CE}">
          <x14:formula1>
            <xm:f>項目!A4:$RXU$720898</xm:f>
          </x14:formula1>
          <xm:sqref>RYD720903:RYD720926</xm:sqref>
        </x14:dataValidation>
        <x14:dataValidation type="list" allowBlank="1" showInputMessage="1" showErrorMessage="1" xr:uid="{B22FD892-BD71-4BBD-BB4C-4FDE08C7D588}">
          <x14:formula1>
            <xm:f>項目!A4:$SHQ$720898</xm:f>
          </x14:formula1>
          <xm:sqref>SHZ720903:SHZ720926</xm:sqref>
        </x14:dataValidation>
        <x14:dataValidation type="list" allowBlank="1" showInputMessage="1" showErrorMessage="1" xr:uid="{CB5C8B99-E132-48A8-95CA-367AE26327D1}">
          <x14:formula1>
            <xm:f>項目!A4:$SRM$720898</xm:f>
          </x14:formula1>
          <xm:sqref>SRV720903:SRV720926</xm:sqref>
        </x14:dataValidation>
        <x14:dataValidation type="list" allowBlank="1" showInputMessage="1" showErrorMessage="1" xr:uid="{A110B64F-48DD-4B12-A946-58E6A22040CB}">
          <x14:formula1>
            <xm:f>項目!A4:$TBI$720898</xm:f>
          </x14:formula1>
          <xm:sqref>TBR720903:TBR720926</xm:sqref>
        </x14:dataValidation>
        <x14:dataValidation type="list" allowBlank="1" showInputMessage="1" showErrorMessage="1" xr:uid="{A6807755-1334-416B-A467-13364576AD84}">
          <x14:formula1>
            <xm:f>項目!A4:$TLE$720898</xm:f>
          </x14:formula1>
          <xm:sqref>TLN720903:TLN720926</xm:sqref>
        </x14:dataValidation>
        <x14:dataValidation type="list" allowBlank="1" showInputMessage="1" showErrorMessage="1" xr:uid="{3B689D05-764F-4B4E-B1CF-04549ECCE7E7}">
          <x14:formula1>
            <xm:f>項目!A4:$TVA$720898</xm:f>
          </x14:formula1>
          <xm:sqref>TVJ720903:TVJ720926</xm:sqref>
        </x14:dataValidation>
        <x14:dataValidation type="list" allowBlank="1" showInputMessage="1" showErrorMessage="1" xr:uid="{A35FF27B-8DD3-497B-BF7E-B6D2F5767C93}">
          <x14:formula1>
            <xm:f>項目!A4:$UEW$720898</xm:f>
          </x14:formula1>
          <xm:sqref>UFF720903:UFF720926</xm:sqref>
        </x14:dataValidation>
        <x14:dataValidation type="list" allowBlank="1" showInputMessage="1" showErrorMessage="1" xr:uid="{3AD43049-D0F9-4EC4-BE71-F53F82C32AEF}">
          <x14:formula1>
            <xm:f>項目!A4:$UOS$720898</xm:f>
          </x14:formula1>
          <xm:sqref>UPB720903:UPB720926</xm:sqref>
        </x14:dataValidation>
        <x14:dataValidation type="list" allowBlank="1" showInputMessage="1" showErrorMessage="1" xr:uid="{34AB2E73-D3A7-4AE0-B121-45D4E2227FC1}">
          <x14:formula1>
            <xm:f>項目!A4:$UYO$720898</xm:f>
          </x14:formula1>
          <xm:sqref>UYX720903:UYX720926</xm:sqref>
        </x14:dataValidation>
        <x14:dataValidation type="list" allowBlank="1" showInputMessage="1" showErrorMessage="1" xr:uid="{2A358040-0EAF-4678-8733-0462817F98AB}">
          <x14:formula1>
            <xm:f>項目!A4:$VIK$720898</xm:f>
          </x14:formula1>
          <xm:sqref>VIT720903:VIT720926</xm:sqref>
        </x14:dataValidation>
        <x14:dataValidation type="list" allowBlank="1" showInputMessage="1" showErrorMessage="1" xr:uid="{7279B7A2-A50D-4384-85F1-37F4E4D83560}">
          <x14:formula1>
            <xm:f>項目!A4:$VSG$720898</xm:f>
          </x14:formula1>
          <xm:sqref>VSP720903:VSP720926</xm:sqref>
        </x14:dataValidation>
        <x14:dataValidation type="list" allowBlank="1" showInputMessage="1" showErrorMessage="1" xr:uid="{52A813DE-906D-4B26-AD93-1A16D2809CAD}">
          <x14:formula1>
            <xm:f>項目!A4:$WCC$720898</xm:f>
          </x14:formula1>
          <xm:sqref>WCL720903:WCL720926</xm:sqref>
        </x14:dataValidation>
        <x14:dataValidation type="list" allowBlank="1" showInputMessage="1" showErrorMessage="1" xr:uid="{93D5BAB5-F434-4067-8918-3A551E71AA58}">
          <x14:formula1>
            <xm:f>項目!A4:$WLY$720898</xm:f>
          </x14:formula1>
          <xm:sqref>WMH720903:WMH720926</xm:sqref>
        </x14:dataValidation>
        <x14:dataValidation type="list" allowBlank="1" showInputMessage="1" showErrorMessage="1" xr:uid="{8AE80524-55A8-4E32-9AF8-0834099B8190}">
          <x14:formula1>
            <xm:f>項目!A4:$WVU$720898</xm:f>
          </x14:formula1>
          <xm:sqref>WWD720903:WWD720926</xm:sqref>
        </x14:dataValidation>
        <x14:dataValidation type="list" allowBlank="1" showInputMessage="1" showErrorMessage="1" xr:uid="{313901B0-09A1-4283-820B-DCF538994A2F}">
          <x14:formula1>
            <xm:f>項目!A4:$N$786434</xm:f>
          </x14:formula1>
          <xm:sqref>V786439:V786462</xm:sqref>
        </x14:dataValidation>
        <x14:dataValidation type="list" allowBlank="1" showInputMessage="1" showErrorMessage="1" xr:uid="{2FFD1CF9-5511-4899-A0E5-FA3FE5A1DE69}">
          <x14:formula1>
            <xm:f>項目!A4:$JI$786434</xm:f>
          </x14:formula1>
          <xm:sqref>JR786439:JR786462</xm:sqref>
        </x14:dataValidation>
        <x14:dataValidation type="list" allowBlank="1" showInputMessage="1" showErrorMessage="1" xr:uid="{CE6E8969-281A-4941-8808-5AA667B6E3E4}">
          <x14:formula1>
            <xm:f>項目!A4:$TE$786434</xm:f>
          </x14:formula1>
          <xm:sqref>TN786439:TN786462</xm:sqref>
        </x14:dataValidation>
        <x14:dataValidation type="list" allowBlank="1" showInputMessage="1" showErrorMessage="1" xr:uid="{BADCBDD0-36F3-4324-BDAF-F5AA4F4B56C9}">
          <x14:formula1>
            <xm:f>項目!A4:$ADA$786434</xm:f>
          </x14:formula1>
          <xm:sqref>ADJ786439:ADJ786462</xm:sqref>
        </x14:dataValidation>
        <x14:dataValidation type="list" allowBlank="1" showInputMessage="1" showErrorMessage="1" xr:uid="{6ACF86F8-9660-4BA4-B9B4-78C62604ABC0}">
          <x14:formula1>
            <xm:f>項目!A4:$AMW$786434</xm:f>
          </x14:formula1>
          <xm:sqref>ANF786439:ANF786462</xm:sqref>
        </x14:dataValidation>
        <x14:dataValidation type="list" allowBlank="1" showInputMessage="1" showErrorMessage="1" xr:uid="{F868EB6F-BB5C-4F19-AA4A-9340D21A169E}">
          <x14:formula1>
            <xm:f>項目!A4:$AWS$786434</xm:f>
          </x14:formula1>
          <xm:sqref>AXB786439:AXB786462</xm:sqref>
        </x14:dataValidation>
        <x14:dataValidation type="list" allowBlank="1" showInputMessage="1" showErrorMessage="1" xr:uid="{11F4D152-9FEC-4152-9642-4CBFE3DA9690}">
          <x14:formula1>
            <xm:f>項目!A4:$BGO$786434</xm:f>
          </x14:formula1>
          <xm:sqref>BGX786439:BGX786462</xm:sqref>
        </x14:dataValidation>
        <x14:dataValidation type="list" allowBlank="1" showInputMessage="1" showErrorMessage="1" xr:uid="{18BFA118-94CE-4C13-B262-F700C55C0CD0}">
          <x14:formula1>
            <xm:f>項目!A4:$BQK$786434</xm:f>
          </x14:formula1>
          <xm:sqref>BQT786439:BQT786462</xm:sqref>
        </x14:dataValidation>
        <x14:dataValidation type="list" allowBlank="1" showInputMessage="1" showErrorMessage="1" xr:uid="{2E9EEFEC-2873-408C-8C74-D6E0EB80680F}">
          <x14:formula1>
            <xm:f>項目!A4:$CAG$786434</xm:f>
          </x14:formula1>
          <xm:sqref>CAP786439:CAP786462</xm:sqref>
        </x14:dataValidation>
        <x14:dataValidation type="list" allowBlank="1" showInputMessage="1" showErrorMessage="1" xr:uid="{B8B712DE-6C3D-42CE-A3C5-3F448FBA6DF4}">
          <x14:formula1>
            <xm:f>項目!A4:$CKC$786434</xm:f>
          </x14:formula1>
          <xm:sqref>CKL786439:CKL786462</xm:sqref>
        </x14:dataValidation>
        <x14:dataValidation type="list" allowBlank="1" showInputMessage="1" showErrorMessage="1" xr:uid="{586AF307-1715-4A5D-AD8F-90C04A02781F}">
          <x14:formula1>
            <xm:f>項目!A4:$CTY$786434</xm:f>
          </x14:formula1>
          <xm:sqref>CUH786439:CUH786462</xm:sqref>
        </x14:dataValidation>
        <x14:dataValidation type="list" allowBlank="1" showInputMessage="1" showErrorMessage="1" xr:uid="{4E4B3217-A90E-4177-9F95-C169929F71A3}">
          <x14:formula1>
            <xm:f>項目!A4:$DDU$786434</xm:f>
          </x14:formula1>
          <xm:sqref>DED786439:DED786462</xm:sqref>
        </x14:dataValidation>
        <x14:dataValidation type="list" allowBlank="1" showInputMessage="1" showErrorMessage="1" xr:uid="{6D8055B0-BA44-4139-AC3C-88964889FBCF}">
          <x14:formula1>
            <xm:f>項目!A4:$DNQ$786434</xm:f>
          </x14:formula1>
          <xm:sqref>DNZ786439:DNZ786462</xm:sqref>
        </x14:dataValidation>
        <x14:dataValidation type="list" allowBlank="1" showInputMessage="1" showErrorMessage="1" xr:uid="{D767AED9-5951-45E1-AF21-7CCE0F244EC3}">
          <x14:formula1>
            <xm:f>項目!A4:$DXM$786434</xm:f>
          </x14:formula1>
          <xm:sqref>DXV786439:DXV786462</xm:sqref>
        </x14:dataValidation>
        <x14:dataValidation type="list" allowBlank="1" showInputMessage="1" showErrorMessage="1" xr:uid="{8E817592-C3ED-4F22-96EB-867B9F715B24}">
          <x14:formula1>
            <xm:f>項目!A4:$EHI$786434</xm:f>
          </x14:formula1>
          <xm:sqref>EHR786439:EHR786462</xm:sqref>
        </x14:dataValidation>
        <x14:dataValidation type="list" allowBlank="1" showInputMessage="1" showErrorMessage="1" xr:uid="{781EE81B-2F45-4398-884D-A0466A65C7EC}">
          <x14:formula1>
            <xm:f>項目!A4:$ERE$786434</xm:f>
          </x14:formula1>
          <xm:sqref>ERN786439:ERN786462</xm:sqref>
        </x14:dataValidation>
        <x14:dataValidation type="list" allowBlank="1" showInputMessage="1" showErrorMessage="1" xr:uid="{47713257-5EF4-4732-A7FF-436241A3B3F5}">
          <x14:formula1>
            <xm:f>項目!A4:$FBA$786434</xm:f>
          </x14:formula1>
          <xm:sqref>FBJ786439:FBJ786462</xm:sqref>
        </x14:dataValidation>
        <x14:dataValidation type="list" allowBlank="1" showInputMessage="1" showErrorMessage="1" xr:uid="{3212CA68-45FC-4911-93BB-29245797D71E}">
          <x14:formula1>
            <xm:f>項目!A4:$FKW$786434</xm:f>
          </x14:formula1>
          <xm:sqref>FLF786439:FLF786462</xm:sqref>
        </x14:dataValidation>
        <x14:dataValidation type="list" allowBlank="1" showInputMessage="1" showErrorMessage="1" xr:uid="{9DD4C08B-FD01-421E-A702-CBA6F43B18BE}">
          <x14:formula1>
            <xm:f>項目!A4:$FUS$786434</xm:f>
          </x14:formula1>
          <xm:sqref>FVB786439:FVB786462</xm:sqref>
        </x14:dataValidation>
        <x14:dataValidation type="list" allowBlank="1" showInputMessage="1" showErrorMessage="1" xr:uid="{BC98514C-6E43-4AAD-A573-67817B757B5D}">
          <x14:formula1>
            <xm:f>項目!A4:$GEO$786434</xm:f>
          </x14:formula1>
          <xm:sqref>GEX786439:GEX786462</xm:sqref>
        </x14:dataValidation>
        <x14:dataValidation type="list" allowBlank="1" showInputMessage="1" showErrorMessage="1" xr:uid="{4613C637-EF2E-48B2-9A51-207514E8DD37}">
          <x14:formula1>
            <xm:f>項目!A4:$GOK$786434</xm:f>
          </x14:formula1>
          <xm:sqref>GOT786439:GOT786462</xm:sqref>
        </x14:dataValidation>
        <x14:dataValidation type="list" allowBlank="1" showInputMessage="1" showErrorMessage="1" xr:uid="{AA679254-DC97-43F1-891D-9D41E81A5876}">
          <x14:formula1>
            <xm:f>項目!A4:$GYG$786434</xm:f>
          </x14:formula1>
          <xm:sqref>GYP786439:GYP786462</xm:sqref>
        </x14:dataValidation>
        <x14:dataValidation type="list" allowBlank="1" showInputMessage="1" showErrorMessage="1" xr:uid="{94341664-9B87-455A-90E5-211FA22C2C29}">
          <x14:formula1>
            <xm:f>項目!A4:$HIC$786434</xm:f>
          </x14:formula1>
          <xm:sqref>HIL786439:HIL786462</xm:sqref>
        </x14:dataValidation>
        <x14:dataValidation type="list" allowBlank="1" showInputMessage="1" showErrorMessage="1" xr:uid="{4D71C6EE-F2E4-4A69-818F-CB83225903C1}">
          <x14:formula1>
            <xm:f>項目!A4:$HRY$786434</xm:f>
          </x14:formula1>
          <xm:sqref>HSH786439:HSH786462</xm:sqref>
        </x14:dataValidation>
        <x14:dataValidation type="list" allowBlank="1" showInputMessage="1" showErrorMessage="1" xr:uid="{8F50652B-AD04-45D7-8E43-1C59959283CA}">
          <x14:formula1>
            <xm:f>項目!A4:$IBU$786434</xm:f>
          </x14:formula1>
          <xm:sqref>ICD786439:ICD786462</xm:sqref>
        </x14:dataValidation>
        <x14:dataValidation type="list" allowBlank="1" showInputMessage="1" showErrorMessage="1" xr:uid="{5EF7C8EE-99F7-495A-98E2-23227C113A98}">
          <x14:formula1>
            <xm:f>項目!A4:$ILQ$786434</xm:f>
          </x14:formula1>
          <xm:sqref>ILZ786439:ILZ786462</xm:sqref>
        </x14:dataValidation>
        <x14:dataValidation type="list" allowBlank="1" showInputMessage="1" showErrorMessage="1" xr:uid="{D3B2E056-CEF0-4281-B8D8-BD75FC5A21BC}">
          <x14:formula1>
            <xm:f>項目!A4:$IVM$786434</xm:f>
          </x14:formula1>
          <xm:sqref>IVV786439:IVV786462</xm:sqref>
        </x14:dataValidation>
        <x14:dataValidation type="list" allowBlank="1" showInputMessage="1" showErrorMessage="1" xr:uid="{6ADB3C8A-3663-46EF-881A-4CB27A7E0274}">
          <x14:formula1>
            <xm:f>項目!A4:$JFI$786434</xm:f>
          </x14:formula1>
          <xm:sqref>JFR786439:JFR786462</xm:sqref>
        </x14:dataValidation>
        <x14:dataValidation type="list" allowBlank="1" showInputMessage="1" showErrorMessage="1" xr:uid="{D73036C2-D6F8-416C-9271-08276757DED0}">
          <x14:formula1>
            <xm:f>項目!A4:$JPE$786434</xm:f>
          </x14:formula1>
          <xm:sqref>JPN786439:JPN786462</xm:sqref>
        </x14:dataValidation>
        <x14:dataValidation type="list" allowBlank="1" showInputMessage="1" showErrorMessage="1" xr:uid="{0C5CDBFD-6AF7-4D4C-8CDA-F05CDDA28B09}">
          <x14:formula1>
            <xm:f>項目!A4:$JZA$786434</xm:f>
          </x14:formula1>
          <xm:sqref>JZJ786439:JZJ786462</xm:sqref>
        </x14:dataValidation>
        <x14:dataValidation type="list" allowBlank="1" showInputMessage="1" showErrorMessage="1" xr:uid="{7E6BD675-FBB7-450D-8825-3E5A4AA60FDC}">
          <x14:formula1>
            <xm:f>項目!A4:$KIW$786434</xm:f>
          </x14:formula1>
          <xm:sqref>KJF786439:KJF786462</xm:sqref>
        </x14:dataValidation>
        <x14:dataValidation type="list" allowBlank="1" showInputMessage="1" showErrorMessage="1" xr:uid="{F4462F79-9BCD-4C1B-806F-42953A9B9A17}">
          <x14:formula1>
            <xm:f>項目!A4:$KSS$786434</xm:f>
          </x14:formula1>
          <xm:sqref>KTB786439:KTB786462</xm:sqref>
        </x14:dataValidation>
        <x14:dataValidation type="list" allowBlank="1" showInputMessage="1" showErrorMessage="1" xr:uid="{8ABDD06D-9DF5-4D40-9A07-D445610757AC}">
          <x14:formula1>
            <xm:f>項目!A4:$LCO$786434</xm:f>
          </x14:formula1>
          <xm:sqref>LCX786439:LCX786462</xm:sqref>
        </x14:dataValidation>
        <x14:dataValidation type="list" allowBlank="1" showInputMessage="1" showErrorMessage="1" xr:uid="{A6E38BCA-B51C-4D76-BB6F-E12A9B049ECD}">
          <x14:formula1>
            <xm:f>項目!A4:$LMK$786434</xm:f>
          </x14:formula1>
          <xm:sqref>LMT786439:LMT786462</xm:sqref>
        </x14:dataValidation>
        <x14:dataValidation type="list" allowBlank="1" showInputMessage="1" showErrorMessage="1" xr:uid="{2FDA0DDC-0E84-415C-BD06-89FB2BE40050}">
          <x14:formula1>
            <xm:f>項目!A4:$LWG$786434</xm:f>
          </x14:formula1>
          <xm:sqref>LWP786439:LWP786462</xm:sqref>
        </x14:dataValidation>
        <x14:dataValidation type="list" allowBlank="1" showInputMessage="1" showErrorMessage="1" xr:uid="{8681CD66-DE4E-46C3-B7B6-01BD867D0A13}">
          <x14:formula1>
            <xm:f>項目!A4:$MGC$786434</xm:f>
          </x14:formula1>
          <xm:sqref>MGL786439:MGL786462</xm:sqref>
        </x14:dataValidation>
        <x14:dataValidation type="list" allowBlank="1" showInputMessage="1" showErrorMessage="1" xr:uid="{C6525277-6212-403F-8B8B-6D9D3B035B13}">
          <x14:formula1>
            <xm:f>項目!A4:$MPY$786434</xm:f>
          </x14:formula1>
          <xm:sqref>MQH786439:MQH786462</xm:sqref>
        </x14:dataValidation>
        <x14:dataValidation type="list" allowBlank="1" showInputMessage="1" showErrorMessage="1" xr:uid="{BE454CB4-3539-4BC3-80A3-1D367881BDEA}">
          <x14:formula1>
            <xm:f>項目!A4:$MZU$786434</xm:f>
          </x14:formula1>
          <xm:sqref>NAD786439:NAD786462</xm:sqref>
        </x14:dataValidation>
        <x14:dataValidation type="list" allowBlank="1" showInputMessage="1" showErrorMessage="1" xr:uid="{2C45109E-C011-4AAE-A7AA-BD8E38352AA6}">
          <x14:formula1>
            <xm:f>項目!A4:$NJQ$786434</xm:f>
          </x14:formula1>
          <xm:sqref>NJZ786439:NJZ786462</xm:sqref>
        </x14:dataValidation>
        <x14:dataValidation type="list" allowBlank="1" showInputMessage="1" showErrorMessage="1" xr:uid="{297ABB13-C1C2-4A8D-B4BC-9E8525759D18}">
          <x14:formula1>
            <xm:f>項目!A4:$NTM$786434</xm:f>
          </x14:formula1>
          <xm:sqref>NTV786439:NTV786462</xm:sqref>
        </x14:dataValidation>
        <x14:dataValidation type="list" allowBlank="1" showInputMessage="1" showErrorMessage="1" xr:uid="{257A92C9-0144-4FF0-AC46-A8607EECD64D}">
          <x14:formula1>
            <xm:f>項目!A4:$ODI$786434</xm:f>
          </x14:formula1>
          <xm:sqref>ODR786439:ODR786462</xm:sqref>
        </x14:dataValidation>
        <x14:dataValidation type="list" allowBlank="1" showInputMessage="1" showErrorMessage="1" xr:uid="{EA06D789-A94E-4DE8-B950-5583052CECFD}">
          <x14:formula1>
            <xm:f>項目!A4:$ONE$786434</xm:f>
          </x14:formula1>
          <xm:sqref>ONN786439:ONN786462</xm:sqref>
        </x14:dataValidation>
        <x14:dataValidation type="list" allowBlank="1" showInputMessage="1" showErrorMessage="1" xr:uid="{C2F8F9A9-5A40-4C97-A1B3-CE202581A7B4}">
          <x14:formula1>
            <xm:f>項目!A4:$OXA$786434</xm:f>
          </x14:formula1>
          <xm:sqref>OXJ786439:OXJ786462</xm:sqref>
        </x14:dataValidation>
        <x14:dataValidation type="list" allowBlank="1" showInputMessage="1" showErrorMessage="1" xr:uid="{CF3017CB-548D-464B-9272-DD20531A9D07}">
          <x14:formula1>
            <xm:f>項目!A4:$PGW$786434</xm:f>
          </x14:formula1>
          <xm:sqref>PHF786439:PHF786462</xm:sqref>
        </x14:dataValidation>
        <x14:dataValidation type="list" allowBlank="1" showInputMessage="1" showErrorMessage="1" xr:uid="{7CC4A6EA-9022-4D93-849D-A0937E6FE047}">
          <x14:formula1>
            <xm:f>項目!A4:$PQS$786434</xm:f>
          </x14:formula1>
          <xm:sqref>PRB786439:PRB786462</xm:sqref>
        </x14:dataValidation>
        <x14:dataValidation type="list" allowBlank="1" showInputMessage="1" showErrorMessage="1" xr:uid="{0519E542-53A4-417F-B24D-C8060D58F6BE}">
          <x14:formula1>
            <xm:f>項目!A4:$QAO$786434</xm:f>
          </x14:formula1>
          <xm:sqref>QAX786439:QAX786462</xm:sqref>
        </x14:dataValidation>
        <x14:dataValidation type="list" allowBlank="1" showInputMessage="1" showErrorMessage="1" xr:uid="{9687E311-0756-46EE-93E6-D5883028AD9A}">
          <x14:formula1>
            <xm:f>項目!A4:$QKK$786434</xm:f>
          </x14:formula1>
          <xm:sqref>QKT786439:QKT786462</xm:sqref>
        </x14:dataValidation>
        <x14:dataValidation type="list" allowBlank="1" showInputMessage="1" showErrorMessage="1" xr:uid="{D52CA268-EBCA-40E0-B76D-FFF86F30EE35}">
          <x14:formula1>
            <xm:f>項目!A4:$QUG$786434</xm:f>
          </x14:formula1>
          <xm:sqref>QUP786439:QUP786462</xm:sqref>
        </x14:dataValidation>
        <x14:dataValidation type="list" allowBlank="1" showInputMessage="1" showErrorMessage="1" xr:uid="{D6E91D18-6B6F-4EC3-A19E-9145D93E8166}">
          <x14:formula1>
            <xm:f>項目!A4:$REC$786434</xm:f>
          </x14:formula1>
          <xm:sqref>REL786439:REL786462</xm:sqref>
        </x14:dataValidation>
        <x14:dataValidation type="list" allowBlank="1" showInputMessage="1" showErrorMessage="1" xr:uid="{401F8DD2-79A9-4D32-9C1A-78378FCCF0F9}">
          <x14:formula1>
            <xm:f>項目!A4:$RNY$786434</xm:f>
          </x14:formula1>
          <xm:sqref>ROH786439:ROH786462</xm:sqref>
        </x14:dataValidation>
        <x14:dataValidation type="list" allowBlank="1" showInputMessage="1" showErrorMessage="1" xr:uid="{189F33E1-54D2-4374-B109-BE33BABA648C}">
          <x14:formula1>
            <xm:f>項目!A4:$RXU$786434</xm:f>
          </x14:formula1>
          <xm:sqref>RYD786439:RYD786462</xm:sqref>
        </x14:dataValidation>
        <x14:dataValidation type="list" allowBlank="1" showInputMessage="1" showErrorMessage="1" xr:uid="{697F58E9-0165-4593-86BF-F273B0A68C50}">
          <x14:formula1>
            <xm:f>項目!A4:$SHQ$786434</xm:f>
          </x14:formula1>
          <xm:sqref>SHZ786439:SHZ786462</xm:sqref>
        </x14:dataValidation>
        <x14:dataValidation type="list" allowBlank="1" showInputMessage="1" showErrorMessage="1" xr:uid="{096642BF-46FA-4EFB-A308-F414A3AA496C}">
          <x14:formula1>
            <xm:f>項目!A4:$SRM$786434</xm:f>
          </x14:formula1>
          <xm:sqref>SRV786439:SRV786462</xm:sqref>
        </x14:dataValidation>
        <x14:dataValidation type="list" allowBlank="1" showInputMessage="1" showErrorMessage="1" xr:uid="{E017960C-5E48-4B64-9F31-97282739B6D4}">
          <x14:formula1>
            <xm:f>項目!A4:$TBI$786434</xm:f>
          </x14:formula1>
          <xm:sqref>TBR786439:TBR786462</xm:sqref>
        </x14:dataValidation>
        <x14:dataValidation type="list" allowBlank="1" showInputMessage="1" showErrorMessage="1" xr:uid="{6AD17ABF-41CD-4B87-8704-972779DACAF6}">
          <x14:formula1>
            <xm:f>項目!A4:$TLE$786434</xm:f>
          </x14:formula1>
          <xm:sqref>TLN786439:TLN786462</xm:sqref>
        </x14:dataValidation>
        <x14:dataValidation type="list" allowBlank="1" showInputMessage="1" showErrorMessage="1" xr:uid="{89A2F82E-D95C-4526-B0B2-274EE8F5B262}">
          <x14:formula1>
            <xm:f>項目!A4:$TVA$786434</xm:f>
          </x14:formula1>
          <xm:sqref>TVJ786439:TVJ786462</xm:sqref>
        </x14:dataValidation>
        <x14:dataValidation type="list" allowBlank="1" showInputMessage="1" showErrorMessage="1" xr:uid="{C51FE59E-ED72-43C0-ADB0-45CEFFC7519D}">
          <x14:formula1>
            <xm:f>項目!A4:$UEW$786434</xm:f>
          </x14:formula1>
          <xm:sqref>UFF786439:UFF786462</xm:sqref>
        </x14:dataValidation>
        <x14:dataValidation type="list" allowBlank="1" showInputMessage="1" showErrorMessage="1" xr:uid="{55C4075A-FB25-4919-9A6D-1458D936416E}">
          <x14:formula1>
            <xm:f>項目!A4:$UOS$786434</xm:f>
          </x14:formula1>
          <xm:sqref>UPB786439:UPB786462</xm:sqref>
        </x14:dataValidation>
        <x14:dataValidation type="list" allowBlank="1" showInputMessage="1" showErrorMessage="1" xr:uid="{697F089C-58C0-4043-A537-C3B008781E42}">
          <x14:formula1>
            <xm:f>項目!A4:$UYO$786434</xm:f>
          </x14:formula1>
          <xm:sqref>UYX786439:UYX786462</xm:sqref>
        </x14:dataValidation>
        <x14:dataValidation type="list" allowBlank="1" showInputMessage="1" showErrorMessage="1" xr:uid="{AB7F7B1B-4C64-480D-923D-85CDE6F69C19}">
          <x14:formula1>
            <xm:f>項目!A4:$VIK$786434</xm:f>
          </x14:formula1>
          <xm:sqref>VIT786439:VIT786462</xm:sqref>
        </x14:dataValidation>
        <x14:dataValidation type="list" allowBlank="1" showInputMessage="1" showErrorMessage="1" xr:uid="{632BF45F-76EB-46F9-A618-4DB329BFC329}">
          <x14:formula1>
            <xm:f>項目!A4:$VSG$786434</xm:f>
          </x14:formula1>
          <xm:sqref>VSP786439:VSP786462</xm:sqref>
        </x14:dataValidation>
        <x14:dataValidation type="list" allowBlank="1" showInputMessage="1" showErrorMessage="1" xr:uid="{8D538293-4B4A-4AA8-BDFB-5F4AD6A4EA20}">
          <x14:formula1>
            <xm:f>項目!A4:$WCC$786434</xm:f>
          </x14:formula1>
          <xm:sqref>WCL786439:WCL786462</xm:sqref>
        </x14:dataValidation>
        <x14:dataValidation type="list" allowBlank="1" showInputMessage="1" showErrorMessage="1" xr:uid="{3238750F-7479-40FD-990B-CBDB01D51556}">
          <x14:formula1>
            <xm:f>項目!A4:$WLY$786434</xm:f>
          </x14:formula1>
          <xm:sqref>WMH786439:WMH786462</xm:sqref>
        </x14:dataValidation>
        <x14:dataValidation type="list" allowBlank="1" showInputMessage="1" showErrorMessage="1" xr:uid="{AC27450F-F653-4DD3-94B1-7BA96C1A38F2}">
          <x14:formula1>
            <xm:f>項目!A4:$WVU$786434</xm:f>
          </x14:formula1>
          <xm:sqref>WWD786439:WWD786462</xm:sqref>
        </x14:dataValidation>
        <x14:dataValidation type="list" allowBlank="1" showInputMessage="1" showErrorMessage="1" xr:uid="{BFAC2121-902F-460A-9DAE-0101DB4AB1F5}">
          <x14:formula1>
            <xm:f>項目!A4:$N$851970</xm:f>
          </x14:formula1>
          <xm:sqref>V851975:V851998</xm:sqref>
        </x14:dataValidation>
        <x14:dataValidation type="list" allowBlank="1" showInputMessage="1" showErrorMessage="1" xr:uid="{B1F4FC37-336F-4E36-8061-E1E05757126E}">
          <x14:formula1>
            <xm:f>項目!A4:$JI$851970</xm:f>
          </x14:formula1>
          <xm:sqref>JR851975:JR851998</xm:sqref>
        </x14:dataValidation>
        <x14:dataValidation type="list" allowBlank="1" showInputMessage="1" showErrorMessage="1" xr:uid="{A068AB7D-6AE0-4F9A-B85E-AEE6E6CD6C44}">
          <x14:formula1>
            <xm:f>項目!A4:$TE$851970</xm:f>
          </x14:formula1>
          <xm:sqref>TN851975:TN851998</xm:sqref>
        </x14:dataValidation>
        <x14:dataValidation type="list" allowBlank="1" showInputMessage="1" showErrorMessage="1" xr:uid="{6F3F96D9-6B1F-4524-8484-E6A61BAF8A26}">
          <x14:formula1>
            <xm:f>項目!A4:$ADA$851970</xm:f>
          </x14:formula1>
          <xm:sqref>ADJ851975:ADJ851998</xm:sqref>
        </x14:dataValidation>
        <x14:dataValidation type="list" allowBlank="1" showInputMessage="1" showErrorMessage="1" xr:uid="{92DFDDEE-525A-4B99-8710-7B7BE392971E}">
          <x14:formula1>
            <xm:f>項目!A4:$AMW$851970</xm:f>
          </x14:formula1>
          <xm:sqref>ANF851975:ANF851998</xm:sqref>
        </x14:dataValidation>
        <x14:dataValidation type="list" allowBlank="1" showInputMessage="1" showErrorMessage="1" xr:uid="{C2FD864B-83EB-4709-89EF-C4995DBE3B17}">
          <x14:formula1>
            <xm:f>項目!A4:$AWS$851970</xm:f>
          </x14:formula1>
          <xm:sqref>AXB851975:AXB851998</xm:sqref>
        </x14:dataValidation>
        <x14:dataValidation type="list" allowBlank="1" showInputMessage="1" showErrorMessage="1" xr:uid="{B83E5DE5-DF66-45AE-9DCC-68F617FBD62E}">
          <x14:formula1>
            <xm:f>項目!A4:$BGO$851970</xm:f>
          </x14:formula1>
          <xm:sqref>BGX851975:BGX851998</xm:sqref>
        </x14:dataValidation>
        <x14:dataValidation type="list" allowBlank="1" showInputMessage="1" showErrorMessage="1" xr:uid="{D813F46A-872B-45E2-AE08-B4FC1FE0B290}">
          <x14:formula1>
            <xm:f>項目!A4:$BQK$851970</xm:f>
          </x14:formula1>
          <xm:sqref>BQT851975:BQT851998</xm:sqref>
        </x14:dataValidation>
        <x14:dataValidation type="list" allowBlank="1" showInputMessage="1" showErrorMessage="1" xr:uid="{2C21C685-2290-4EFE-A18F-6082245E1F1A}">
          <x14:formula1>
            <xm:f>項目!A4:$CAG$851970</xm:f>
          </x14:formula1>
          <xm:sqref>CAP851975:CAP851998</xm:sqref>
        </x14:dataValidation>
        <x14:dataValidation type="list" allowBlank="1" showInputMessage="1" showErrorMessage="1" xr:uid="{E9F5027F-F34A-4C17-836B-50284901F090}">
          <x14:formula1>
            <xm:f>項目!A4:$CKC$851970</xm:f>
          </x14:formula1>
          <xm:sqref>CKL851975:CKL851998</xm:sqref>
        </x14:dataValidation>
        <x14:dataValidation type="list" allowBlank="1" showInputMessage="1" showErrorMessage="1" xr:uid="{127297B5-8242-42DD-AF7B-B7442E7C4E12}">
          <x14:formula1>
            <xm:f>項目!A4:$CTY$851970</xm:f>
          </x14:formula1>
          <xm:sqref>CUH851975:CUH851998</xm:sqref>
        </x14:dataValidation>
        <x14:dataValidation type="list" allowBlank="1" showInputMessage="1" showErrorMessage="1" xr:uid="{A9AE386C-071F-4457-B007-E13898A39527}">
          <x14:formula1>
            <xm:f>項目!A4:$DDU$851970</xm:f>
          </x14:formula1>
          <xm:sqref>DED851975:DED851998</xm:sqref>
        </x14:dataValidation>
        <x14:dataValidation type="list" allowBlank="1" showInputMessage="1" showErrorMessage="1" xr:uid="{F5AC77A6-464F-44A1-BD23-53F266E5DAC8}">
          <x14:formula1>
            <xm:f>項目!A4:$DNQ$851970</xm:f>
          </x14:formula1>
          <xm:sqref>DNZ851975:DNZ851998</xm:sqref>
        </x14:dataValidation>
        <x14:dataValidation type="list" allowBlank="1" showInputMessage="1" showErrorMessage="1" xr:uid="{ACBC86CF-5ADA-4BE3-BE5E-619B9A13C9BB}">
          <x14:formula1>
            <xm:f>項目!A4:$DXM$851970</xm:f>
          </x14:formula1>
          <xm:sqref>DXV851975:DXV851998</xm:sqref>
        </x14:dataValidation>
        <x14:dataValidation type="list" allowBlank="1" showInputMessage="1" showErrorMessage="1" xr:uid="{49A0CE7E-7D46-42DA-9F26-D43FB16F833E}">
          <x14:formula1>
            <xm:f>項目!A4:$EHI$851970</xm:f>
          </x14:formula1>
          <xm:sqref>EHR851975:EHR851998</xm:sqref>
        </x14:dataValidation>
        <x14:dataValidation type="list" allowBlank="1" showInputMessage="1" showErrorMessage="1" xr:uid="{574EEE21-B0F8-46A5-85D1-144B91185E82}">
          <x14:formula1>
            <xm:f>項目!A4:$ERE$851970</xm:f>
          </x14:formula1>
          <xm:sqref>ERN851975:ERN851998</xm:sqref>
        </x14:dataValidation>
        <x14:dataValidation type="list" allowBlank="1" showInputMessage="1" showErrorMessage="1" xr:uid="{9CBA732B-74EF-44CB-B5BF-3E819BFA8285}">
          <x14:formula1>
            <xm:f>項目!A4:$FBA$851970</xm:f>
          </x14:formula1>
          <xm:sqref>FBJ851975:FBJ851998</xm:sqref>
        </x14:dataValidation>
        <x14:dataValidation type="list" allowBlank="1" showInputMessage="1" showErrorMessage="1" xr:uid="{866D211B-801F-4B45-B43B-E28F32CE5C9C}">
          <x14:formula1>
            <xm:f>項目!A4:$FKW$851970</xm:f>
          </x14:formula1>
          <xm:sqref>FLF851975:FLF851998</xm:sqref>
        </x14:dataValidation>
        <x14:dataValidation type="list" allowBlank="1" showInputMessage="1" showErrorMessage="1" xr:uid="{AB6964D7-60CA-4C1E-81A7-7CD2DCEF41EC}">
          <x14:formula1>
            <xm:f>項目!A4:$FUS$851970</xm:f>
          </x14:formula1>
          <xm:sqref>FVB851975:FVB851998</xm:sqref>
        </x14:dataValidation>
        <x14:dataValidation type="list" allowBlank="1" showInputMessage="1" showErrorMessage="1" xr:uid="{CC1F7CAE-2110-4B6E-B0F7-8CD3B207D9C6}">
          <x14:formula1>
            <xm:f>項目!A4:$GEO$851970</xm:f>
          </x14:formula1>
          <xm:sqref>GEX851975:GEX851998</xm:sqref>
        </x14:dataValidation>
        <x14:dataValidation type="list" allowBlank="1" showInputMessage="1" showErrorMessage="1" xr:uid="{BB6223B9-1A8D-469A-AFF2-33B9DE3E270A}">
          <x14:formula1>
            <xm:f>項目!A4:$GOK$851970</xm:f>
          </x14:formula1>
          <xm:sqref>GOT851975:GOT851998</xm:sqref>
        </x14:dataValidation>
        <x14:dataValidation type="list" allowBlank="1" showInputMessage="1" showErrorMessage="1" xr:uid="{A0CAB886-7D6E-4F8F-AF88-CBBBB43D8A76}">
          <x14:formula1>
            <xm:f>項目!A4:$GYG$851970</xm:f>
          </x14:formula1>
          <xm:sqref>GYP851975:GYP851998</xm:sqref>
        </x14:dataValidation>
        <x14:dataValidation type="list" allowBlank="1" showInputMessage="1" showErrorMessage="1" xr:uid="{F87A1D1A-4FE0-46A9-BDAC-645A82F5ACCE}">
          <x14:formula1>
            <xm:f>項目!A4:$HIC$851970</xm:f>
          </x14:formula1>
          <xm:sqref>HIL851975:HIL851998</xm:sqref>
        </x14:dataValidation>
        <x14:dataValidation type="list" allowBlank="1" showInputMessage="1" showErrorMessage="1" xr:uid="{004F9896-AA66-448F-83CE-898CC03388DF}">
          <x14:formula1>
            <xm:f>項目!A4:$HRY$851970</xm:f>
          </x14:formula1>
          <xm:sqref>HSH851975:HSH851998</xm:sqref>
        </x14:dataValidation>
        <x14:dataValidation type="list" allowBlank="1" showInputMessage="1" showErrorMessage="1" xr:uid="{E88219F2-3842-4ADF-A76A-C248C59E2C2A}">
          <x14:formula1>
            <xm:f>項目!A4:$IBU$851970</xm:f>
          </x14:formula1>
          <xm:sqref>ICD851975:ICD851998</xm:sqref>
        </x14:dataValidation>
        <x14:dataValidation type="list" allowBlank="1" showInputMessage="1" showErrorMessage="1" xr:uid="{7A377D37-8BF1-41C0-9D00-582EC6420324}">
          <x14:formula1>
            <xm:f>項目!A4:$ILQ$851970</xm:f>
          </x14:formula1>
          <xm:sqref>ILZ851975:ILZ851998</xm:sqref>
        </x14:dataValidation>
        <x14:dataValidation type="list" allowBlank="1" showInputMessage="1" showErrorMessage="1" xr:uid="{915B7D5B-5B2F-47C2-91BC-38D0E63C3297}">
          <x14:formula1>
            <xm:f>項目!A4:$IVM$851970</xm:f>
          </x14:formula1>
          <xm:sqref>IVV851975:IVV851998</xm:sqref>
        </x14:dataValidation>
        <x14:dataValidation type="list" allowBlank="1" showInputMessage="1" showErrorMessage="1" xr:uid="{986CCDCC-4236-4E67-873C-5F6E6463BAF3}">
          <x14:formula1>
            <xm:f>項目!A4:$JFI$851970</xm:f>
          </x14:formula1>
          <xm:sqref>JFR851975:JFR851998</xm:sqref>
        </x14:dataValidation>
        <x14:dataValidation type="list" allowBlank="1" showInputMessage="1" showErrorMessage="1" xr:uid="{39FF8C7D-A7B1-45EA-B0A4-8E355578F714}">
          <x14:formula1>
            <xm:f>項目!A4:$JPE$851970</xm:f>
          </x14:formula1>
          <xm:sqref>JPN851975:JPN851998</xm:sqref>
        </x14:dataValidation>
        <x14:dataValidation type="list" allowBlank="1" showInputMessage="1" showErrorMessage="1" xr:uid="{E591B8DE-6F34-4297-A41C-8B5E503E4034}">
          <x14:formula1>
            <xm:f>項目!A4:$JZA$851970</xm:f>
          </x14:formula1>
          <xm:sqref>JZJ851975:JZJ851998</xm:sqref>
        </x14:dataValidation>
        <x14:dataValidation type="list" allowBlank="1" showInputMessage="1" showErrorMessage="1" xr:uid="{3E80AC8A-F7CF-4106-BC21-D19B83F65462}">
          <x14:formula1>
            <xm:f>項目!A4:$KIW$851970</xm:f>
          </x14:formula1>
          <xm:sqref>KJF851975:KJF851998</xm:sqref>
        </x14:dataValidation>
        <x14:dataValidation type="list" allowBlank="1" showInputMessage="1" showErrorMessage="1" xr:uid="{99301D3C-EC3C-4E75-BD4B-1AE86792CC16}">
          <x14:formula1>
            <xm:f>項目!A4:$KSS$851970</xm:f>
          </x14:formula1>
          <xm:sqref>KTB851975:KTB851998</xm:sqref>
        </x14:dataValidation>
        <x14:dataValidation type="list" allowBlank="1" showInputMessage="1" showErrorMessage="1" xr:uid="{3F98CF0D-4BB5-42E3-AC55-75E211A4BD8D}">
          <x14:formula1>
            <xm:f>項目!A4:$LCO$851970</xm:f>
          </x14:formula1>
          <xm:sqref>LCX851975:LCX851998</xm:sqref>
        </x14:dataValidation>
        <x14:dataValidation type="list" allowBlank="1" showInputMessage="1" showErrorMessage="1" xr:uid="{47D048FA-BD3D-4C55-BB45-03F9AD7EC3D7}">
          <x14:formula1>
            <xm:f>項目!A4:$LMK$851970</xm:f>
          </x14:formula1>
          <xm:sqref>LMT851975:LMT851998</xm:sqref>
        </x14:dataValidation>
        <x14:dataValidation type="list" allowBlank="1" showInputMessage="1" showErrorMessage="1" xr:uid="{8CCAC219-D855-4822-81D3-BE22ACF552B2}">
          <x14:formula1>
            <xm:f>項目!A4:$LWG$851970</xm:f>
          </x14:formula1>
          <xm:sqref>LWP851975:LWP851998</xm:sqref>
        </x14:dataValidation>
        <x14:dataValidation type="list" allowBlank="1" showInputMessage="1" showErrorMessage="1" xr:uid="{D749045F-1873-4B66-A5DD-78F722D14032}">
          <x14:formula1>
            <xm:f>項目!A4:$MGC$851970</xm:f>
          </x14:formula1>
          <xm:sqref>MGL851975:MGL851998</xm:sqref>
        </x14:dataValidation>
        <x14:dataValidation type="list" allowBlank="1" showInputMessage="1" showErrorMessage="1" xr:uid="{C4D35EF7-6626-4106-9E7E-6A97D6AF2ACA}">
          <x14:formula1>
            <xm:f>項目!A4:$MPY$851970</xm:f>
          </x14:formula1>
          <xm:sqref>MQH851975:MQH851998</xm:sqref>
        </x14:dataValidation>
        <x14:dataValidation type="list" allowBlank="1" showInputMessage="1" showErrorMessage="1" xr:uid="{1A7B9077-8E4F-4FD1-B15B-9839C7B270F8}">
          <x14:formula1>
            <xm:f>項目!A4:$MZU$851970</xm:f>
          </x14:formula1>
          <xm:sqref>NAD851975:NAD851998</xm:sqref>
        </x14:dataValidation>
        <x14:dataValidation type="list" allowBlank="1" showInputMessage="1" showErrorMessage="1" xr:uid="{51A63CF0-D9BF-4DA8-98A1-4DE4CEB99BF3}">
          <x14:formula1>
            <xm:f>項目!A4:$NJQ$851970</xm:f>
          </x14:formula1>
          <xm:sqref>NJZ851975:NJZ851998</xm:sqref>
        </x14:dataValidation>
        <x14:dataValidation type="list" allowBlank="1" showInputMessage="1" showErrorMessage="1" xr:uid="{D33E3439-F49E-4A00-AE24-7BDFFC8B6984}">
          <x14:formula1>
            <xm:f>項目!A4:$NTM$851970</xm:f>
          </x14:formula1>
          <xm:sqref>NTV851975:NTV851998</xm:sqref>
        </x14:dataValidation>
        <x14:dataValidation type="list" allowBlank="1" showInputMessage="1" showErrorMessage="1" xr:uid="{BC303DA1-6A71-4675-8CE4-560B8C741C09}">
          <x14:formula1>
            <xm:f>項目!A4:$ODI$851970</xm:f>
          </x14:formula1>
          <xm:sqref>ODR851975:ODR851998</xm:sqref>
        </x14:dataValidation>
        <x14:dataValidation type="list" allowBlank="1" showInputMessage="1" showErrorMessage="1" xr:uid="{E1111895-EE36-4AC9-89ED-75EDBF68EA32}">
          <x14:formula1>
            <xm:f>項目!A4:$ONE$851970</xm:f>
          </x14:formula1>
          <xm:sqref>ONN851975:ONN851998</xm:sqref>
        </x14:dataValidation>
        <x14:dataValidation type="list" allowBlank="1" showInputMessage="1" showErrorMessage="1" xr:uid="{76B6AA09-C6A2-488C-BC7D-2FC29248CAAD}">
          <x14:formula1>
            <xm:f>項目!A4:$OXA$851970</xm:f>
          </x14:formula1>
          <xm:sqref>OXJ851975:OXJ851998</xm:sqref>
        </x14:dataValidation>
        <x14:dataValidation type="list" allowBlank="1" showInputMessage="1" showErrorMessage="1" xr:uid="{171F7FE9-149F-4A1F-8F16-F7AD02035DDA}">
          <x14:formula1>
            <xm:f>項目!A4:$PGW$851970</xm:f>
          </x14:formula1>
          <xm:sqref>PHF851975:PHF851998</xm:sqref>
        </x14:dataValidation>
        <x14:dataValidation type="list" allowBlank="1" showInputMessage="1" showErrorMessage="1" xr:uid="{17F7BFA9-6B60-4CA4-A548-7948E7AD6371}">
          <x14:formula1>
            <xm:f>項目!A4:$PQS$851970</xm:f>
          </x14:formula1>
          <xm:sqref>PRB851975:PRB851998</xm:sqref>
        </x14:dataValidation>
        <x14:dataValidation type="list" allowBlank="1" showInputMessage="1" showErrorMessage="1" xr:uid="{2BE6A691-DF30-47BD-AB37-15D3EE2B26F9}">
          <x14:formula1>
            <xm:f>項目!A4:$QAO$851970</xm:f>
          </x14:formula1>
          <xm:sqref>QAX851975:QAX851998</xm:sqref>
        </x14:dataValidation>
        <x14:dataValidation type="list" allowBlank="1" showInputMessage="1" showErrorMessage="1" xr:uid="{3D7C6983-415C-42AB-970E-8CADE62C9843}">
          <x14:formula1>
            <xm:f>項目!A4:$QKK$851970</xm:f>
          </x14:formula1>
          <xm:sqref>QKT851975:QKT851998</xm:sqref>
        </x14:dataValidation>
        <x14:dataValidation type="list" allowBlank="1" showInputMessage="1" showErrorMessage="1" xr:uid="{1B5780F9-959A-4904-AC3F-9D5D1ABB2CEE}">
          <x14:formula1>
            <xm:f>項目!A4:$QUG$851970</xm:f>
          </x14:formula1>
          <xm:sqref>QUP851975:QUP851998</xm:sqref>
        </x14:dataValidation>
        <x14:dataValidation type="list" allowBlank="1" showInputMessage="1" showErrorMessage="1" xr:uid="{3FC74AE2-D7F9-43B1-9CD7-08672DB2F8AB}">
          <x14:formula1>
            <xm:f>項目!A4:$REC$851970</xm:f>
          </x14:formula1>
          <xm:sqref>REL851975:REL851998</xm:sqref>
        </x14:dataValidation>
        <x14:dataValidation type="list" allowBlank="1" showInputMessage="1" showErrorMessage="1" xr:uid="{8A3A843C-E157-4614-BE2E-1A3FBD53C799}">
          <x14:formula1>
            <xm:f>項目!A4:$RNY$851970</xm:f>
          </x14:formula1>
          <xm:sqref>ROH851975:ROH851998</xm:sqref>
        </x14:dataValidation>
        <x14:dataValidation type="list" allowBlank="1" showInputMessage="1" showErrorMessage="1" xr:uid="{180B421F-FD8C-4FC6-9BEC-DB76975F57FB}">
          <x14:formula1>
            <xm:f>項目!A4:$RXU$851970</xm:f>
          </x14:formula1>
          <xm:sqref>RYD851975:RYD851998</xm:sqref>
        </x14:dataValidation>
        <x14:dataValidation type="list" allowBlank="1" showInputMessage="1" showErrorMessage="1" xr:uid="{A6C9059D-8B22-4934-B01D-D55E38EB6B1E}">
          <x14:formula1>
            <xm:f>項目!A4:$SHQ$851970</xm:f>
          </x14:formula1>
          <xm:sqref>SHZ851975:SHZ851998</xm:sqref>
        </x14:dataValidation>
        <x14:dataValidation type="list" allowBlank="1" showInputMessage="1" showErrorMessage="1" xr:uid="{24D901D4-5D9A-46AC-BDE9-25DD123FA2A2}">
          <x14:formula1>
            <xm:f>項目!A4:$SRM$851970</xm:f>
          </x14:formula1>
          <xm:sqref>SRV851975:SRV851998</xm:sqref>
        </x14:dataValidation>
        <x14:dataValidation type="list" allowBlank="1" showInputMessage="1" showErrorMessage="1" xr:uid="{29C20FE3-5B3A-4479-BBA1-26D7942C881B}">
          <x14:formula1>
            <xm:f>項目!A4:$TBI$851970</xm:f>
          </x14:formula1>
          <xm:sqref>TBR851975:TBR851998</xm:sqref>
        </x14:dataValidation>
        <x14:dataValidation type="list" allowBlank="1" showInputMessage="1" showErrorMessage="1" xr:uid="{7B9F3C76-3B74-41DA-B964-DDB3262A7669}">
          <x14:formula1>
            <xm:f>項目!A4:$TLE$851970</xm:f>
          </x14:formula1>
          <xm:sqref>TLN851975:TLN851998</xm:sqref>
        </x14:dataValidation>
        <x14:dataValidation type="list" allowBlank="1" showInputMessage="1" showErrorMessage="1" xr:uid="{C32DD812-F85D-4D03-8EDA-8225788B1E6C}">
          <x14:formula1>
            <xm:f>項目!A4:$TVA$851970</xm:f>
          </x14:formula1>
          <xm:sqref>TVJ851975:TVJ851998</xm:sqref>
        </x14:dataValidation>
        <x14:dataValidation type="list" allowBlank="1" showInputMessage="1" showErrorMessage="1" xr:uid="{118520A6-D6E5-4368-844F-48B13D661861}">
          <x14:formula1>
            <xm:f>項目!A4:$UEW$851970</xm:f>
          </x14:formula1>
          <xm:sqref>UFF851975:UFF851998</xm:sqref>
        </x14:dataValidation>
        <x14:dataValidation type="list" allowBlank="1" showInputMessage="1" showErrorMessage="1" xr:uid="{48A902E6-6125-4F45-AF74-EC941AD71B99}">
          <x14:formula1>
            <xm:f>項目!A4:$UOS$851970</xm:f>
          </x14:formula1>
          <xm:sqref>UPB851975:UPB851998</xm:sqref>
        </x14:dataValidation>
        <x14:dataValidation type="list" allowBlank="1" showInputMessage="1" showErrorMessage="1" xr:uid="{6ED22CF3-4D76-4D45-AF58-54B96743E269}">
          <x14:formula1>
            <xm:f>項目!A4:$UYO$851970</xm:f>
          </x14:formula1>
          <xm:sqref>UYX851975:UYX851998</xm:sqref>
        </x14:dataValidation>
        <x14:dataValidation type="list" allowBlank="1" showInputMessage="1" showErrorMessage="1" xr:uid="{48C6221B-0214-488D-9953-8C246CFE7B69}">
          <x14:formula1>
            <xm:f>項目!A4:$VIK$851970</xm:f>
          </x14:formula1>
          <xm:sqref>VIT851975:VIT851998</xm:sqref>
        </x14:dataValidation>
        <x14:dataValidation type="list" allowBlank="1" showInputMessage="1" showErrorMessage="1" xr:uid="{142308EB-8B82-4A37-86F7-18FC1E02AB27}">
          <x14:formula1>
            <xm:f>項目!A4:$VSG$851970</xm:f>
          </x14:formula1>
          <xm:sqref>VSP851975:VSP851998</xm:sqref>
        </x14:dataValidation>
        <x14:dataValidation type="list" allowBlank="1" showInputMessage="1" showErrorMessage="1" xr:uid="{F16D7E54-D536-4B4D-BDB9-C62B1B5F6BAE}">
          <x14:formula1>
            <xm:f>項目!A4:$WCC$851970</xm:f>
          </x14:formula1>
          <xm:sqref>WCL851975:WCL851998</xm:sqref>
        </x14:dataValidation>
        <x14:dataValidation type="list" allowBlank="1" showInputMessage="1" showErrorMessage="1" xr:uid="{3A8B9721-0A9C-4217-9974-5C5B6D6341C0}">
          <x14:formula1>
            <xm:f>項目!A4:$WLY$851970</xm:f>
          </x14:formula1>
          <xm:sqref>WMH851975:WMH851998</xm:sqref>
        </x14:dataValidation>
        <x14:dataValidation type="list" allowBlank="1" showInputMessage="1" showErrorMessage="1" xr:uid="{A7A95C21-35CE-4929-B312-0F25592CBFEC}">
          <x14:formula1>
            <xm:f>項目!A4:$WVU$851970</xm:f>
          </x14:formula1>
          <xm:sqref>WWD851975:WWD851998</xm:sqref>
        </x14:dataValidation>
        <x14:dataValidation type="list" allowBlank="1" showInputMessage="1" showErrorMessage="1" xr:uid="{3276D29C-BF06-4161-95F7-684D76F0168E}">
          <x14:formula1>
            <xm:f>項目!A4:$N$917506</xm:f>
          </x14:formula1>
          <xm:sqref>V917511:V917534</xm:sqref>
        </x14:dataValidation>
        <x14:dataValidation type="list" allowBlank="1" showInputMessage="1" showErrorMessage="1" xr:uid="{199B0F1F-6871-4D68-BF04-F5E062A4A6C7}">
          <x14:formula1>
            <xm:f>項目!A4:$JI$917506</xm:f>
          </x14:formula1>
          <xm:sqref>JR917511:JR917534</xm:sqref>
        </x14:dataValidation>
        <x14:dataValidation type="list" allowBlank="1" showInputMessage="1" showErrorMessage="1" xr:uid="{DE458917-EDA1-46F0-A228-9EC99F671E02}">
          <x14:formula1>
            <xm:f>項目!A4:$TE$917506</xm:f>
          </x14:formula1>
          <xm:sqref>TN917511:TN917534</xm:sqref>
        </x14:dataValidation>
        <x14:dataValidation type="list" allowBlank="1" showInputMessage="1" showErrorMessage="1" xr:uid="{C090B550-7C76-4C95-B31F-DC66EB5330ED}">
          <x14:formula1>
            <xm:f>項目!A4:$ADA$917506</xm:f>
          </x14:formula1>
          <xm:sqref>ADJ917511:ADJ917534</xm:sqref>
        </x14:dataValidation>
        <x14:dataValidation type="list" allowBlank="1" showInputMessage="1" showErrorMessage="1" xr:uid="{4566701F-F57C-4222-85D2-85563EBCCDE1}">
          <x14:formula1>
            <xm:f>項目!A4:$AMW$917506</xm:f>
          </x14:formula1>
          <xm:sqref>ANF917511:ANF917534</xm:sqref>
        </x14:dataValidation>
        <x14:dataValidation type="list" allowBlank="1" showInputMessage="1" showErrorMessage="1" xr:uid="{2205CF7E-35A2-4378-9A14-CF2A70F0C465}">
          <x14:formula1>
            <xm:f>項目!A4:$AWS$917506</xm:f>
          </x14:formula1>
          <xm:sqref>AXB917511:AXB917534</xm:sqref>
        </x14:dataValidation>
        <x14:dataValidation type="list" allowBlank="1" showInputMessage="1" showErrorMessage="1" xr:uid="{B9964CF3-4C3A-4643-BA71-4346560AAD95}">
          <x14:formula1>
            <xm:f>項目!A4:$BGO$917506</xm:f>
          </x14:formula1>
          <xm:sqref>BGX917511:BGX917534</xm:sqref>
        </x14:dataValidation>
        <x14:dataValidation type="list" allowBlank="1" showInputMessage="1" showErrorMessage="1" xr:uid="{E649DE30-73A6-4EEB-ABC8-C13C258BFDD8}">
          <x14:formula1>
            <xm:f>項目!A4:$BQK$917506</xm:f>
          </x14:formula1>
          <xm:sqref>BQT917511:BQT917534</xm:sqref>
        </x14:dataValidation>
        <x14:dataValidation type="list" allowBlank="1" showInputMessage="1" showErrorMessage="1" xr:uid="{059C8B36-42B4-44FE-885B-39DFBD7B09D9}">
          <x14:formula1>
            <xm:f>項目!A4:$CAG$917506</xm:f>
          </x14:formula1>
          <xm:sqref>CAP917511:CAP917534</xm:sqref>
        </x14:dataValidation>
        <x14:dataValidation type="list" allowBlank="1" showInputMessage="1" showErrorMessage="1" xr:uid="{8152459C-5530-4D46-ABCF-CF176DA6AF86}">
          <x14:formula1>
            <xm:f>項目!A4:$CKC$917506</xm:f>
          </x14:formula1>
          <xm:sqref>CKL917511:CKL917534</xm:sqref>
        </x14:dataValidation>
        <x14:dataValidation type="list" allowBlank="1" showInputMessage="1" showErrorMessage="1" xr:uid="{68AA32F7-2076-4E35-B1D2-64DB3C1D563C}">
          <x14:formula1>
            <xm:f>項目!A4:$CTY$917506</xm:f>
          </x14:formula1>
          <xm:sqref>CUH917511:CUH917534</xm:sqref>
        </x14:dataValidation>
        <x14:dataValidation type="list" allowBlank="1" showInputMessage="1" showErrorMessage="1" xr:uid="{5363CDC9-4FFD-44A6-A098-8ECFB36CB552}">
          <x14:formula1>
            <xm:f>項目!A4:$DDU$917506</xm:f>
          </x14:formula1>
          <xm:sqref>DED917511:DED917534</xm:sqref>
        </x14:dataValidation>
        <x14:dataValidation type="list" allowBlank="1" showInputMessage="1" showErrorMessage="1" xr:uid="{212865F8-98F9-432C-82DF-198C1193C41F}">
          <x14:formula1>
            <xm:f>項目!A4:$DNQ$917506</xm:f>
          </x14:formula1>
          <xm:sqref>DNZ917511:DNZ917534</xm:sqref>
        </x14:dataValidation>
        <x14:dataValidation type="list" allowBlank="1" showInputMessage="1" showErrorMessage="1" xr:uid="{E7AC41F6-6579-4EAD-9D64-1CFA38F7B090}">
          <x14:formula1>
            <xm:f>項目!A4:$DXM$917506</xm:f>
          </x14:formula1>
          <xm:sqref>DXV917511:DXV917534</xm:sqref>
        </x14:dataValidation>
        <x14:dataValidation type="list" allowBlank="1" showInputMessage="1" showErrorMessage="1" xr:uid="{FE789098-C460-4B62-A022-BAA0805FBB1A}">
          <x14:formula1>
            <xm:f>項目!A4:$EHI$917506</xm:f>
          </x14:formula1>
          <xm:sqref>EHR917511:EHR917534</xm:sqref>
        </x14:dataValidation>
        <x14:dataValidation type="list" allowBlank="1" showInputMessage="1" showErrorMessage="1" xr:uid="{1E253C13-4C8A-4D8F-A567-3F55E1FE0FBC}">
          <x14:formula1>
            <xm:f>項目!A4:$ERE$917506</xm:f>
          </x14:formula1>
          <xm:sqref>ERN917511:ERN917534</xm:sqref>
        </x14:dataValidation>
        <x14:dataValidation type="list" allowBlank="1" showInputMessage="1" showErrorMessage="1" xr:uid="{4AC47213-2957-4E4C-98F7-C8194625080F}">
          <x14:formula1>
            <xm:f>項目!A4:$FBA$917506</xm:f>
          </x14:formula1>
          <xm:sqref>FBJ917511:FBJ917534</xm:sqref>
        </x14:dataValidation>
        <x14:dataValidation type="list" allowBlank="1" showInputMessage="1" showErrorMessage="1" xr:uid="{56496677-6377-48D8-A45F-B10AC2FCC208}">
          <x14:formula1>
            <xm:f>項目!A4:$FKW$917506</xm:f>
          </x14:formula1>
          <xm:sqref>FLF917511:FLF917534</xm:sqref>
        </x14:dataValidation>
        <x14:dataValidation type="list" allowBlank="1" showInputMessage="1" showErrorMessage="1" xr:uid="{99131077-C011-410E-BEE6-FC50D977BFD0}">
          <x14:formula1>
            <xm:f>項目!A4:$FUS$917506</xm:f>
          </x14:formula1>
          <xm:sqref>FVB917511:FVB917534</xm:sqref>
        </x14:dataValidation>
        <x14:dataValidation type="list" allowBlank="1" showInputMessage="1" showErrorMessage="1" xr:uid="{5D0BC66B-E495-416F-9795-2D208D6AE51C}">
          <x14:formula1>
            <xm:f>項目!A4:$GEO$917506</xm:f>
          </x14:formula1>
          <xm:sqref>GEX917511:GEX917534</xm:sqref>
        </x14:dataValidation>
        <x14:dataValidation type="list" allowBlank="1" showInputMessage="1" showErrorMessage="1" xr:uid="{AA23D820-F1FE-48F0-8766-86BF0C282950}">
          <x14:formula1>
            <xm:f>項目!A4:$GOK$917506</xm:f>
          </x14:formula1>
          <xm:sqref>GOT917511:GOT917534</xm:sqref>
        </x14:dataValidation>
        <x14:dataValidation type="list" allowBlank="1" showInputMessage="1" showErrorMessage="1" xr:uid="{894D0D70-A846-4131-B331-2500D8656F50}">
          <x14:formula1>
            <xm:f>項目!A4:$GYG$917506</xm:f>
          </x14:formula1>
          <xm:sqref>GYP917511:GYP917534</xm:sqref>
        </x14:dataValidation>
        <x14:dataValidation type="list" allowBlank="1" showInputMessage="1" showErrorMessage="1" xr:uid="{B159E3E5-CD58-4E9C-86EC-8FF69911D3B3}">
          <x14:formula1>
            <xm:f>項目!A4:$HIC$917506</xm:f>
          </x14:formula1>
          <xm:sqref>HIL917511:HIL917534</xm:sqref>
        </x14:dataValidation>
        <x14:dataValidation type="list" allowBlank="1" showInputMessage="1" showErrorMessage="1" xr:uid="{C894AC04-C89E-46F3-B621-1ACE92B18B16}">
          <x14:formula1>
            <xm:f>項目!A4:$HRY$917506</xm:f>
          </x14:formula1>
          <xm:sqref>HSH917511:HSH917534</xm:sqref>
        </x14:dataValidation>
        <x14:dataValidation type="list" allowBlank="1" showInputMessage="1" showErrorMessage="1" xr:uid="{CA5AE0BF-0670-457C-8756-81AA0E246024}">
          <x14:formula1>
            <xm:f>項目!A4:$IBU$917506</xm:f>
          </x14:formula1>
          <xm:sqref>ICD917511:ICD917534</xm:sqref>
        </x14:dataValidation>
        <x14:dataValidation type="list" allowBlank="1" showInputMessage="1" showErrorMessage="1" xr:uid="{D6BF1590-1A66-4030-86F4-26C2DEEBE631}">
          <x14:formula1>
            <xm:f>項目!A4:$ILQ$917506</xm:f>
          </x14:formula1>
          <xm:sqref>ILZ917511:ILZ917534</xm:sqref>
        </x14:dataValidation>
        <x14:dataValidation type="list" allowBlank="1" showInputMessage="1" showErrorMessage="1" xr:uid="{B7B3B068-FC31-415A-807F-326AB0E07813}">
          <x14:formula1>
            <xm:f>項目!A4:$IVM$917506</xm:f>
          </x14:formula1>
          <xm:sqref>IVV917511:IVV917534</xm:sqref>
        </x14:dataValidation>
        <x14:dataValidation type="list" allowBlank="1" showInputMessage="1" showErrorMessage="1" xr:uid="{692D6EBC-D5DE-463A-8A8C-A23EAD575EBA}">
          <x14:formula1>
            <xm:f>項目!A4:$JFI$917506</xm:f>
          </x14:formula1>
          <xm:sqref>JFR917511:JFR917534</xm:sqref>
        </x14:dataValidation>
        <x14:dataValidation type="list" allowBlank="1" showInputMessage="1" showErrorMessage="1" xr:uid="{C09658B4-1B54-43D0-9CBD-1E77A109180F}">
          <x14:formula1>
            <xm:f>項目!A4:$JPE$917506</xm:f>
          </x14:formula1>
          <xm:sqref>JPN917511:JPN917534</xm:sqref>
        </x14:dataValidation>
        <x14:dataValidation type="list" allowBlank="1" showInputMessage="1" showErrorMessage="1" xr:uid="{CAB82FD7-6210-4E67-B47D-FF0C296CEB9E}">
          <x14:formula1>
            <xm:f>項目!A4:$JZA$917506</xm:f>
          </x14:formula1>
          <xm:sqref>JZJ917511:JZJ917534</xm:sqref>
        </x14:dataValidation>
        <x14:dataValidation type="list" allowBlank="1" showInputMessage="1" showErrorMessage="1" xr:uid="{C60A3E96-17DD-4C1F-87F5-FD3499107955}">
          <x14:formula1>
            <xm:f>項目!A4:$KIW$917506</xm:f>
          </x14:formula1>
          <xm:sqref>KJF917511:KJF917534</xm:sqref>
        </x14:dataValidation>
        <x14:dataValidation type="list" allowBlank="1" showInputMessage="1" showErrorMessage="1" xr:uid="{6C9D4A67-B178-46DA-B32E-7C764D721D35}">
          <x14:formula1>
            <xm:f>項目!A4:$KSS$917506</xm:f>
          </x14:formula1>
          <xm:sqref>KTB917511:KTB917534</xm:sqref>
        </x14:dataValidation>
        <x14:dataValidation type="list" allowBlank="1" showInputMessage="1" showErrorMessage="1" xr:uid="{2E3D67BB-BC6B-45C8-990D-382A383DE889}">
          <x14:formula1>
            <xm:f>項目!A4:$LCO$917506</xm:f>
          </x14:formula1>
          <xm:sqref>LCX917511:LCX917534</xm:sqref>
        </x14:dataValidation>
        <x14:dataValidation type="list" allowBlank="1" showInputMessage="1" showErrorMessage="1" xr:uid="{363B0760-F0F4-41B7-B16B-6305CF8E5E82}">
          <x14:formula1>
            <xm:f>項目!A4:$LMK$917506</xm:f>
          </x14:formula1>
          <xm:sqref>LMT917511:LMT917534</xm:sqref>
        </x14:dataValidation>
        <x14:dataValidation type="list" allowBlank="1" showInputMessage="1" showErrorMessage="1" xr:uid="{0D2CF967-2501-4882-BF8F-8576EC582F40}">
          <x14:formula1>
            <xm:f>項目!A4:$LWG$917506</xm:f>
          </x14:formula1>
          <xm:sqref>LWP917511:LWP917534</xm:sqref>
        </x14:dataValidation>
        <x14:dataValidation type="list" allowBlank="1" showInputMessage="1" showErrorMessage="1" xr:uid="{FB0D2B43-BDA4-4D9E-BF64-4E847F163A86}">
          <x14:formula1>
            <xm:f>項目!A4:$MGC$917506</xm:f>
          </x14:formula1>
          <xm:sqref>MGL917511:MGL917534</xm:sqref>
        </x14:dataValidation>
        <x14:dataValidation type="list" allowBlank="1" showInputMessage="1" showErrorMessage="1" xr:uid="{B124560D-29C6-4848-9A81-2EFE4067EE7F}">
          <x14:formula1>
            <xm:f>項目!A4:$MPY$917506</xm:f>
          </x14:formula1>
          <xm:sqref>MQH917511:MQH917534</xm:sqref>
        </x14:dataValidation>
        <x14:dataValidation type="list" allowBlank="1" showInputMessage="1" showErrorMessage="1" xr:uid="{1D6D93FA-ECBA-47AD-8B68-13D644927EA3}">
          <x14:formula1>
            <xm:f>項目!A4:$MZU$917506</xm:f>
          </x14:formula1>
          <xm:sqref>NAD917511:NAD917534</xm:sqref>
        </x14:dataValidation>
        <x14:dataValidation type="list" allowBlank="1" showInputMessage="1" showErrorMessage="1" xr:uid="{29DF9495-5906-4871-85F9-36ABFBA82CEB}">
          <x14:formula1>
            <xm:f>項目!A4:$NJQ$917506</xm:f>
          </x14:formula1>
          <xm:sqref>NJZ917511:NJZ917534</xm:sqref>
        </x14:dataValidation>
        <x14:dataValidation type="list" allowBlank="1" showInputMessage="1" showErrorMessage="1" xr:uid="{DFA2E419-EDD2-4BF6-9062-753C07B03CE0}">
          <x14:formula1>
            <xm:f>項目!A4:$NTM$917506</xm:f>
          </x14:formula1>
          <xm:sqref>NTV917511:NTV917534</xm:sqref>
        </x14:dataValidation>
        <x14:dataValidation type="list" allowBlank="1" showInputMessage="1" showErrorMessage="1" xr:uid="{82E9A40B-FCF9-440C-BD7E-BE6C3BA57155}">
          <x14:formula1>
            <xm:f>項目!A4:$ODI$917506</xm:f>
          </x14:formula1>
          <xm:sqref>ODR917511:ODR917534</xm:sqref>
        </x14:dataValidation>
        <x14:dataValidation type="list" allowBlank="1" showInputMessage="1" showErrorMessage="1" xr:uid="{2549578B-93A8-4538-A3CE-15A5FDE89FEE}">
          <x14:formula1>
            <xm:f>項目!A4:$ONE$917506</xm:f>
          </x14:formula1>
          <xm:sqref>ONN917511:ONN917534</xm:sqref>
        </x14:dataValidation>
        <x14:dataValidation type="list" allowBlank="1" showInputMessage="1" showErrorMessage="1" xr:uid="{D5A96B54-461E-4232-82BD-6BFCF72F5A51}">
          <x14:formula1>
            <xm:f>項目!A4:$OXA$917506</xm:f>
          </x14:formula1>
          <xm:sqref>OXJ917511:OXJ917534</xm:sqref>
        </x14:dataValidation>
        <x14:dataValidation type="list" allowBlank="1" showInputMessage="1" showErrorMessage="1" xr:uid="{BAE664FA-9A86-4530-AB88-65BA5FAAF07D}">
          <x14:formula1>
            <xm:f>項目!A4:$PGW$917506</xm:f>
          </x14:formula1>
          <xm:sqref>PHF917511:PHF917534</xm:sqref>
        </x14:dataValidation>
        <x14:dataValidation type="list" allowBlank="1" showInputMessage="1" showErrorMessage="1" xr:uid="{7D08E726-6FCE-4F27-9640-D0071FB7BE73}">
          <x14:formula1>
            <xm:f>項目!A4:$PQS$917506</xm:f>
          </x14:formula1>
          <xm:sqref>PRB917511:PRB917534</xm:sqref>
        </x14:dataValidation>
        <x14:dataValidation type="list" allowBlank="1" showInputMessage="1" showErrorMessage="1" xr:uid="{4FC240A9-5E36-46DE-9BA1-6D06B5F8D46E}">
          <x14:formula1>
            <xm:f>項目!A4:$QAO$917506</xm:f>
          </x14:formula1>
          <xm:sqref>QAX917511:QAX917534</xm:sqref>
        </x14:dataValidation>
        <x14:dataValidation type="list" allowBlank="1" showInputMessage="1" showErrorMessage="1" xr:uid="{A36DE8C1-84E1-4029-8266-97A9FC6C3768}">
          <x14:formula1>
            <xm:f>項目!A4:$QKK$917506</xm:f>
          </x14:formula1>
          <xm:sqref>QKT917511:QKT917534</xm:sqref>
        </x14:dataValidation>
        <x14:dataValidation type="list" allowBlank="1" showInputMessage="1" showErrorMessage="1" xr:uid="{D31DE26A-0642-4BEB-B0EC-0CCA37AD4E55}">
          <x14:formula1>
            <xm:f>項目!A4:$QUG$917506</xm:f>
          </x14:formula1>
          <xm:sqref>QUP917511:QUP917534</xm:sqref>
        </x14:dataValidation>
        <x14:dataValidation type="list" allowBlank="1" showInputMessage="1" showErrorMessage="1" xr:uid="{CD761960-2A9C-4B24-9991-EC06C4D0DADA}">
          <x14:formula1>
            <xm:f>項目!A4:$REC$917506</xm:f>
          </x14:formula1>
          <xm:sqref>REL917511:REL917534</xm:sqref>
        </x14:dataValidation>
        <x14:dataValidation type="list" allowBlank="1" showInputMessage="1" showErrorMessage="1" xr:uid="{56304A1D-B131-4994-8B81-89739DF8C416}">
          <x14:formula1>
            <xm:f>項目!A4:$RNY$917506</xm:f>
          </x14:formula1>
          <xm:sqref>ROH917511:ROH917534</xm:sqref>
        </x14:dataValidation>
        <x14:dataValidation type="list" allowBlank="1" showInputMessage="1" showErrorMessage="1" xr:uid="{C6631990-07E0-4566-861D-2C250693E3BA}">
          <x14:formula1>
            <xm:f>項目!A4:$RXU$917506</xm:f>
          </x14:formula1>
          <xm:sqref>RYD917511:RYD917534</xm:sqref>
        </x14:dataValidation>
        <x14:dataValidation type="list" allowBlank="1" showInputMessage="1" showErrorMessage="1" xr:uid="{3E94E3F6-BE86-4D93-9727-8E7DEA6F416B}">
          <x14:formula1>
            <xm:f>項目!A4:$SHQ$917506</xm:f>
          </x14:formula1>
          <xm:sqref>SHZ917511:SHZ917534</xm:sqref>
        </x14:dataValidation>
        <x14:dataValidation type="list" allowBlank="1" showInputMessage="1" showErrorMessage="1" xr:uid="{91F255DA-C0CC-43F0-96EC-ABF63AB79ACB}">
          <x14:formula1>
            <xm:f>項目!A4:$SRM$917506</xm:f>
          </x14:formula1>
          <xm:sqref>SRV917511:SRV917534</xm:sqref>
        </x14:dataValidation>
        <x14:dataValidation type="list" allowBlank="1" showInputMessage="1" showErrorMessage="1" xr:uid="{D479664C-908C-4E97-A29D-266944FA0198}">
          <x14:formula1>
            <xm:f>項目!A4:$TBI$917506</xm:f>
          </x14:formula1>
          <xm:sqref>TBR917511:TBR917534</xm:sqref>
        </x14:dataValidation>
        <x14:dataValidation type="list" allowBlank="1" showInputMessage="1" showErrorMessage="1" xr:uid="{C26202AC-683A-40B7-A9CD-7C4FD432965B}">
          <x14:formula1>
            <xm:f>項目!A4:$TLE$917506</xm:f>
          </x14:formula1>
          <xm:sqref>TLN917511:TLN917534</xm:sqref>
        </x14:dataValidation>
        <x14:dataValidation type="list" allowBlank="1" showInputMessage="1" showErrorMessage="1" xr:uid="{F98D815C-E7C8-4EF5-9F03-C85C4BA5F515}">
          <x14:formula1>
            <xm:f>項目!A4:$TVA$917506</xm:f>
          </x14:formula1>
          <xm:sqref>TVJ917511:TVJ917534</xm:sqref>
        </x14:dataValidation>
        <x14:dataValidation type="list" allowBlank="1" showInputMessage="1" showErrorMessage="1" xr:uid="{DBBF4874-E516-45CB-8334-4FB9AC435241}">
          <x14:formula1>
            <xm:f>項目!A4:$UEW$917506</xm:f>
          </x14:formula1>
          <xm:sqref>UFF917511:UFF917534</xm:sqref>
        </x14:dataValidation>
        <x14:dataValidation type="list" allowBlank="1" showInputMessage="1" showErrorMessage="1" xr:uid="{6134CCBB-BF0D-46AD-AFED-B0EBC51D98A4}">
          <x14:formula1>
            <xm:f>項目!A4:$UOS$917506</xm:f>
          </x14:formula1>
          <xm:sqref>UPB917511:UPB917534</xm:sqref>
        </x14:dataValidation>
        <x14:dataValidation type="list" allowBlank="1" showInputMessage="1" showErrorMessage="1" xr:uid="{A9A20EFC-DA01-4AAA-8D70-DE9E534531BA}">
          <x14:formula1>
            <xm:f>項目!A4:$UYO$917506</xm:f>
          </x14:formula1>
          <xm:sqref>UYX917511:UYX917534</xm:sqref>
        </x14:dataValidation>
        <x14:dataValidation type="list" allowBlank="1" showInputMessage="1" showErrorMessage="1" xr:uid="{DDE8CEFB-7B24-4C01-89E2-7A9FFA788AB5}">
          <x14:formula1>
            <xm:f>項目!A4:$VIK$917506</xm:f>
          </x14:formula1>
          <xm:sqref>VIT917511:VIT917534</xm:sqref>
        </x14:dataValidation>
        <x14:dataValidation type="list" allowBlank="1" showInputMessage="1" showErrorMessage="1" xr:uid="{01FA62A0-57C5-47F5-BB98-F2D3FB1C30A5}">
          <x14:formula1>
            <xm:f>項目!A4:$VSG$917506</xm:f>
          </x14:formula1>
          <xm:sqref>VSP917511:VSP917534</xm:sqref>
        </x14:dataValidation>
        <x14:dataValidation type="list" allowBlank="1" showInputMessage="1" showErrorMessage="1" xr:uid="{C7A144CB-F1E0-4876-9659-F44DF436247B}">
          <x14:formula1>
            <xm:f>項目!A4:$WCC$917506</xm:f>
          </x14:formula1>
          <xm:sqref>WCL917511:WCL917534</xm:sqref>
        </x14:dataValidation>
        <x14:dataValidation type="list" allowBlank="1" showInputMessage="1" showErrorMessage="1" xr:uid="{B2CE1C02-7DCE-4852-AFED-2497777AB781}">
          <x14:formula1>
            <xm:f>項目!A4:$WLY$917506</xm:f>
          </x14:formula1>
          <xm:sqref>WMH917511:WMH917534</xm:sqref>
        </x14:dataValidation>
        <x14:dataValidation type="list" allowBlank="1" showInputMessage="1" showErrorMessage="1" xr:uid="{CAD9B3C8-00B8-4A69-B613-C48258A73247}">
          <x14:formula1>
            <xm:f>項目!A4:$WVU$917506</xm:f>
          </x14:formula1>
          <xm:sqref>WWD917511:WWD917534</xm:sqref>
        </x14:dataValidation>
        <x14:dataValidation type="list" allowBlank="1" showInputMessage="1" showErrorMessage="1" xr:uid="{17DC1A12-F518-4057-8785-882B4CD54EEC}">
          <x14:formula1>
            <xm:f>項目!A4:$N$983042</xm:f>
          </x14:formula1>
          <xm:sqref>V983047:V983070</xm:sqref>
        </x14:dataValidation>
        <x14:dataValidation type="list" allowBlank="1" showInputMessage="1" showErrorMessage="1" xr:uid="{F37194AE-21B2-4E34-9C02-262D7E742A66}">
          <x14:formula1>
            <xm:f>項目!A4:$JI$983042</xm:f>
          </x14:formula1>
          <xm:sqref>JR983047:JR983070</xm:sqref>
        </x14:dataValidation>
        <x14:dataValidation type="list" allowBlank="1" showInputMessage="1" showErrorMessage="1" xr:uid="{76D664AD-ADB5-44B5-B938-2B03FEC866A4}">
          <x14:formula1>
            <xm:f>項目!A4:$TE$983042</xm:f>
          </x14:formula1>
          <xm:sqref>TN983047:TN983070</xm:sqref>
        </x14:dataValidation>
        <x14:dataValidation type="list" allowBlank="1" showInputMessage="1" showErrorMessage="1" xr:uid="{84808312-5C82-42A8-AA38-C39814A84B0E}">
          <x14:formula1>
            <xm:f>項目!A4:$ADA$983042</xm:f>
          </x14:formula1>
          <xm:sqref>ADJ983047:ADJ983070</xm:sqref>
        </x14:dataValidation>
        <x14:dataValidation type="list" allowBlank="1" showInputMessage="1" showErrorMessage="1" xr:uid="{486589D1-DB6D-4D80-90FB-C3BC03EDAAAE}">
          <x14:formula1>
            <xm:f>項目!A4:$AMW$983042</xm:f>
          </x14:formula1>
          <xm:sqref>ANF983047:ANF983070</xm:sqref>
        </x14:dataValidation>
        <x14:dataValidation type="list" allowBlank="1" showInputMessage="1" showErrorMessage="1" xr:uid="{3C2D985E-2E81-4F9A-A13D-CFD53FC7A766}">
          <x14:formula1>
            <xm:f>項目!A4:$AWS$983042</xm:f>
          </x14:formula1>
          <xm:sqref>AXB983047:AXB983070</xm:sqref>
        </x14:dataValidation>
        <x14:dataValidation type="list" allowBlank="1" showInputMessage="1" showErrorMessage="1" xr:uid="{2E9DE5AE-9208-4E4C-AA32-85AC58BA46AD}">
          <x14:formula1>
            <xm:f>項目!A4:$BGO$983042</xm:f>
          </x14:formula1>
          <xm:sqref>BGX983047:BGX983070</xm:sqref>
        </x14:dataValidation>
        <x14:dataValidation type="list" allowBlank="1" showInputMessage="1" showErrorMessage="1" xr:uid="{F616ED42-00F7-4C0B-8E44-2CA98320EC0E}">
          <x14:formula1>
            <xm:f>項目!A4:$BQK$983042</xm:f>
          </x14:formula1>
          <xm:sqref>BQT983047:BQT983070</xm:sqref>
        </x14:dataValidation>
        <x14:dataValidation type="list" allowBlank="1" showInputMessage="1" showErrorMessage="1" xr:uid="{0C812916-B558-4CF1-97FE-854F3C3FE711}">
          <x14:formula1>
            <xm:f>項目!A4:$CAG$983042</xm:f>
          </x14:formula1>
          <xm:sqref>CAP983047:CAP983070</xm:sqref>
        </x14:dataValidation>
        <x14:dataValidation type="list" allowBlank="1" showInputMessage="1" showErrorMessage="1" xr:uid="{C4D30640-3BA1-4DFA-B23B-A95544E92AF1}">
          <x14:formula1>
            <xm:f>項目!A4:$CKC$983042</xm:f>
          </x14:formula1>
          <xm:sqref>CKL983047:CKL983070</xm:sqref>
        </x14:dataValidation>
        <x14:dataValidation type="list" allowBlank="1" showInputMessage="1" showErrorMessage="1" xr:uid="{378A3ABC-6C74-4377-9BF6-5F18B4425417}">
          <x14:formula1>
            <xm:f>項目!A4:$CTY$983042</xm:f>
          </x14:formula1>
          <xm:sqref>CUH983047:CUH983070</xm:sqref>
        </x14:dataValidation>
        <x14:dataValidation type="list" allowBlank="1" showInputMessage="1" showErrorMessage="1" xr:uid="{D3C44B1D-0039-45E3-80EF-AFA0CDC7CBA0}">
          <x14:formula1>
            <xm:f>項目!A4:$DDU$983042</xm:f>
          </x14:formula1>
          <xm:sqref>DED983047:DED983070</xm:sqref>
        </x14:dataValidation>
        <x14:dataValidation type="list" allowBlank="1" showInputMessage="1" showErrorMessage="1" xr:uid="{457F9E22-562F-470B-ABA6-8603D3E3D477}">
          <x14:formula1>
            <xm:f>項目!A4:$DNQ$983042</xm:f>
          </x14:formula1>
          <xm:sqref>DNZ983047:DNZ983070</xm:sqref>
        </x14:dataValidation>
        <x14:dataValidation type="list" allowBlank="1" showInputMessage="1" showErrorMessage="1" xr:uid="{0EBB740A-51EE-4A6F-BC8C-17FBEA3031EC}">
          <x14:formula1>
            <xm:f>項目!A4:$DXM$983042</xm:f>
          </x14:formula1>
          <xm:sqref>DXV983047:DXV983070</xm:sqref>
        </x14:dataValidation>
        <x14:dataValidation type="list" allowBlank="1" showInputMessage="1" showErrorMessage="1" xr:uid="{63219E28-BA04-4AB0-B132-817A3D9FAB7E}">
          <x14:formula1>
            <xm:f>項目!A4:$EHI$983042</xm:f>
          </x14:formula1>
          <xm:sqref>EHR983047:EHR983070</xm:sqref>
        </x14:dataValidation>
        <x14:dataValidation type="list" allowBlank="1" showInputMessage="1" showErrorMessage="1" xr:uid="{0920207D-E9E2-45B4-B898-A09CEDCEB9DA}">
          <x14:formula1>
            <xm:f>項目!A4:$ERE$983042</xm:f>
          </x14:formula1>
          <xm:sqref>ERN983047:ERN983070</xm:sqref>
        </x14:dataValidation>
        <x14:dataValidation type="list" allowBlank="1" showInputMessage="1" showErrorMessage="1" xr:uid="{34297B8F-A6F3-429B-A3BD-4AB1701EF529}">
          <x14:formula1>
            <xm:f>項目!A4:$FBA$983042</xm:f>
          </x14:formula1>
          <xm:sqref>FBJ983047:FBJ983070</xm:sqref>
        </x14:dataValidation>
        <x14:dataValidation type="list" allowBlank="1" showInputMessage="1" showErrorMessage="1" xr:uid="{9D61BEE8-75E4-411A-BAB0-D73C9A5470CB}">
          <x14:formula1>
            <xm:f>項目!A4:$FKW$983042</xm:f>
          </x14:formula1>
          <xm:sqref>FLF983047:FLF983070</xm:sqref>
        </x14:dataValidation>
        <x14:dataValidation type="list" allowBlank="1" showInputMessage="1" showErrorMessage="1" xr:uid="{14FEBC70-FB7F-4389-96AA-6AD908D5FC68}">
          <x14:formula1>
            <xm:f>項目!A4:$FUS$983042</xm:f>
          </x14:formula1>
          <xm:sqref>FVB983047:FVB983070</xm:sqref>
        </x14:dataValidation>
        <x14:dataValidation type="list" allowBlank="1" showInputMessage="1" showErrorMessage="1" xr:uid="{D3A29F2C-A1B5-4BB2-8D6D-48AD008F4F51}">
          <x14:formula1>
            <xm:f>項目!A4:$GEO$983042</xm:f>
          </x14:formula1>
          <xm:sqref>GEX983047:GEX983070</xm:sqref>
        </x14:dataValidation>
        <x14:dataValidation type="list" allowBlank="1" showInputMessage="1" showErrorMessage="1" xr:uid="{BAD05EF5-CBEB-4DFB-B330-CC4821BA0D6F}">
          <x14:formula1>
            <xm:f>項目!A4:$GOK$983042</xm:f>
          </x14:formula1>
          <xm:sqref>GOT983047:GOT983070</xm:sqref>
        </x14:dataValidation>
        <x14:dataValidation type="list" allowBlank="1" showInputMessage="1" showErrorMessage="1" xr:uid="{92FF13D8-59DC-464B-8DEA-A3CDEEE673F5}">
          <x14:formula1>
            <xm:f>項目!A4:$GYG$983042</xm:f>
          </x14:formula1>
          <xm:sqref>GYP983047:GYP983070</xm:sqref>
        </x14:dataValidation>
        <x14:dataValidation type="list" allowBlank="1" showInputMessage="1" showErrorMessage="1" xr:uid="{F35A262D-C67A-4AB2-A5E2-781219141EDA}">
          <x14:formula1>
            <xm:f>項目!A4:$HIC$983042</xm:f>
          </x14:formula1>
          <xm:sqref>HIL983047:HIL983070</xm:sqref>
        </x14:dataValidation>
        <x14:dataValidation type="list" allowBlank="1" showInputMessage="1" showErrorMessage="1" xr:uid="{4F55862D-2C31-4DD5-8D4E-B233ADB6143D}">
          <x14:formula1>
            <xm:f>項目!A4:$HRY$983042</xm:f>
          </x14:formula1>
          <xm:sqref>HSH983047:HSH983070</xm:sqref>
        </x14:dataValidation>
        <x14:dataValidation type="list" allowBlank="1" showInputMessage="1" showErrorMessage="1" xr:uid="{02F73C82-409D-49CB-B771-1265B76542F2}">
          <x14:formula1>
            <xm:f>項目!A4:$IBU$983042</xm:f>
          </x14:formula1>
          <xm:sqref>ICD983047:ICD983070</xm:sqref>
        </x14:dataValidation>
        <x14:dataValidation type="list" allowBlank="1" showInputMessage="1" showErrorMessage="1" xr:uid="{5177E113-429B-44C5-B357-DC335B9BE014}">
          <x14:formula1>
            <xm:f>項目!A4:$ILQ$983042</xm:f>
          </x14:formula1>
          <xm:sqref>ILZ983047:ILZ983070</xm:sqref>
        </x14:dataValidation>
        <x14:dataValidation type="list" allowBlank="1" showInputMessage="1" showErrorMessage="1" xr:uid="{6006098F-C612-44EA-BBA7-76A9F36F6B0E}">
          <x14:formula1>
            <xm:f>項目!A4:$IVM$983042</xm:f>
          </x14:formula1>
          <xm:sqref>IVV983047:IVV983070</xm:sqref>
        </x14:dataValidation>
        <x14:dataValidation type="list" allowBlank="1" showInputMessage="1" showErrorMessage="1" xr:uid="{798BCA99-278D-49B7-AA9E-0B7622379262}">
          <x14:formula1>
            <xm:f>項目!A4:$JFI$983042</xm:f>
          </x14:formula1>
          <xm:sqref>JFR983047:JFR983070</xm:sqref>
        </x14:dataValidation>
        <x14:dataValidation type="list" allowBlank="1" showInputMessage="1" showErrorMessage="1" xr:uid="{5CE22818-84D3-4769-A8F7-343DCF70E5FA}">
          <x14:formula1>
            <xm:f>項目!A4:$JPE$983042</xm:f>
          </x14:formula1>
          <xm:sqref>JPN983047:JPN983070</xm:sqref>
        </x14:dataValidation>
        <x14:dataValidation type="list" allowBlank="1" showInputMessage="1" showErrorMessage="1" xr:uid="{1A4DEB29-F935-4C42-8B4C-92155C266314}">
          <x14:formula1>
            <xm:f>項目!A4:$JZA$983042</xm:f>
          </x14:formula1>
          <xm:sqref>JZJ983047:JZJ983070</xm:sqref>
        </x14:dataValidation>
        <x14:dataValidation type="list" allowBlank="1" showInputMessage="1" showErrorMessage="1" xr:uid="{E444D2CC-0CB8-48FB-BD6A-D5CD619F4D52}">
          <x14:formula1>
            <xm:f>項目!A4:$KIW$983042</xm:f>
          </x14:formula1>
          <xm:sqref>KJF983047:KJF983070</xm:sqref>
        </x14:dataValidation>
        <x14:dataValidation type="list" allowBlank="1" showInputMessage="1" showErrorMessage="1" xr:uid="{D7C7D9D1-A37D-4DDD-8074-9BC58F5ADADA}">
          <x14:formula1>
            <xm:f>項目!A4:$KSS$983042</xm:f>
          </x14:formula1>
          <xm:sqref>KTB983047:KTB983070</xm:sqref>
        </x14:dataValidation>
        <x14:dataValidation type="list" allowBlank="1" showInputMessage="1" showErrorMessage="1" xr:uid="{3C16F0BE-7293-4D1A-A9AC-9358B925C504}">
          <x14:formula1>
            <xm:f>項目!A4:$LCO$983042</xm:f>
          </x14:formula1>
          <xm:sqref>LCX983047:LCX983070</xm:sqref>
        </x14:dataValidation>
        <x14:dataValidation type="list" allowBlank="1" showInputMessage="1" showErrorMessage="1" xr:uid="{5DB03150-EDFD-4042-93D9-F90753862B9B}">
          <x14:formula1>
            <xm:f>項目!A4:$LMK$983042</xm:f>
          </x14:formula1>
          <xm:sqref>LMT983047:LMT983070</xm:sqref>
        </x14:dataValidation>
        <x14:dataValidation type="list" allowBlank="1" showInputMessage="1" showErrorMessage="1" xr:uid="{8133142A-9242-42A3-A8E9-CDA708C3C4E7}">
          <x14:formula1>
            <xm:f>項目!A4:$LWG$983042</xm:f>
          </x14:formula1>
          <xm:sqref>LWP983047:LWP983070</xm:sqref>
        </x14:dataValidation>
        <x14:dataValidation type="list" allowBlank="1" showInputMessage="1" showErrorMessage="1" xr:uid="{5192B894-2950-484B-9B2D-185A2D7912A9}">
          <x14:formula1>
            <xm:f>項目!A4:$MGC$983042</xm:f>
          </x14:formula1>
          <xm:sqref>MGL983047:MGL983070</xm:sqref>
        </x14:dataValidation>
        <x14:dataValidation type="list" allowBlank="1" showInputMessage="1" showErrorMessage="1" xr:uid="{F8FB1E3A-0796-4E9D-B640-7D632D816BF8}">
          <x14:formula1>
            <xm:f>項目!A4:$MPY$983042</xm:f>
          </x14:formula1>
          <xm:sqref>MQH983047:MQH983070</xm:sqref>
        </x14:dataValidation>
        <x14:dataValidation type="list" allowBlank="1" showInputMessage="1" showErrorMessage="1" xr:uid="{EF9A7FC0-F98A-4BED-A999-7D5316353B25}">
          <x14:formula1>
            <xm:f>項目!A4:$MZU$983042</xm:f>
          </x14:formula1>
          <xm:sqref>NAD983047:NAD983070</xm:sqref>
        </x14:dataValidation>
        <x14:dataValidation type="list" allowBlank="1" showInputMessage="1" showErrorMessage="1" xr:uid="{CB8EA879-8C22-4DC1-BAF1-B966ECF3C856}">
          <x14:formula1>
            <xm:f>項目!A4:$NJQ$983042</xm:f>
          </x14:formula1>
          <xm:sqref>NJZ983047:NJZ983070</xm:sqref>
        </x14:dataValidation>
        <x14:dataValidation type="list" allowBlank="1" showInputMessage="1" showErrorMessage="1" xr:uid="{40211288-9578-4EDA-9D6E-D48251A508EC}">
          <x14:formula1>
            <xm:f>項目!A4:$NTM$983042</xm:f>
          </x14:formula1>
          <xm:sqref>NTV983047:NTV983070</xm:sqref>
        </x14:dataValidation>
        <x14:dataValidation type="list" allowBlank="1" showInputMessage="1" showErrorMessage="1" xr:uid="{F63BDF91-C531-445D-B314-C527ADA4F074}">
          <x14:formula1>
            <xm:f>項目!A4:$ODI$983042</xm:f>
          </x14:formula1>
          <xm:sqref>ODR983047:ODR983070</xm:sqref>
        </x14:dataValidation>
        <x14:dataValidation type="list" allowBlank="1" showInputMessage="1" showErrorMessage="1" xr:uid="{FFACF2F5-7966-41D0-828C-9AE861FD918D}">
          <x14:formula1>
            <xm:f>項目!A4:$ONE$983042</xm:f>
          </x14:formula1>
          <xm:sqref>ONN983047:ONN983070</xm:sqref>
        </x14:dataValidation>
        <x14:dataValidation type="list" allowBlank="1" showInputMessage="1" showErrorMessage="1" xr:uid="{C9F87371-2AC1-451D-8812-9DC17D2B7561}">
          <x14:formula1>
            <xm:f>項目!A4:$OXA$983042</xm:f>
          </x14:formula1>
          <xm:sqref>OXJ983047:OXJ983070</xm:sqref>
        </x14:dataValidation>
        <x14:dataValidation type="list" allowBlank="1" showInputMessage="1" showErrorMessage="1" xr:uid="{5D2ED76E-018E-4897-80D5-44049F8D9B95}">
          <x14:formula1>
            <xm:f>項目!A4:$PGW$983042</xm:f>
          </x14:formula1>
          <xm:sqref>PHF983047:PHF983070</xm:sqref>
        </x14:dataValidation>
        <x14:dataValidation type="list" allowBlank="1" showInputMessage="1" showErrorMessage="1" xr:uid="{BC091282-C18F-4605-8026-1B3096575FF2}">
          <x14:formula1>
            <xm:f>項目!A4:$PQS$983042</xm:f>
          </x14:formula1>
          <xm:sqref>PRB983047:PRB983070</xm:sqref>
        </x14:dataValidation>
        <x14:dataValidation type="list" allowBlank="1" showInputMessage="1" showErrorMessage="1" xr:uid="{174015B3-619C-4B05-8A52-C021C8AA3D1B}">
          <x14:formula1>
            <xm:f>項目!A4:$QAO$983042</xm:f>
          </x14:formula1>
          <xm:sqref>QAX983047:QAX983070</xm:sqref>
        </x14:dataValidation>
        <x14:dataValidation type="list" allowBlank="1" showInputMessage="1" showErrorMessage="1" xr:uid="{DECBD114-900D-4C29-8512-D43F54115C73}">
          <x14:formula1>
            <xm:f>項目!A4:$QKK$983042</xm:f>
          </x14:formula1>
          <xm:sqref>QKT983047:QKT983070</xm:sqref>
        </x14:dataValidation>
        <x14:dataValidation type="list" allowBlank="1" showInputMessage="1" showErrorMessage="1" xr:uid="{F5415C31-A657-4921-8DB6-E59957574B79}">
          <x14:formula1>
            <xm:f>項目!A4:$QUG$983042</xm:f>
          </x14:formula1>
          <xm:sqref>QUP983047:QUP983070</xm:sqref>
        </x14:dataValidation>
        <x14:dataValidation type="list" allowBlank="1" showInputMessage="1" showErrorMessage="1" xr:uid="{FA670714-EFD7-436A-B8A0-8A28D44B4898}">
          <x14:formula1>
            <xm:f>項目!A4:$REC$983042</xm:f>
          </x14:formula1>
          <xm:sqref>REL983047:REL983070</xm:sqref>
        </x14:dataValidation>
        <x14:dataValidation type="list" allowBlank="1" showInputMessage="1" showErrorMessage="1" xr:uid="{857DDE18-99A3-40F4-A09F-D09FD70E00DF}">
          <x14:formula1>
            <xm:f>項目!A4:$RNY$983042</xm:f>
          </x14:formula1>
          <xm:sqref>ROH983047:ROH983070</xm:sqref>
        </x14:dataValidation>
        <x14:dataValidation type="list" allowBlank="1" showInputMessage="1" showErrorMessage="1" xr:uid="{C632D827-CA87-4D26-9656-690591F570A6}">
          <x14:formula1>
            <xm:f>項目!A4:$RXU$983042</xm:f>
          </x14:formula1>
          <xm:sqref>RYD983047:RYD983070</xm:sqref>
        </x14:dataValidation>
        <x14:dataValidation type="list" allowBlank="1" showInputMessage="1" showErrorMessage="1" xr:uid="{371838D5-63C0-41F7-9114-444CFE4ECC5D}">
          <x14:formula1>
            <xm:f>項目!A4:$SHQ$983042</xm:f>
          </x14:formula1>
          <xm:sqref>SHZ983047:SHZ983070</xm:sqref>
        </x14:dataValidation>
        <x14:dataValidation type="list" allowBlank="1" showInputMessage="1" showErrorMessage="1" xr:uid="{B9B046CC-AB47-4D45-8069-67E59373D933}">
          <x14:formula1>
            <xm:f>項目!A4:$SRM$983042</xm:f>
          </x14:formula1>
          <xm:sqref>SRV983047:SRV983070</xm:sqref>
        </x14:dataValidation>
        <x14:dataValidation type="list" allowBlank="1" showInputMessage="1" showErrorMessage="1" xr:uid="{AB74F749-F6D9-401C-B942-4B404B62133F}">
          <x14:formula1>
            <xm:f>項目!A4:$TBI$983042</xm:f>
          </x14:formula1>
          <xm:sqref>TBR983047:TBR983070</xm:sqref>
        </x14:dataValidation>
        <x14:dataValidation type="list" allowBlank="1" showInputMessage="1" showErrorMessage="1" xr:uid="{8E4D305B-A801-4E39-A34B-A10F9A17A401}">
          <x14:formula1>
            <xm:f>項目!A4:$TLE$983042</xm:f>
          </x14:formula1>
          <xm:sqref>TLN983047:TLN983070</xm:sqref>
        </x14:dataValidation>
        <x14:dataValidation type="list" allowBlank="1" showInputMessage="1" showErrorMessage="1" xr:uid="{CCA7C467-7218-4F82-86B4-F02B2F593B1A}">
          <x14:formula1>
            <xm:f>項目!A4:$TVA$983042</xm:f>
          </x14:formula1>
          <xm:sqref>TVJ983047:TVJ983070</xm:sqref>
        </x14:dataValidation>
        <x14:dataValidation type="list" allowBlank="1" showInputMessage="1" showErrorMessage="1" xr:uid="{5D6F5B6F-1D9A-4379-8959-D8A61833B921}">
          <x14:formula1>
            <xm:f>項目!A4:$UEW$983042</xm:f>
          </x14:formula1>
          <xm:sqref>UFF983047:UFF983070</xm:sqref>
        </x14:dataValidation>
        <x14:dataValidation type="list" allowBlank="1" showInputMessage="1" showErrorMessage="1" xr:uid="{1B6ED173-DB98-4D65-8D5C-4DFE21B924A8}">
          <x14:formula1>
            <xm:f>項目!A4:$UOS$983042</xm:f>
          </x14:formula1>
          <xm:sqref>UPB983047:UPB983070</xm:sqref>
        </x14:dataValidation>
        <x14:dataValidation type="list" allowBlank="1" showInputMessage="1" showErrorMessage="1" xr:uid="{C3B8053B-09F0-42B6-9E76-2FD81A411147}">
          <x14:formula1>
            <xm:f>項目!A4:$UYO$983042</xm:f>
          </x14:formula1>
          <xm:sqref>UYX983047:UYX983070</xm:sqref>
        </x14:dataValidation>
        <x14:dataValidation type="list" allowBlank="1" showInputMessage="1" showErrorMessage="1" xr:uid="{B4D04529-0353-4AE0-BD0B-08E0B36E7DD9}">
          <x14:formula1>
            <xm:f>項目!A4:$VIK$983042</xm:f>
          </x14:formula1>
          <xm:sqref>VIT983047:VIT983070</xm:sqref>
        </x14:dataValidation>
        <x14:dataValidation type="list" allowBlank="1" showInputMessage="1" showErrorMessage="1" xr:uid="{9496EADB-9D35-408B-B6DF-4311EC2CC673}">
          <x14:formula1>
            <xm:f>項目!A4:$VSG$983042</xm:f>
          </x14:formula1>
          <xm:sqref>VSP983047:VSP983070</xm:sqref>
        </x14:dataValidation>
        <x14:dataValidation type="list" allowBlank="1" showInputMessage="1" showErrorMessage="1" xr:uid="{6424472B-BC56-4BDD-86CE-C620A07E8569}">
          <x14:formula1>
            <xm:f>項目!A4:$WCC$983042</xm:f>
          </x14:formula1>
          <xm:sqref>WCL983047:WCL983070</xm:sqref>
        </x14:dataValidation>
        <x14:dataValidation type="list" allowBlank="1" showInputMessage="1" showErrorMessage="1" xr:uid="{0E2D341B-74BC-4A94-A185-C4B2BC4A6124}">
          <x14:formula1>
            <xm:f>項目!A4:$WLY$983042</xm:f>
          </x14:formula1>
          <xm:sqref>WMH983047:WMH983070</xm:sqref>
        </x14:dataValidation>
        <x14:dataValidation type="list" allowBlank="1" showInputMessage="1" showErrorMessage="1" xr:uid="{040F4250-6B31-44FB-9BCA-CBE2FBB75433}">
          <x14:formula1>
            <xm:f>項目!A4:$WVU$983042</xm:f>
          </x14:formula1>
          <xm:sqref>WWD983047:WWD983070</xm:sqref>
        </x14:dataValidation>
        <x14:dataValidation type="list" allowBlank="1" showInputMessage="1" showErrorMessage="1" xr:uid="{2A03BA1A-831F-4302-A557-98335953C4CE}">
          <x14:formula1>
            <xm:f>項目!C$17:$AMI19</xm:f>
          </x14:formula1>
          <xm:sqref>AMQ25:AMQ30</xm:sqref>
        </x14:dataValidation>
        <x14:dataValidation type="list" allowBlank="1" showInputMessage="1" showErrorMessage="1" xr:uid="{D66D9EBC-4EC4-464E-84D4-1E5E55314AE3}">
          <x14:formula1>
            <xm:f>項目!C$17:$AWE19</xm:f>
          </x14:formula1>
          <xm:sqref>AWM25:AWM30</xm:sqref>
        </x14:dataValidation>
        <x14:dataValidation type="list" allowBlank="1" showInputMessage="1" showErrorMessage="1" xr:uid="{9B95245D-F3C7-4227-B24F-16C2A9910AAD}">
          <x14:formula1>
            <xm:f>項目!C$17:$BGA19</xm:f>
          </x14:formula1>
          <xm:sqref>BGI25:BGI30</xm:sqref>
        </x14:dataValidation>
        <x14:dataValidation type="list" allowBlank="1" showInputMessage="1" showErrorMessage="1" xr:uid="{E8047CF6-CF2F-468F-9DF6-F6E5F55B8393}">
          <x14:formula1>
            <xm:f>項目!C$17:$BPW19</xm:f>
          </x14:formula1>
          <xm:sqref>BQE25:BQE30</xm:sqref>
        </x14:dataValidation>
        <x14:dataValidation type="list" allowBlank="1" showInputMessage="1" showErrorMessage="1" xr:uid="{B0493CA7-CBBF-49EC-BF6B-267B17F71231}">
          <x14:formula1>
            <xm:f>項目!C$17:$BZS19</xm:f>
          </x14:formula1>
          <xm:sqref>CAA25:CAA30</xm:sqref>
        </x14:dataValidation>
        <x14:dataValidation type="list" allowBlank="1" showInputMessage="1" showErrorMessage="1" xr:uid="{C049AA8F-456F-46ED-B56A-C6B25A0E695A}">
          <x14:formula1>
            <xm:f>項目!C$17:$CJO19</xm:f>
          </x14:formula1>
          <xm:sqref>CJW25:CJW30</xm:sqref>
        </x14:dataValidation>
        <x14:dataValidation type="list" allowBlank="1" showInputMessage="1" showErrorMessage="1" xr:uid="{EF0C7CAE-2E6F-459E-9CA7-3C948C77BCBA}">
          <x14:formula1>
            <xm:f>項目!C$17:$CTK19</xm:f>
          </x14:formula1>
          <xm:sqref>CTS25:CTS30</xm:sqref>
        </x14:dataValidation>
        <x14:dataValidation type="list" allowBlank="1" showInputMessage="1" showErrorMessage="1" xr:uid="{C2F3FEDB-DE53-426B-B9AD-50AD1BA6A49E}">
          <x14:formula1>
            <xm:f>項目!C$17:$DDG19</xm:f>
          </x14:formula1>
          <xm:sqref>DDO25:DDO30</xm:sqref>
        </x14:dataValidation>
        <x14:dataValidation type="list" allowBlank="1" showInputMessage="1" showErrorMessage="1" xr:uid="{09367B2D-050B-4DFF-897A-24EE382FEE6D}">
          <x14:formula1>
            <xm:f>項目!C$17:$DNC19</xm:f>
          </x14:formula1>
          <xm:sqref>DNK25:DNK30</xm:sqref>
        </x14:dataValidation>
        <x14:dataValidation type="list" allowBlank="1" showInputMessage="1" showErrorMessage="1" xr:uid="{E19D3C57-C105-4EBF-8530-FE8EBEBA5C0F}">
          <x14:formula1>
            <xm:f>項目!C$17:$DWY19</xm:f>
          </x14:formula1>
          <xm:sqref>DXG25:DXG30</xm:sqref>
        </x14:dataValidation>
        <x14:dataValidation type="list" allowBlank="1" showInputMessage="1" showErrorMessage="1" xr:uid="{A3463FCA-E238-4899-A1FC-4CAB70F8FB3E}">
          <x14:formula1>
            <xm:f>項目!C$17:$EGU19</xm:f>
          </x14:formula1>
          <xm:sqref>EHC25:EHC30</xm:sqref>
        </x14:dataValidation>
        <x14:dataValidation type="list" allowBlank="1" showInputMessage="1" showErrorMessage="1" xr:uid="{FF549F14-9432-4BE2-8BA9-1F96492C9C2B}">
          <x14:formula1>
            <xm:f>項目!C$17:$EQQ19</xm:f>
          </x14:formula1>
          <xm:sqref>EQY25:EQY30</xm:sqref>
        </x14:dataValidation>
        <x14:dataValidation type="list" allowBlank="1" showInputMessage="1" showErrorMessage="1" xr:uid="{229F38C8-253C-4A84-AD9B-35C5FD9C7B07}">
          <x14:formula1>
            <xm:f>項目!C$17:$FAM19</xm:f>
          </x14:formula1>
          <xm:sqref>FAU25:FAU30</xm:sqref>
        </x14:dataValidation>
        <x14:dataValidation type="list" allowBlank="1" showInputMessage="1" showErrorMessage="1" xr:uid="{273E8125-607D-434C-9D1B-1E392DD76FC3}">
          <x14:formula1>
            <xm:f>項目!C$17:$FKI19</xm:f>
          </x14:formula1>
          <xm:sqref>FKQ25:FKQ30</xm:sqref>
        </x14:dataValidation>
        <x14:dataValidation type="list" allowBlank="1" showInputMessage="1" showErrorMessage="1" xr:uid="{4F8E0D03-CA9A-4F81-9B4D-B192A8F670F1}">
          <x14:formula1>
            <xm:f>項目!C$17:$FUE19</xm:f>
          </x14:formula1>
          <xm:sqref>FUM25:FUM30</xm:sqref>
        </x14:dataValidation>
        <x14:dataValidation type="list" allowBlank="1" showInputMessage="1" showErrorMessage="1" xr:uid="{831BFB6F-91FE-44DA-B056-2A2FF90EC48E}">
          <x14:formula1>
            <xm:f>項目!C$17:$GEA19</xm:f>
          </x14:formula1>
          <xm:sqref>GEI25:GEI30</xm:sqref>
        </x14:dataValidation>
        <x14:dataValidation type="list" allowBlank="1" showInputMessage="1" showErrorMessage="1" xr:uid="{B385AF76-F2EC-48A9-89A1-C8608D8B32B8}">
          <x14:formula1>
            <xm:f>項目!C$17:$GNW19</xm:f>
          </x14:formula1>
          <xm:sqref>GOE25:GOE30</xm:sqref>
        </x14:dataValidation>
        <x14:dataValidation type="list" allowBlank="1" showInputMessage="1" showErrorMessage="1" xr:uid="{9AE52090-5ABE-4690-A1F8-ECBFA1DD6658}">
          <x14:formula1>
            <xm:f>項目!C$17:$GXS19</xm:f>
          </x14:formula1>
          <xm:sqref>GYA25:GYA30</xm:sqref>
        </x14:dataValidation>
        <x14:dataValidation type="list" allowBlank="1" showInputMessage="1" showErrorMessage="1" xr:uid="{058AFBD5-E679-43BD-AEC3-BC04C4EE242E}">
          <x14:formula1>
            <xm:f>項目!C$17:$HHO19</xm:f>
          </x14:formula1>
          <xm:sqref>HHW25:HHW30</xm:sqref>
        </x14:dataValidation>
        <x14:dataValidation type="list" allowBlank="1" showInputMessage="1" showErrorMessage="1" xr:uid="{80E59179-CF9A-49F2-990B-139A1ECBECC4}">
          <x14:formula1>
            <xm:f>項目!C$17:$HRK19</xm:f>
          </x14:formula1>
          <xm:sqref>HRS25:HRS30</xm:sqref>
        </x14:dataValidation>
        <x14:dataValidation type="list" allowBlank="1" showInputMessage="1" showErrorMessage="1" xr:uid="{844AF27F-2C03-4903-8572-08E59E6666D0}">
          <x14:formula1>
            <xm:f>項目!C$17:$IBG19</xm:f>
          </x14:formula1>
          <xm:sqref>IBO25:IBO30</xm:sqref>
        </x14:dataValidation>
        <x14:dataValidation type="list" allowBlank="1" showInputMessage="1" showErrorMessage="1" xr:uid="{E64F8CC4-B644-41C5-8B3B-7E07C7884494}">
          <x14:formula1>
            <xm:f>項目!C$17:$ILC19</xm:f>
          </x14:formula1>
          <xm:sqref>ILK25:ILK30</xm:sqref>
        </x14:dataValidation>
        <x14:dataValidation type="list" allowBlank="1" showInputMessage="1" showErrorMessage="1" xr:uid="{3A97E029-7E28-4926-8AD0-C796F398E658}">
          <x14:formula1>
            <xm:f>項目!C$17:$IUY19</xm:f>
          </x14:formula1>
          <xm:sqref>IVG25:IVG30</xm:sqref>
        </x14:dataValidation>
        <x14:dataValidation type="list" allowBlank="1" showInputMessage="1" showErrorMessage="1" xr:uid="{4D0F114E-1BF0-443F-B176-FDE5ED9F062D}">
          <x14:formula1>
            <xm:f>項目!C$17:$JEU19</xm:f>
          </x14:formula1>
          <xm:sqref>JFC25:JFC30</xm:sqref>
        </x14:dataValidation>
        <x14:dataValidation type="list" allowBlank="1" showInputMessage="1" showErrorMessage="1" xr:uid="{6FB92547-1ECF-409F-BEB4-A111E331054F}">
          <x14:formula1>
            <xm:f>項目!C$17:$JOQ19</xm:f>
          </x14:formula1>
          <xm:sqref>JOY25:JOY30</xm:sqref>
        </x14:dataValidation>
        <x14:dataValidation type="list" allowBlank="1" showInputMessage="1" showErrorMessage="1" xr:uid="{C3404D0B-8498-4377-97C8-6920C526648C}">
          <x14:formula1>
            <xm:f>項目!C$17:$JYM19</xm:f>
          </x14:formula1>
          <xm:sqref>JYU25:JYU30</xm:sqref>
        </x14:dataValidation>
        <x14:dataValidation type="list" allowBlank="1" showInputMessage="1" showErrorMessage="1" xr:uid="{3F43B4F6-C5B9-4836-A1DB-2AEAD369CAFA}">
          <x14:formula1>
            <xm:f>項目!C$17:$KII19</xm:f>
          </x14:formula1>
          <xm:sqref>KIQ25:KIQ30</xm:sqref>
        </x14:dataValidation>
        <x14:dataValidation type="list" allowBlank="1" showInputMessage="1" showErrorMessage="1" xr:uid="{C9B78878-9042-483E-A610-C1EE63745FAC}">
          <x14:formula1>
            <xm:f>項目!C$17:$KSE19</xm:f>
          </x14:formula1>
          <xm:sqref>KSM25:KSM30</xm:sqref>
        </x14:dataValidation>
        <x14:dataValidation type="list" allowBlank="1" showInputMessage="1" showErrorMessage="1" xr:uid="{74A21FB9-7E69-40D9-995B-F9F39DF1DAAA}">
          <x14:formula1>
            <xm:f>項目!C$17:$LCA19</xm:f>
          </x14:formula1>
          <xm:sqref>LCI25:LCI30</xm:sqref>
        </x14:dataValidation>
        <x14:dataValidation type="list" allowBlank="1" showInputMessage="1" showErrorMessage="1" xr:uid="{850C157B-FCBF-4D00-B6D8-E3DC4D921C24}">
          <x14:formula1>
            <xm:f>項目!C$17:$LLW19</xm:f>
          </x14:formula1>
          <xm:sqref>LME25:LME30</xm:sqref>
        </x14:dataValidation>
        <x14:dataValidation type="list" allowBlank="1" showInputMessage="1" showErrorMessage="1" xr:uid="{CDD92D81-9FDB-4013-8ACB-682746199F6A}">
          <x14:formula1>
            <xm:f>項目!C$17:$LVS19</xm:f>
          </x14:formula1>
          <xm:sqref>LWA25:LWA30</xm:sqref>
        </x14:dataValidation>
        <x14:dataValidation type="list" allowBlank="1" showInputMessage="1" showErrorMessage="1" xr:uid="{6AB83363-0E88-419C-B79B-C4C9DAA26FA4}">
          <x14:formula1>
            <xm:f>項目!C$17:$MFO19</xm:f>
          </x14:formula1>
          <xm:sqref>MFW25:MFW30</xm:sqref>
        </x14:dataValidation>
        <x14:dataValidation type="list" allowBlank="1" showInputMessage="1" showErrorMessage="1" xr:uid="{6DAA6860-3027-4CCA-A5CC-E5399F4188BB}">
          <x14:formula1>
            <xm:f>項目!C$17:$MPK19</xm:f>
          </x14:formula1>
          <xm:sqref>MPS25:MPS30</xm:sqref>
        </x14:dataValidation>
        <x14:dataValidation type="list" allowBlank="1" showInputMessage="1" showErrorMessage="1" xr:uid="{76E8B5DD-2336-4B0E-BE95-3CE6892C87DF}">
          <x14:formula1>
            <xm:f>項目!C$17:$MZG19</xm:f>
          </x14:formula1>
          <xm:sqref>MZO25:MZO30</xm:sqref>
        </x14:dataValidation>
        <x14:dataValidation type="list" allowBlank="1" showInputMessage="1" showErrorMessage="1" xr:uid="{10DFDFAC-B1AA-4193-AC94-15D7C31712C6}">
          <x14:formula1>
            <xm:f>項目!C$17:$NJC19</xm:f>
          </x14:formula1>
          <xm:sqref>NJK25:NJK30</xm:sqref>
        </x14:dataValidation>
        <x14:dataValidation type="list" allowBlank="1" showInputMessage="1" showErrorMessage="1" xr:uid="{4ED4190D-D543-457F-B799-B0DDD81E1BA5}">
          <x14:formula1>
            <xm:f>項目!C$17:$NSY19</xm:f>
          </x14:formula1>
          <xm:sqref>NTG25:NTG30</xm:sqref>
        </x14:dataValidation>
        <x14:dataValidation type="list" allowBlank="1" showInputMessage="1" showErrorMessage="1" xr:uid="{1863443C-0EBB-4ED5-A119-F6A95708EACA}">
          <x14:formula1>
            <xm:f>項目!C$17:$OCU19</xm:f>
          </x14:formula1>
          <xm:sqref>ODC25:ODC30</xm:sqref>
        </x14:dataValidation>
        <x14:dataValidation type="list" allowBlank="1" showInputMessage="1" showErrorMessage="1" xr:uid="{7B63A7FE-7F8A-4718-88D3-480E06B453D0}">
          <x14:formula1>
            <xm:f>項目!C$17:$OMQ19</xm:f>
          </x14:formula1>
          <xm:sqref>OMY25:OMY30</xm:sqref>
        </x14:dataValidation>
        <x14:dataValidation type="list" allowBlank="1" showInputMessage="1" showErrorMessage="1" xr:uid="{9DBB7B5F-086B-434B-8591-5BFC090D4781}">
          <x14:formula1>
            <xm:f>項目!C$17:$OWM19</xm:f>
          </x14:formula1>
          <xm:sqref>OWU25:OWU30</xm:sqref>
        </x14:dataValidation>
        <x14:dataValidation type="list" allowBlank="1" showInputMessage="1" showErrorMessage="1" xr:uid="{4EE37152-DFF2-4130-9364-15E3BF892214}">
          <x14:formula1>
            <xm:f>項目!C$17:$PGI19</xm:f>
          </x14:formula1>
          <xm:sqref>PGQ25:PGQ30</xm:sqref>
        </x14:dataValidation>
        <x14:dataValidation type="list" allowBlank="1" showInputMessage="1" showErrorMessage="1" xr:uid="{21AAB7FD-E8F0-4632-803A-B49655BCCEF3}">
          <x14:formula1>
            <xm:f>項目!C$17:$PQE19</xm:f>
          </x14:formula1>
          <xm:sqref>PQM25:PQM30</xm:sqref>
        </x14:dataValidation>
        <x14:dataValidation type="list" allowBlank="1" showInputMessage="1" showErrorMessage="1" xr:uid="{1CB73961-5E17-435C-8938-3AF24FBC6DE4}">
          <x14:formula1>
            <xm:f>項目!C$17:$QAA19</xm:f>
          </x14:formula1>
          <xm:sqref>QAI25:QAI30</xm:sqref>
        </x14:dataValidation>
        <x14:dataValidation type="list" allowBlank="1" showInputMessage="1" showErrorMessage="1" xr:uid="{82B82EAF-C0DB-41FA-9AE0-2A1D1EC5024C}">
          <x14:formula1>
            <xm:f>項目!C$17:$QJW19</xm:f>
          </x14:formula1>
          <xm:sqref>QKE25:QKE30</xm:sqref>
        </x14:dataValidation>
        <x14:dataValidation type="list" allowBlank="1" showInputMessage="1" showErrorMessage="1" xr:uid="{AA5161CE-54D4-4E3A-A045-82EAE67798B7}">
          <x14:formula1>
            <xm:f>項目!C$17:$QTS19</xm:f>
          </x14:formula1>
          <xm:sqref>QUA25:QUA30</xm:sqref>
        </x14:dataValidation>
        <x14:dataValidation type="list" allowBlank="1" showInputMessage="1" showErrorMessage="1" xr:uid="{0586E328-AD17-40F3-AC14-8CFA5988C029}">
          <x14:formula1>
            <xm:f>項目!C$17:$RDO19</xm:f>
          </x14:formula1>
          <xm:sqref>RDW25:RDW30</xm:sqref>
        </x14:dataValidation>
        <x14:dataValidation type="list" allowBlank="1" showInputMessage="1" showErrorMessage="1" xr:uid="{871B9E29-221B-4BB5-A56C-0866F6349051}">
          <x14:formula1>
            <xm:f>項目!C$17:$RNK19</xm:f>
          </x14:formula1>
          <xm:sqref>RNS25:RNS30</xm:sqref>
        </x14:dataValidation>
        <x14:dataValidation type="list" allowBlank="1" showInputMessage="1" showErrorMessage="1" xr:uid="{4FD84B44-1EAB-49DC-B35C-54E8AB209949}">
          <x14:formula1>
            <xm:f>項目!C$17:$RXG19</xm:f>
          </x14:formula1>
          <xm:sqref>RXO25:RXO30</xm:sqref>
        </x14:dataValidation>
        <x14:dataValidation type="list" allowBlank="1" showInputMessage="1" showErrorMessage="1" xr:uid="{618FDFA1-604F-4462-A764-D81AE636987B}">
          <x14:formula1>
            <xm:f>項目!C$17:$SHC19</xm:f>
          </x14:formula1>
          <xm:sqref>SHK25:SHK30</xm:sqref>
        </x14:dataValidation>
        <x14:dataValidation type="list" allowBlank="1" showInputMessage="1" showErrorMessage="1" xr:uid="{D08F90E0-BACD-4EAC-9731-28FCC92094C7}">
          <x14:formula1>
            <xm:f>項目!C$17:$SQY19</xm:f>
          </x14:formula1>
          <xm:sqref>SRG25:SRG30</xm:sqref>
        </x14:dataValidation>
        <x14:dataValidation type="list" allowBlank="1" showInputMessage="1" showErrorMessage="1" xr:uid="{26A96381-833C-46A4-8DE0-51BED06F3D11}">
          <x14:formula1>
            <xm:f>項目!C$17:$TAU19</xm:f>
          </x14:formula1>
          <xm:sqref>TBC25:TBC30</xm:sqref>
        </x14:dataValidation>
        <x14:dataValidation type="list" allowBlank="1" showInputMessage="1" showErrorMessage="1" xr:uid="{BF0FB9A7-D4BA-4149-A637-7F7BB89A44AC}">
          <x14:formula1>
            <xm:f>項目!C$17:$TKQ19</xm:f>
          </x14:formula1>
          <xm:sqref>TKY25:TKY30</xm:sqref>
        </x14:dataValidation>
        <x14:dataValidation type="list" allowBlank="1" showInputMessage="1" showErrorMessage="1" xr:uid="{8EED476A-327D-48E1-B87D-901FF0213134}">
          <x14:formula1>
            <xm:f>項目!C$17:$TUM19</xm:f>
          </x14:formula1>
          <xm:sqref>TUU25:TUU30</xm:sqref>
        </x14:dataValidation>
        <x14:dataValidation type="list" allowBlank="1" showInputMessage="1" showErrorMessage="1" xr:uid="{8C5F0CD8-42DB-4A53-8208-A2BE5A6D37C9}">
          <x14:formula1>
            <xm:f>項目!C$17:$UEI19</xm:f>
          </x14:formula1>
          <xm:sqref>UEQ25:UEQ30</xm:sqref>
        </x14:dataValidation>
        <x14:dataValidation type="list" allowBlank="1" showInputMessage="1" showErrorMessage="1" xr:uid="{A156B8C2-702D-4190-9C35-C3CA414E480D}">
          <x14:formula1>
            <xm:f>項目!C$17:$UOE19</xm:f>
          </x14:formula1>
          <xm:sqref>UOM25:UOM30</xm:sqref>
        </x14:dataValidation>
        <x14:dataValidation type="list" allowBlank="1" showInputMessage="1" showErrorMessage="1" xr:uid="{25F8EB85-11F3-46CA-9668-6AA4AA5BF56F}">
          <x14:formula1>
            <xm:f>項目!C$17:$UYA19</xm:f>
          </x14:formula1>
          <xm:sqref>UYI25:UYI30</xm:sqref>
        </x14:dataValidation>
        <x14:dataValidation type="list" allowBlank="1" showInputMessage="1" showErrorMessage="1" xr:uid="{E0962941-ED03-4045-9E7B-A875027EE249}">
          <x14:formula1>
            <xm:f>項目!C$17:$VHW19</xm:f>
          </x14:formula1>
          <xm:sqref>VIE25:VIE30</xm:sqref>
        </x14:dataValidation>
        <x14:dataValidation type="list" allowBlank="1" showInputMessage="1" showErrorMessage="1" xr:uid="{84C71E43-CAC9-4B7C-8547-2D121AE1B67B}">
          <x14:formula1>
            <xm:f>項目!C$17:$VRS19</xm:f>
          </x14:formula1>
          <xm:sqref>VSA25:VSA30</xm:sqref>
        </x14:dataValidation>
        <x14:dataValidation type="list" allowBlank="1" showInputMessage="1" showErrorMessage="1" xr:uid="{29549CBA-554D-474C-B23C-290252465A5E}">
          <x14:formula1>
            <xm:f>項目!C$17:$WBO19</xm:f>
          </x14:formula1>
          <xm:sqref>WBW25:WBW30</xm:sqref>
        </x14:dataValidation>
        <x14:dataValidation type="list" allowBlank="1" showInputMessage="1" showErrorMessage="1" xr:uid="{A85C5F6B-2014-4F63-966A-BA601148CF72}">
          <x14:formula1>
            <xm:f>項目!C$17:$WLK19</xm:f>
          </x14:formula1>
          <xm:sqref>WLS25:WLS30</xm:sqref>
        </x14:dataValidation>
        <x14:dataValidation type="list" allowBlank="1" showInputMessage="1" showErrorMessage="1" xr:uid="{5A20D2A6-5793-42B5-8608-1A8B84EE0FE1}">
          <x14:formula1>
            <xm:f>項目!C$17:$WVG19</xm:f>
          </x14:formula1>
          <xm:sqref>WVO25:WVO30</xm:sqref>
        </x14:dataValidation>
        <x14:dataValidation type="list" allowBlank="1" showInputMessage="1" showErrorMessage="1" xr:uid="{9BC17576-9AFD-435B-8994-E4CE098A8FAE}">
          <x14:formula1>
            <xm:f>項目!C$17:$IY19</xm:f>
          </x14:formula1>
          <xm:sqref>JG25:JG30</xm:sqref>
        </x14:dataValidation>
        <x14:dataValidation type="list" allowBlank="1" showInputMessage="1" showErrorMessage="1" xr:uid="{B499622A-E2F3-42D0-AC69-0467E8DCFEEB}">
          <x14:formula1>
            <xm:f>項目!C$17:$SU19</xm:f>
          </x14:formula1>
          <xm:sqref>TC25:TC30</xm:sqref>
        </x14:dataValidation>
        <x14:dataValidation type="list" allowBlank="1" showInputMessage="1" showErrorMessage="1" xr:uid="{8C513A67-50BC-4437-B496-2705DDF7AD79}">
          <x14:formula1>
            <xm:f>項目!C$17:$ACQ19</xm:f>
          </x14:formula1>
          <xm:sqref>ACY25:ACY30</xm:sqref>
        </x14:dataValidation>
        <x14:dataValidation type="list" allowBlank="1" showInputMessage="1" showErrorMessage="1" xr:uid="{146A719D-BC16-4CA1-BA58-7D2FA5E6B576}">
          <x14:formula1>
            <xm:f>項目!C$17:$AMM19</xm:f>
          </x14:formula1>
          <xm:sqref>AMU25:AMU30</xm:sqref>
        </x14:dataValidation>
        <x14:dataValidation type="list" allowBlank="1" showInputMessage="1" showErrorMessage="1" xr:uid="{4BE6ED45-952F-432B-9762-75B6AEA30146}">
          <x14:formula1>
            <xm:f>項目!C$17:$AWI19</xm:f>
          </x14:formula1>
          <xm:sqref>AWQ25:AWQ30</xm:sqref>
        </x14:dataValidation>
        <x14:dataValidation type="list" allowBlank="1" showInputMessage="1" showErrorMessage="1" xr:uid="{67F1E46A-316D-48D6-8F21-5D31AAD2EC8F}">
          <x14:formula1>
            <xm:f>項目!C$17:$BGE19</xm:f>
          </x14:formula1>
          <xm:sqref>BGM25:BGM30</xm:sqref>
        </x14:dataValidation>
        <x14:dataValidation type="list" allowBlank="1" showInputMessage="1" showErrorMessage="1" xr:uid="{E0671C1E-CF9F-4C9D-8613-313DFA044EE9}">
          <x14:formula1>
            <xm:f>項目!C$17:$BQA19</xm:f>
          </x14:formula1>
          <xm:sqref>BQI25:BQI30</xm:sqref>
        </x14:dataValidation>
        <x14:dataValidation type="list" allowBlank="1" showInputMessage="1" showErrorMessage="1" xr:uid="{9C36F467-5E79-4DA5-AC52-B1C74D4AB3A3}">
          <x14:formula1>
            <xm:f>項目!C$17:$BZW19</xm:f>
          </x14:formula1>
          <xm:sqref>CAE25:CAE30</xm:sqref>
        </x14:dataValidation>
        <x14:dataValidation type="list" allowBlank="1" showInputMessage="1" showErrorMessage="1" xr:uid="{2D64BA9C-B7A4-4241-82E3-1C2FAF0F7AF6}">
          <x14:formula1>
            <xm:f>項目!C$17:$CJS19</xm:f>
          </x14:formula1>
          <xm:sqref>CKA25:CKA30</xm:sqref>
        </x14:dataValidation>
        <x14:dataValidation type="list" allowBlank="1" showInputMessage="1" showErrorMessage="1" xr:uid="{9C91E3CF-F9A3-4B74-8327-C3E5E7DBEDAB}">
          <x14:formula1>
            <xm:f>項目!C$17:$CTO19</xm:f>
          </x14:formula1>
          <xm:sqref>CTW25:CTW30</xm:sqref>
        </x14:dataValidation>
        <x14:dataValidation type="list" allowBlank="1" showInputMessage="1" showErrorMessage="1" xr:uid="{2879A511-36B3-4D58-B11F-122D55D15666}">
          <x14:formula1>
            <xm:f>項目!C$17:$DDK19</xm:f>
          </x14:formula1>
          <xm:sqref>DDS25:DDS30</xm:sqref>
        </x14:dataValidation>
        <x14:dataValidation type="list" allowBlank="1" showInputMessage="1" showErrorMessage="1" xr:uid="{8177516D-1B46-4856-BEEC-1348B12EBA7A}">
          <x14:formula1>
            <xm:f>項目!C$17:$DNG19</xm:f>
          </x14:formula1>
          <xm:sqref>DNO25:DNO30</xm:sqref>
        </x14:dataValidation>
        <x14:dataValidation type="list" allowBlank="1" showInputMessage="1" showErrorMessage="1" xr:uid="{342C58F7-2FA2-404F-B5DE-1A62A44B3C9D}">
          <x14:formula1>
            <xm:f>項目!C$17:$DXC19</xm:f>
          </x14:formula1>
          <xm:sqref>DXK25:DXK30</xm:sqref>
        </x14:dataValidation>
        <x14:dataValidation type="list" allowBlank="1" showInputMessage="1" showErrorMessage="1" xr:uid="{7FF68F6A-4FEA-4220-811B-31BD76F461E7}">
          <x14:formula1>
            <xm:f>項目!C$17:$EGY19</xm:f>
          </x14:formula1>
          <xm:sqref>EHG25:EHG30</xm:sqref>
        </x14:dataValidation>
        <x14:dataValidation type="list" allowBlank="1" showInputMessage="1" showErrorMessage="1" xr:uid="{CD86C224-F918-40AF-AC8F-D2040DCE93D7}">
          <x14:formula1>
            <xm:f>項目!C$17:$EQU19</xm:f>
          </x14:formula1>
          <xm:sqref>ERC25:ERC30</xm:sqref>
        </x14:dataValidation>
        <x14:dataValidation type="list" allowBlank="1" showInputMessage="1" showErrorMessage="1" xr:uid="{2D6EAA42-21C8-4E6C-943C-F492EC373F83}">
          <x14:formula1>
            <xm:f>項目!C$17:$FAQ19</xm:f>
          </x14:formula1>
          <xm:sqref>FAY25:FAY30</xm:sqref>
        </x14:dataValidation>
        <x14:dataValidation type="list" allowBlank="1" showInputMessage="1" showErrorMessage="1" xr:uid="{A6D69180-FAFB-4670-B9B6-8233767F3A0B}">
          <x14:formula1>
            <xm:f>項目!C$17:$FKM19</xm:f>
          </x14:formula1>
          <xm:sqref>FKU25:FKU30</xm:sqref>
        </x14:dataValidation>
        <x14:dataValidation type="list" allowBlank="1" showInputMessage="1" showErrorMessage="1" xr:uid="{332B9C61-EED9-4553-829A-E0FAE9990600}">
          <x14:formula1>
            <xm:f>項目!C$17:$FUI19</xm:f>
          </x14:formula1>
          <xm:sqref>FUQ25:FUQ30</xm:sqref>
        </x14:dataValidation>
        <x14:dataValidation type="list" allowBlank="1" showInputMessage="1" showErrorMessage="1" xr:uid="{C9BB1631-357A-4D9D-9530-05668EC768F4}">
          <x14:formula1>
            <xm:f>項目!C$17:$GEE19</xm:f>
          </x14:formula1>
          <xm:sqref>GEM25:GEM30</xm:sqref>
        </x14:dataValidation>
        <x14:dataValidation type="list" allowBlank="1" showInputMessage="1" showErrorMessage="1" xr:uid="{7F2793A1-72F7-490E-9739-61C9EA23B890}">
          <x14:formula1>
            <xm:f>項目!C$17:$GOA19</xm:f>
          </x14:formula1>
          <xm:sqref>GOI25:GOI30</xm:sqref>
        </x14:dataValidation>
        <x14:dataValidation type="list" allowBlank="1" showInputMessage="1" showErrorMessage="1" xr:uid="{20D783F0-6DA5-40AC-8725-DF88CF35304B}">
          <x14:formula1>
            <xm:f>項目!C$17:$GXW19</xm:f>
          </x14:formula1>
          <xm:sqref>GYE25:GYE30</xm:sqref>
        </x14:dataValidation>
        <x14:dataValidation type="list" allowBlank="1" showInputMessage="1" showErrorMessage="1" xr:uid="{710677EA-BC06-4DEA-9F22-19A690B5871A}">
          <x14:formula1>
            <xm:f>項目!C$17:$HHS19</xm:f>
          </x14:formula1>
          <xm:sqref>HIA25:HIA30</xm:sqref>
        </x14:dataValidation>
        <x14:dataValidation type="list" allowBlank="1" showInputMessage="1" showErrorMessage="1" xr:uid="{1AC97138-69E2-4C32-925A-0C5B2AEE4BA5}">
          <x14:formula1>
            <xm:f>項目!C$17:$HRO19</xm:f>
          </x14:formula1>
          <xm:sqref>HRW25:HRW30</xm:sqref>
        </x14:dataValidation>
        <x14:dataValidation type="list" allowBlank="1" showInputMessage="1" showErrorMessage="1" xr:uid="{037E5FAC-381F-486D-A719-817643B7AA1A}">
          <x14:formula1>
            <xm:f>項目!C$17:$IBK19</xm:f>
          </x14:formula1>
          <xm:sqref>IBS25:IBS30</xm:sqref>
        </x14:dataValidation>
        <x14:dataValidation type="list" allowBlank="1" showInputMessage="1" showErrorMessage="1" xr:uid="{8E053236-C4E5-456A-921E-A2A018A0C438}">
          <x14:formula1>
            <xm:f>項目!C$17:$ILG19</xm:f>
          </x14:formula1>
          <xm:sqref>ILO25:ILO30</xm:sqref>
        </x14:dataValidation>
        <x14:dataValidation type="list" allowBlank="1" showInputMessage="1" showErrorMessage="1" xr:uid="{646D1471-D29A-4307-8E99-14D38807B739}">
          <x14:formula1>
            <xm:f>項目!C$17:$IVC19</xm:f>
          </x14:formula1>
          <xm:sqref>IVK25:IVK30</xm:sqref>
        </x14:dataValidation>
        <x14:dataValidation type="list" allowBlank="1" showInputMessage="1" showErrorMessage="1" xr:uid="{092B21E2-CE78-4837-A453-DFF41282DF7F}">
          <x14:formula1>
            <xm:f>項目!C$17:$JEY19</xm:f>
          </x14:formula1>
          <xm:sqref>JFG25:JFG30</xm:sqref>
        </x14:dataValidation>
        <x14:dataValidation type="list" allowBlank="1" showInputMessage="1" showErrorMessage="1" xr:uid="{2989AAA8-3C0E-4B08-B6A9-9D1FA7C9CBB7}">
          <x14:formula1>
            <xm:f>項目!C$17:$JOU19</xm:f>
          </x14:formula1>
          <xm:sqref>JPC25:JPC30</xm:sqref>
        </x14:dataValidation>
        <x14:dataValidation type="list" allowBlank="1" showInputMessage="1" showErrorMessage="1" xr:uid="{88C805AF-F4A3-412D-AAE4-0D72C4E525F9}">
          <x14:formula1>
            <xm:f>項目!C$17:$JYQ19</xm:f>
          </x14:formula1>
          <xm:sqref>JYY25:JYY30</xm:sqref>
        </x14:dataValidation>
        <x14:dataValidation type="list" allowBlank="1" showInputMessage="1" showErrorMessage="1" xr:uid="{D144EC32-2163-44ED-BE80-3E3D8B7F5132}">
          <x14:formula1>
            <xm:f>項目!C$17:$KIM19</xm:f>
          </x14:formula1>
          <xm:sqref>KIU25:KIU30</xm:sqref>
        </x14:dataValidation>
        <x14:dataValidation type="list" allowBlank="1" showInputMessage="1" showErrorMessage="1" xr:uid="{564F436D-763A-4738-82AD-5C25C2A8268A}">
          <x14:formula1>
            <xm:f>項目!C$17:$KSI19</xm:f>
          </x14:formula1>
          <xm:sqref>KSQ25:KSQ30</xm:sqref>
        </x14:dataValidation>
        <x14:dataValidation type="list" allowBlank="1" showInputMessage="1" showErrorMessage="1" xr:uid="{1074A6A9-A0A8-4FFE-B165-E0E320BECF02}">
          <x14:formula1>
            <xm:f>項目!C$17:$LCE19</xm:f>
          </x14:formula1>
          <xm:sqref>LCM25:LCM30</xm:sqref>
        </x14:dataValidation>
        <x14:dataValidation type="list" allowBlank="1" showInputMessage="1" showErrorMessage="1" xr:uid="{1FFD4793-0808-45C6-8AF1-0AB7F5B617A5}">
          <x14:formula1>
            <xm:f>項目!C$17:$LMA19</xm:f>
          </x14:formula1>
          <xm:sqref>LMI25:LMI30</xm:sqref>
        </x14:dataValidation>
        <x14:dataValidation type="list" allowBlank="1" showInputMessage="1" showErrorMessage="1" xr:uid="{2C6677AD-1BF4-4959-8B24-B2BFBBD896B2}">
          <x14:formula1>
            <xm:f>項目!C$17:$LVW19</xm:f>
          </x14:formula1>
          <xm:sqref>LWE25:LWE30</xm:sqref>
        </x14:dataValidation>
        <x14:dataValidation type="list" allowBlank="1" showInputMessage="1" showErrorMessage="1" xr:uid="{84783CF1-7EA9-4817-B0CD-405CACAEDFB5}">
          <x14:formula1>
            <xm:f>項目!C$17:$MFS19</xm:f>
          </x14:formula1>
          <xm:sqref>MGA25:MGA30</xm:sqref>
        </x14:dataValidation>
        <x14:dataValidation type="list" allowBlank="1" showInputMessage="1" showErrorMessage="1" xr:uid="{29EAE176-89F1-41A4-9864-1892AB37E61B}">
          <x14:formula1>
            <xm:f>項目!C$17:$MPO19</xm:f>
          </x14:formula1>
          <xm:sqref>MPW25:MPW30</xm:sqref>
        </x14:dataValidation>
        <x14:dataValidation type="list" allowBlank="1" showInputMessage="1" showErrorMessage="1" xr:uid="{E85DB7BA-18A0-4564-8673-24E36F6CCB39}">
          <x14:formula1>
            <xm:f>項目!C$17:$MZK19</xm:f>
          </x14:formula1>
          <xm:sqref>MZS25:MZS30</xm:sqref>
        </x14:dataValidation>
        <x14:dataValidation type="list" allowBlank="1" showInputMessage="1" showErrorMessage="1" xr:uid="{A33416DE-EF83-424F-B202-8B2758D9010E}">
          <x14:formula1>
            <xm:f>項目!C$17:$NJG19</xm:f>
          </x14:formula1>
          <xm:sqref>NJO25:NJO30</xm:sqref>
        </x14:dataValidation>
        <x14:dataValidation type="list" allowBlank="1" showInputMessage="1" showErrorMessage="1" xr:uid="{5666BA00-F2E3-4807-81F8-A8C0552ED363}">
          <x14:formula1>
            <xm:f>項目!C$17:$NTC19</xm:f>
          </x14:formula1>
          <xm:sqref>NTK25:NTK30</xm:sqref>
        </x14:dataValidation>
        <x14:dataValidation type="list" allowBlank="1" showInputMessage="1" showErrorMessage="1" xr:uid="{AABFD0C8-BE97-49F7-B05C-FEA6DCA63FD9}">
          <x14:formula1>
            <xm:f>項目!C$17:$OCY19</xm:f>
          </x14:formula1>
          <xm:sqref>ODG25:ODG30</xm:sqref>
        </x14:dataValidation>
        <x14:dataValidation type="list" allowBlank="1" showInputMessage="1" showErrorMessage="1" xr:uid="{43620E57-0C1A-44B7-8B28-7C0B37FCD8DE}">
          <x14:formula1>
            <xm:f>項目!C$17:$OMU19</xm:f>
          </x14:formula1>
          <xm:sqref>ONC25:ONC30</xm:sqref>
        </x14:dataValidation>
        <x14:dataValidation type="list" allowBlank="1" showInputMessage="1" showErrorMessage="1" xr:uid="{DF7E871D-0823-41D6-879E-CC0973524AA4}">
          <x14:formula1>
            <xm:f>項目!C$17:$OWQ19</xm:f>
          </x14:formula1>
          <xm:sqref>OWY25:OWY30</xm:sqref>
        </x14:dataValidation>
        <x14:dataValidation type="list" allowBlank="1" showInputMessage="1" showErrorMessage="1" xr:uid="{C5A5D818-45A3-4CD4-972E-8951DE399A89}">
          <x14:formula1>
            <xm:f>項目!C$17:$PGM19</xm:f>
          </x14:formula1>
          <xm:sqref>PGU25:PGU30</xm:sqref>
        </x14:dataValidation>
        <x14:dataValidation type="list" allowBlank="1" showInputMessage="1" showErrorMessage="1" xr:uid="{F62F9B98-FA2F-457A-A429-CECC90DFC5BA}">
          <x14:formula1>
            <xm:f>項目!C$17:$PQI19</xm:f>
          </x14:formula1>
          <xm:sqref>PQQ25:PQQ30</xm:sqref>
        </x14:dataValidation>
        <x14:dataValidation type="list" allowBlank="1" showInputMessage="1" showErrorMessage="1" xr:uid="{862178F6-E401-450D-B88C-D91843AF833E}">
          <x14:formula1>
            <xm:f>項目!C$17:$QAE19</xm:f>
          </x14:formula1>
          <xm:sqref>QAM25:QAM30</xm:sqref>
        </x14:dataValidation>
        <x14:dataValidation type="list" allowBlank="1" showInputMessage="1" showErrorMessage="1" xr:uid="{426138E5-7DB7-4A1C-995C-BD141204CD20}">
          <x14:formula1>
            <xm:f>項目!C$17:$QKA19</xm:f>
          </x14:formula1>
          <xm:sqref>QKI25:QKI30</xm:sqref>
        </x14:dataValidation>
        <x14:dataValidation type="list" allowBlank="1" showInputMessage="1" showErrorMessage="1" xr:uid="{221E2535-22EF-4535-900F-5E606219A3BD}">
          <x14:formula1>
            <xm:f>項目!C$17:$QTW19</xm:f>
          </x14:formula1>
          <xm:sqref>QUE25:QUE30</xm:sqref>
        </x14:dataValidation>
        <x14:dataValidation type="list" allowBlank="1" showInputMessage="1" showErrorMessage="1" xr:uid="{E4846805-4497-4AAD-88A7-544CA9749B27}">
          <x14:formula1>
            <xm:f>項目!C$17:$RDS19</xm:f>
          </x14:formula1>
          <xm:sqref>REA25:REA30</xm:sqref>
        </x14:dataValidation>
        <x14:dataValidation type="list" allowBlank="1" showInputMessage="1" showErrorMessage="1" xr:uid="{A0A1ED76-1AE3-4317-A330-999CB9573BDD}">
          <x14:formula1>
            <xm:f>項目!C$17:$RNO19</xm:f>
          </x14:formula1>
          <xm:sqref>RNW25:RNW30</xm:sqref>
        </x14:dataValidation>
        <x14:dataValidation type="list" allowBlank="1" showInputMessage="1" showErrorMessage="1" xr:uid="{9D205B16-7B42-4018-AB25-F928543B9020}">
          <x14:formula1>
            <xm:f>項目!C$17:$RXK19</xm:f>
          </x14:formula1>
          <xm:sqref>RXS25:RXS30</xm:sqref>
        </x14:dataValidation>
        <x14:dataValidation type="list" allowBlank="1" showInputMessage="1" showErrorMessage="1" xr:uid="{805EB161-2E00-41C6-871F-3D87071BAD4A}">
          <x14:formula1>
            <xm:f>項目!C$17:$SHG19</xm:f>
          </x14:formula1>
          <xm:sqref>SHO25:SHO30</xm:sqref>
        </x14:dataValidation>
        <x14:dataValidation type="list" allowBlank="1" showInputMessage="1" showErrorMessage="1" xr:uid="{43C57254-D9B4-4804-81E2-7B214850AF4B}">
          <x14:formula1>
            <xm:f>項目!C$17:$SRC19</xm:f>
          </x14:formula1>
          <xm:sqref>SRK25:SRK30</xm:sqref>
        </x14:dataValidation>
        <x14:dataValidation type="list" allowBlank="1" showInputMessage="1" showErrorMessage="1" xr:uid="{556B6C05-3E45-4FF6-BA3D-422ABEE5FF90}">
          <x14:formula1>
            <xm:f>項目!C$17:$TAY19</xm:f>
          </x14:formula1>
          <xm:sqref>TBG25:TBG30</xm:sqref>
        </x14:dataValidation>
        <x14:dataValidation type="list" allowBlank="1" showInputMessage="1" showErrorMessage="1" xr:uid="{BECD37C7-45D7-42A2-ACED-ED299845AC27}">
          <x14:formula1>
            <xm:f>項目!C$17:$TKU19</xm:f>
          </x14:formula1>
          <xm:sqref>TLC25:TLC30</xm:sqref>
        </x14:dataValidation>
        <x14:dataValidation type="list" allowBlank="1" showInputMessage="1" showErrorMessage="1" xr:uid="{007CC951-9E6F-4AAA-9F50-C7867CCD95AD}">
          <x14:formula1>
            <xm:f>項目!C$17:$TUQ19</xm:f>
          </x14:formula1>
          <xm:sqref>TUY25:TUY30</xm:sqref>
        </x14:dataValidation>
        <x14:dataValidation type="list" allowBlank="1" showInputMessage="1" showErrorMessage="1" xr:uid="{00D5A190-8895-4BE3-A9D9-9C5F4399675A}">
          <x14:formula1>
            <xm:f>項目!C$17:$UEM19</xm:f>
          </x14:formula1>
          <xm:sqref>UEU25:UEU30</xm:sqref>
        </x14:dataValidation>
        <x14:dataValidation type="list" allowBlank="1" showInputMessage="1" showErrorMessage="1" xr:uid="{EED8067E-B37D-418F-A880-2EDB993C8BBB}">
          <x14:formula1>
            <xm:f>項目!C$17:$UOI19</xm:f>
          </x14:formula1>
          <xm:sqref>UOQ25:UOQ30</xm:sqref>
        </x14:dataValidation>
        <x14:dataValidation type="list" allowBlank="1" showInputMessage="1" showErrorMessage="1" xr:uid="{ABC0444E-058B-457C-80F5-1E439EB3C4F9}">
          <x14:formula1>
            <xm:f>項目!C$17:$UYE19</xm:f>
          </x14:formula1>
          <xm:sqref>UYM25:UYM30</xm:sqref>
        </x14:dataValidation>
        <x14:dataValidation type="list" allowBlank="1" showInputMessage="1" showErrorMessage="1" xr:uid="{6647EAF2-0324-404E-8DBA-A16487B3AFAB}">
          <x14:formula1>
            <xm:f>項目!C$17:$VIA19</xm:f>
          </x14:formula1>
          <xm:sqref>VII25:VII30</xm:sqref>
        </x14:dataValidation>
        <x14:dataValidation type="list" allowBlank="1" showInputMessage="1" showErrorMessage="1" xr:uid="{716C68D1-D537-4CFB-8D6A-6AD60988E207}">
          <x14:formula1>
            <xm:f>項目!C$17:$VRW19</xm:f>
          </x14:formula1>
          <xm:sqref>VSE25:VSE30</xm:sqref>
        </x14:dataValidation>
        <x14:dataValidation type="list" allowBlank="1" showInputMessage="1" showErrorMessage="1" xr:uid="{A60F50A6-1DA1-42DA-986B-0E0E5B423179}">
          <x14:formula1>
            <xm:f>項目!C$17:$WBS19</xm:f>
          </x14:formula1>
          <xm:sqref>WCA25:WCA30</xm:sqref>
        </x14:dataValidation>
        <x14:dataValidation type="list" allowBlank="1" showInputMessage="1" showErrorMessage="1" xr:uid="{59ACA7F8-483C-4D7A-BAEC-2BD855286C32}">
          <x14:formula1>
            <xm:f>項目!C$17:$WLO19</xm:f>
          </x14:formula1>
          <xm:sqref>WLW25:WLW30</xm:sqref>
        </x14:dataValidation>
        <x14:dataValidation type="list" allowBlank="1" showInputMessage="1" showErrorMessage="1" xr:uid="{9DD8AE6B-204C-472C-87AC-09A25BB89766}">
          <x14:formula1>
            <xm:f>項目!C$17:$WVK19</xm:f>
          </x14:formula1>
          <xm:sqref>WVS25:WVS30</xm:sqref>
        </x14:dataValidation>
        <x14:dataValidation type="list" allowBlank="1" showInputMessage="1" showErrorMessage="1" xr:uid="{8A4F4566-872A-45B4-B6D1-22D6C6933E3D}">
          <x14:formula1>
            <xm:f>項目!C$17:$IU19</xm:f>
          </x14:formula1>
          <xm:sqref>JC25:JC30</xm:sqref>
        </x14:dataValidation>
        <x14:dataValidation type="list" allowBlank="1" showInputMessage="1" showErrorMessage="1" xr:uid="{5EC1B996-2036-435C-ABBB-027906AE97F2}">
          <x14:formula1>
            <xm:f>項目!C$17:$JC19</xm:f>
          </x14:formula1>
          <xm:sqref>JK25:JK30</xm:sqref>
        </x14:dataValidation>
        <x14:dataValidation type="list" allowBlank="1" showInputMessage="1" showErrorMessage="1" xr:uid="{58504EC3-8AD1-40E6-BC68-1C0BB29042A7}">
          <x14:formula1>
            <xm:f>項目!C$17:$SY19</xm:f>
          </x14:formula1>
          <xm:sqref>TG25:TG30</xm:sqref>
        </x14:dataValidation>
        <x14:dataValidation type="list" allowBlank="1" showInputMessage="1" showErrorMessage="1" xr:uid="{53364092-8FB1-412A-A95F-F67481380CFE}">
          <x14:formula1>
            <xm:f>項目!C$17:$ACU19</xm:f>
          </x14:formula1>
          <xm:sqref>ADC25:ADC30</xm:sqref>
        </x14:dataValidation>
        <x14:dataValidation type="list" allowBlank="1" showInputMessage="1" showErrorMessage="1" xr:uid="{CF1AEE59-6C9D-46EC-8ED3-27918FC93B81}">
          <x14:formula1>
            <xm:f>項目!C$17:$AMQ19</xm:f>
          </x14:formula1>
          <xm:sqref>AMY25:AMY30</xm:sqref>
        </x14:dataValidation>
        <x14:dataValidation type="list" allowBlank="1" showInputMessage="1" showErrorMessage="1" xr:uid="{401C4B63-ECBE-4E7A-8A28-A340CF8F832C}">
          <x14:formula1>
            <xm:f>項目!C$17:$AWM19</xm:f>
          </x14:formula1>
          <xm:sqref>AWU25:AWU30</xm:sqref>
        </x14:dataValidation>
        <x14:dataValidation type="list" allowBlank="1" showInputMessage="1" showErrorMessage="1" xr:uid="{F6D3074C-C2A6-4213-B429-56A3B9023BBA}">
          <x14:formula1>
            <xm:f>項目!C$17:$BGI19</xm:f>
          </x14:formula1>
          <xm:sqref>BGQ25:BGQ30</xm:sqref>
        </x14:dataValidation>
        <x14:dataValidation type="list" allowBlank="1" showInputMessage="1" showErrorMessage="1" xr:uid="{7C37A3AC-00E8-4177-ABF7-EB8D99B0519E}">
          <x14:formula1>
            <xm:f>項目!C$17:$BQE19</xm:f>
          </x14:formula1>
          <xm:sqref>BQM25:BQM30</xm:sqref>
        </x14:dataValidation>
        <x14:dataValidation type="list" allowBlank="1" showInputMessage="1" showErrorMessage="1" xr:uid="{07AB0927-6688-48BD-8D93-4BAA3A3D2965}">
          <x14:formula1>
            <xm:f>項目!C$17:$CAA19</xm:f>
          </x14:formula1>
          <xm:sqref>CAI25:CAI30</xm:sqref>
        </x14:dataValidation>
        <x14:dataValidation type="list" allowBlank="1" showInputMessage="1" showErrorMessage="1" xr:uid="{24DA8CEA-5984-4CFF-9BF7-A9DC979DECC0}">
          <x14:formula1>
            <xm:f>項目!C$17:$CJW19</xm:f>
          </x14:formula1>
          <xm:sqref>CKE25:CKE30</xm:sqref>
        </x14:dataValidation>
        <x14:dataValidation type="list" allowBlank="1" showInputMessage="1" showErrorMessage="1" xr:uid="{C50A2B3E-F069-4AE9-B249-83210153C9B7}">
          <x14:formula1>
            <xm:f>項目!C$17:$CTS19</xm:f>
          </x14:formula1>
          <xm:sqref>CUA25:CUA30</xm:sqref>
        </x14:dataValidation>
        <x14:dataValidation type="list" allowBlank="1" showInputMessage="1" showErrorMessage="1" xr:uid="{00F95BE7-D8DA-4204-96B1-EC32A37CA5D4}">
          <x14:formula1>
            <xm:f>項目!C$17:$DDO19</xm:f>
          </x14:formula1>
          <xm:sqref>DDW25:DDW30</xm:sqref>
        </x14:dataValidation>
        <x14:dataValidation type="list" allowBlank="1" showInputMessage="1" showErrorMessage="1" xr:uid="{29A7114E-F685-4163-B2BA-9AA8118738DC}">
          <x14:formula1>
            <xm:f>項目!C$17:$DNK19</xm:f>
          </x14:formula1>
          <xm:sqref>DNS25:DNS30</xm:sqref>
        </x14:dataValidation>
        <x14:dataValidation type="list" allowBlank="1" showInputMessage="1" showErrorMessage="1" xr:uid="{C64607D4-9647-4DC2-96F4-459DFBDC10B9}">
          <x14:formula1>
            <xm:f>項目!C$17:$DXG19</xm:f>
          </x14:formula1>
          <xm:sqref>DXO25:DXO30</xm:sqref>
        </x14:dataValidation>
        <x14:dataValidation type="list" allowBlank="1" showInputMessage="1" showErrorMessage="1" xr:uid="{06C3FAF2-0E63-4BE3-9B03-E35076E7FC53}">
          <x14:formula1>
            <xm:f>項目!C$17:$EHC19</xm:f>
          </x14:formula1>
          <xm:sqref>EHK25:EHK30</xm:sqref>
        </x14:dataValidation>
        <x14:dataValidation type="list" allowBlank="1" showInputMessage="1" showErrorMessage="1" xr:uid="{086B4B54-5EB9-4B7A-8FEE-173D9894A90A}">
          <x14:formula1>
            <xm:f>項目!C$17:$EQY19</xm:f>
          </x14:formula1>
          <xm:sqref>ERG25:ERG30</xm:sqref>
        </x14:dataValidation>
        <x14:dataValidation type="list" allowBlank="1" showInputMessage="1" showErrorMessage="1" xr:uid="{E9454F4E-F8D2-4E62-A225-683A846FD48C}">
          <x14:formula1>
            <xm:f>項目!C$17:$FAU19</xm:f>
          </x14:formula1>
          <xm:sqref>FBC25:FBC30</xm:sqref>
        </x14:dataValidation>
        <x14:dataValidation type="list" allowBlank="1" showInputMessage="1" showErrorMessage="1" xr:uid="{A9A62B48-B50F-42F7-AE0A-51CD54741985}">
          <x14:formula1>
            <xm:f>項目!C$17:$FKQ19</xm:f>
          </x14:formula1>
          <xm:sqref>FKY25:FKY30</xm:sqref>
        </x14:dataValidation>
        <x14:dataValidation type="list" allowBlank="1" showInputMessage="1" showErrorMessage="1" xr:uid="{DA1261C6-80CD-4CD7-85F7-6DF17152E9BC}">
          <x14:formula1>
            <xm:f>項目!C$17:$FUM19</xm:f>
          </x14:formula1>
          <xm:sqref>FUU25:FUU30</xm:sqref>
        </x14:dataValidation>
        <x14:dataValidation type="list" allowBlank="1" showInputMessage="1" showErrorMessage="1" xr:uid="{E01E3711-4947-4567-913A-BB87324C5785}">
          <x14:formula1>
            <xm:f>項目!C$17:$GEI19</xm:f>
          </x14:formula1>
          <xm:sqref>GEQ25:GEQ30</xm:sqref>
        </x14:dataValidation>
        <x14:dataValidation type="list" allowBlank="1" showInputMessage="1" showErrorMessage="1" xr:uid="{F6B088DD-ED63-4547-81CD-D660F869C886}">
          <x14:formula1>
            <xm:f>項目!C$17:$GOE19</xm:f>
          </x14:formula1>
          <xm:sqref>GOM25:GOM30</xm:sqref>
        </x14:dataValidation>
        <x14:dataValidation type="list" allowBlank="1" showInputMessage="1" showErrorMessage="1" xr:uid="{160038F4-3F68-46C3-AEEA-BF5DDB1FD4B8}">
          <x14:formula1>
            <xm:f>項目!C$17:$GYA19</xm:f>
          </x14:formula1>
          <xm:sqref>GYI25:GYI30</xm:sqref>
        </x14:dataValidation>
        <x14:dataValidation type="list" allowBlank="1" showInputMessage="1" showErrorMessage="1" xr:uid="{01C2E667-FD2F-4504-BAEA-346D4F42772E}">
          <x14:formula1>
            <xm:f>項目!C$17:$HHW19</xm:f>
          </x14:formula1>
          <xm:sqref>HIE25:HIE30</xm:sqref>
        </x14:dataValidation>
        <x14:dataValidation type="list" allowBlank="1" showInputMessage="1" showErrorMessage="1" xr:uid="{04C8E3BB-E779-40C7-8E13-B19E068C4132}">
          <x14:formula1>
            <xm:f>項目!C$17:$HRS19</xm:f>
          </x14:formula1>
          <xm:sqref>HSA25:HSA30</xm:sqref>
        </x14:dataValidation>
        <x14:dataValidation type="list" allowBlank="1" showInputMessage="1" showErrorMessage="1" xr:uid="{EDBE9A0E-4C9B-49BC-902F-4E4A09E601D5}">
          <x14:formula1>
            <xm:f>項目!C$17:$IBO19</xm:f>
          </x14:formula1>
          <xm:sqref>IBW25:IBW30</xm:sqref>
        </x14:dataValidation>
        <x14:dataValidation type="list" allowBlank="1" showInputMessage="1" showErrorMessage="1" xr:uid="{00708221-8107-4885-99BF-1F85AB0572D6}">
          <x14:formula1>
            <xm:f>項目!C$17:$ILK19</xm:f>
          </x14:formula1>
          <xm:sqref>ILS25:ILS30</xm:sqref>
        </x14:dataValidation>
        <x14:dataValidation type="list" allowBlank="1" showInputMessage="1" showErrorMessage="1" xr:uid="{169F6847-3A20-42EF-A2D1-D6B9D83F76DA}">
          <x14:formula1>
            <xm:f>項目!C$17:$IVG19</xm:f>
          </x14:formula1>
          <xm:sqref>IVO25:IVO30</xm:sqref>
        </x14:dataValidation>
        <x14:dataValidation type="list" allowBlank="1" showInputMessage="1" showErrorMessage="1" xr:uid="{044BA5E6-86B9-437A-AE1E-731710CBE2E4}">
          <x14:formula1>
            <xm:f>項目!C$17:$JFC19</xm:f>
          </x14:formula1>
          <xm:sqref>JFK25:JFK30</xm:sqref>
        </x14:dataValidation>
        <x14:dataValidation type="list" allowBlank="1" showInputMessage="1" showErrorMessage="1" xr:uid="{3E5B74EF-54D1-4F5B-99F5-276584DA3595}">
          <x14:formula1>
            <xm:f>項目!C$17:$JOY19</xm:f>
          </x14:formula1>
          <xm:sqref>JPG25:JPG30</xm:sqref>
        </x14:dataValidation>
        <x14:dataValidation type="list" allowBlank="1" showInputMessage="1" showErrorMessage="1" xr:uid="{110552C4-27A7-4743-B376-D811ED51AEA1}">
          <x14:formula1>
            <xm:f>項目!C$17:$JYU19</xm:f>
          </x14:formula1>
          <xm:sqref>JZC25:JZC30</xm:sqref>
        </x14:dataValidation>
        <x14:dataValidation type="list" allowBlank="1" showInputMessage="1" showErrorMessage="1" xr:uid="{48DCFE56-483D-4195-AE03-4691135FEE6F}">
          <x14:formula1>
            <xm:f>項目!C$17:$KIQ19</xm:f>
          </x14:formula1>
          <xm:sqref>KIY25:KIY30</xm:sqref>
        </x14:dataValidation>
        <x14:dataValidation type="list" allowBlank="1" showInputMessage="1" showErrorMessage="1" xr:uid="{93491ECF-343E-4780-BDD2-9D6E62F10CD3}">
          <x14:formula1>
            <xm:f>項目!C$17:$KSM19</xm:f>
          </x14:formula1>
          <xm:sqref>KSU25:KSU30</xm:sqref>
        </x14:dataValidation>
        <x14:dataValidation type="list" allowBlank="1" showInputMessage="1" showErrorMessage="1" xr:uid="{8253CB45-F9E0-4678-BEC6-FE7581F094CC}">
          <x14:formula1>
            <xm:f>項目!C$17:$LCI19</xm:f>
          </x14:formula1>
          <xm:sqref>LCQ25:LCQ30</xm:sqref>
        </x14:dataValidation>
        <x14:dataValidation type="list" allowBlank="1" showInputMessage="1" showErrorMessage="1" xr:uid="{3228BEC4-B7C9-41A5-88CA-75C3573199C2}">
          <x14:formula1>
            <xm:f>項目!C$17:$LME19</xm:f>
          </x14:formula1>
          <xm:sqref>LMM25:LMM30</xm:sqref>
        </x14:dataValidation>
        <x14:dataValidation type="list" allowBlank="1" showInputMessage="1" showErrorMessage="1" xr:uid="{4EE61531-242F-4A3B-87FB-CEEF5A5B423B}">
          <x14:formula1>
            <xm:f>項目!C$17:$LWA19</xm:f>
          </x14:formula1>
          <xm:sqref>LWI25:LWI30</xm:sqref>
        </x14:dataValidation>
        <x14:dataValidation type="list" allowBlank="1" showInputMessage="1" showErrorMessage="1" xr:uid="{AAF47D2A-1352-43EB-B335-2DDD857886A2}">
          <x14:formula1>
            <xm:f>項目!C$17:$MFW19</xm:f>
          </x14:formula1>
          <xm:sqref>MGE25:MGE30</xm:sqref>
        </x14:dataValidation>
        <x14:dataValidation type="list" allowBlank="1" showInputMessage="1" showErrorMessage="1" xr:uid="{092BCE7B-372E-4947-84C6-F0764C082D0B}">
          <x14:formula1>
            <xm:f>項目!C$17:$MPS19</xm:f>
          </x14:formula1>
          <xm:sqref>MQA25:MQA30</xm:sqref>
        </x14:dataValidation>
        <x14:dataValidation type="list" allowBlank="1" showInputMessage="1" showErrorMessage="1" xr:uid="{138E0A62-887A-4D0C-A5AF-401535C2212C}">
          <x14:formula1>
            <xm:f>項目!C$17:$MZO19</xm:f>
          </x14:formula1>
          <xm:sqref>MZW25:MZW30</xm:sqref>
        </x14:dataValidation>
        <x14:dataValidation type="list" allowBlank="1" showInputMessage="1" showErrorMessage="1" xr:uid="{1100A23D-08EA-4385-8444-1A2ADC8D5C8B}">
          <x14:formula1>
            <xm:f>項目!C$17:$NJK19</xm:f>
          </x14:formula1>
          <xm:sqref>NJS25:NJS30</xm:sqref>
        </x14:dataValidation>
        <x14:dataValidation type="list" allowBlank="1" showInputMessage="1" showErrorMessage="1" xr:uid="{E9FF4F72-EB17-4709-8FD5-84FAE336EF87}">
          <x14:formula1>
            <xm:f>項目!C$17:$NTG19</xm:f>
          </x14:formula1>
          <xm:sqref>NTO25:NTO30</xm:sqref>
        </x14:dataValidation>
        <x14:dataValidation type="list" allowBlank="1" showInputMessage="1" showErrorMessage="1" xr:uid="{3F9F7A6A-E51D-4B63-B70D-57ABBD73E895}">
          <x14:formula1>
            <xm:f>項目!C$17:$ODC19</xm:f>
          </x14:formula1>
          <xm:sqref>ODK25:ODK30</xm:sqref>
        </x14:dataValidation>
        <x14:dataValidation type="list" allowBlank="1" showInputMessage="1" showErrorMessage="1" xr:uid="{54F8CBC5-AA73-420C-8791-183C47A20CF9}">
          <x14:formula1>
            <xm:f>項目!C$17:$OMY19</xm:f>
          </x14:formula1>
          <xm:sqref>ONG25:ONG30</xm:sqref>
        </x14:dataValidation>
        <x14:dataValidation type="list" allowBlank="1" showInputMessage="1" showErrorMessage="1" xr:uid="{CC676EF0-8900-4D42-BF02-6FE799905D53}">
          <x14:formula1>
            <xm:f>項目!C$17:$OWU19</xm:f>
          </x14:formula1>
          <xm:sqref>OXC25:OXC30</xm:sqref>
        </x14:dataValidation>
        <x14:dataValidation type="list" allowBlank="1" showInputMessage="1" showErrorMessage="1" xr:uid="{8545A68C-2EEF-49A9-93C3-54A2D3CD4629}">
          <x14:formula1>
            <xm:f>項目!C$17:$PGQ19</xm:f>
          </x14:formula1>
          <xm:sqref>PGY25:PGY30</xm:sqref>
        </x14:dataValidation>
        <x14:dataValidation type="list" allowBlank="1" showInputMessage="1" showErrorMessage="1" xr:uid="{67EBE487-ED7F-4B1B-9C85-792FB9D0CA5A}">
          <x14:formula1>
            <xm:f>項目!C$17:$PQM19</xm:f>
          </x14:formula1>
          <xm:sqref>PQU25:PQU30</xm:sqref>
        </x14:dataValidation>
        <x14:dataValidation type="list" allowBlank="1" showInputMessage="1" showErrorMessage="1" xr:uid="{3E6DFCDC-8FD9-4012-9D43-F05ED7342DDE}">
          <x14:formula1>
            <xm:f>項目!C$17:$QAI19</xm:f>
          </x14:formula1>
          <xm:sqref>QAQ25:QAQ30</xm:sqref>
        </x14:dataValidation>
        <x14:dataValidation type="list" allowBlank="1" showInputMessage="1" showErrorMessage="1" xr:uid="{14544905-C447-4CEC-9277-762B879AB2B1}">
          <x14:formula1>
            <xm:f>項目!C$17:$QKE19</xm:f>
          </x14:formula1>
          <xm:sqref>QKM25:QKM30</xm:sqref>
        </x14:dataValidation>
        <x14:dataValidation type="list" allowBlank="1" showInputMessage="1" showErrorMessage="1" xr:uid="{1888638B-BBB8-4C77-A1A4-4A37F93CB988}">
          <x14:formula1>
            <xm:f>項目!C$17:$QUA19</xm:f>
          </x14:formula1>
          <xm:sqref>QUI25:QUI30</xm:sqref>
        </x14:dataValidation>
        <x14:dataValidation type="list" allowBlank="1" showInputMessage="1" showErrorMessage="1" xr:uid="{C729916B-47FB-46DA-96ED-E44BAB9DDCBB}">
          <x14:formula1>
            <xm:f>項目!C$17:$RDW19</xm:f>
          </x14:formula1>
          <xm:sqref>REE25:REE30</xm:sqref>
        </x14:dataValidation>
        <x14:dataValidation type="list" allowBlank="1" showInputMessage="1" showErrorMessage="1" xr:uid="{7BD017D7-8A12-4280-90D6-1E43C7B62CCB}">
          <x14:formula1>
            <xm:f>項目!C$17:$RNS19</xm:f>
          </x14:formula1>
          <xm:sqref>ROA25:ROA30</xm:sqref>
        </x14:dataValidation>
        <x14:dataValidation type="list" allowBlank="1" showInputMessage="1" showErrorMessage="1" xr:uid="{A8E8343D-89CA-4DCE-80B0-05CEEBA24C9E}">
          <x14:formula1>
            <xm:f>項目!C$17:$RXO19</xm:f>
          </x14:formula1>
          <xm:sqref>RXW25:RXW30</xm:sqref>
        </x14:dataValidation>
        <x14:dataValidation type="list" allowBlank="1" showInputMessage="1" showErrorMessage="1" xr:uid="{378DDEB5-F74A-4D87-AE90-2BF5E66F1ADE}">
          <x14:formula1>
            <xm:f>項目!C$17:$SHK19</xm:f>
          </x14:formula1>
          <xm:sqref>SHS25:SHS30</xm:sqref>
        </x14:dataValidation>
        <x14:dataValidation type="list" allowBlank="1" showInputMessage="1" showErrorMessage="1" xr:uid="{B7A2C997-48A8-475C-B3A1-89185307C79F}">
          <x14:formula1>
            <xm:f>項目!C$17:$SRG19</xm:f>
          </x14:formula1>
          <xm:sqref>SRO25:SRO30</xm:sqref>
        </x14:dataValidation>
        <x14:dataValidation type="list" allowBlank="1" showInputMessage="1" showErrorMessage="1" xr:uid="{E9E93C54-BAB2-4FC6-93E4-ADDB07CF7428}">
          <x14:formula1>
            <xm:f>項目!C$17:$TBC19</xm:f>
          </x14:formula1>
          <xm:sqref>TBK25:TBK30</xm:sqref>
        </x14:dataValidation>
        <x14:dataValidation type="list" allowBlank="1" showInputMessage="1" showErrorMessage="1" xr:uid="{A008D577-B344-4BD1-A44D-1BC2779FA406}">
          <x14:formula1>
            <xm:f>項目!C$17:$TKY19</xm:f>
          </x14:formula1>
          <xm:sqref>TLG25:TLG30</xm:sqref>
        </x14:dataValidation>
        <x14:dataValidation type="list" allowBlank="1" showInputMessage="1" showErrorMessage="1" xr:uid="{2250CA37-EEB7-42DD-AD33-8BC5B0A3813F}">
          <x14:formula1>
            <xm:f>項目!C$17:$TUU19</xm:f>
          </x14:formula1>
          <xm:sqref>TVC25:TVC30</xm:sqref>
        </x14:dataValidation>
        <x14:dataValidation type="list" allowBlank="1" showInputMessage="1" showErrorMessage="1" xr:uid="{D498684E-4530-4F26-8C0D-6DDC7AE60102}">
          <x14:formula1>
            <xm:f>項目!C$17:$UEQ19</xm:f>
          </x14:formula1>
          <xm:sqref>UEY25:UEY30</xm:sqref>
        </x14:dataValidation>
        <x14:dataValidation type="list" allowBlank="1" showInputMessage="1" showErrorMessage="1" xr:uid="{3A462C11-00D5-4EB3-A653-1801D091E341}">
          <x14:formula1>
            <xm:f>項目!C$17:$UOM19</xm:f>
          </x14:formula1>
          <xm:sqref>UOU25:UOU30</xm:sqref>
        </x14:dataValidation>
        <x14:dataValidation type="list" allowBlank="1" showInputMessage="1" showErrorMessage="1" xr:uid="{FCD0D575-6711-4C7D-8A4C-9D2E5E085758}">
          <x14:formula1>
            <xm:f>項目!C$17:$UYI19</xm:f>
          </x14:formula1>
          <xm:sqref>UYQ25:UYQ30</xm:sqref>
        </x14:dataValidation>
        <x14:dataValidation type="list" allowBlank="1" showInputMessage="1" showErrorMessage="1" xr:uid="{BCFFB0F0-6665-43E5-B9C5-DB2CF89DDCDE}">
          <x14:formula1>
            <xm:f>項目!C$17:$VIE19</xm:f>
          </x14:formula1>
          <xm:sqref>VIM25:VIM30</xm:sqref>
        </x14:dataValidation>
        <x14:dataValidation type="list" allowBlank="1" showInputMessage="1" showErrorMessage="1" xr:uid="{5FE75E22-4BA2-4726-AE3A-0EAA46D8970B}">
          <x14:formula1>
            <xm:f>項目!C$17:$VSA19</xm:f>
          </x14:formula1>
          <xm:sqref>VSI25:VSI30</xm:sqref>
        </x14:dataValidation>
        <x14:dataValidation type="list" allowBlank="1" showInputMessage="1" showErrorMessage="1" xr:uid="{B276DAB9-FDA7-4B86-BF4F-F10250998CEE}">
          <x14:formula1>
            <xm:f>項目!C$17:$WBW19</xm:f>
          </x14:formula1>
          <xm:sqref>WCE25:WCE30</xm:sqref>
        </x14:dataValidation>
        <x14:dataValidation type="list" allowBlank="1" showInputMessage="1" showErrorMessage="1" xr:uid="{0A962810-2380-4E34-905C-1703C9BF0CB0}">
          <x14:formula1>
            <xm:f>項目!C$17:$WLS19</xm:f>
          </x14:formula1>
          <xm:sqref>WMA25:WMA30</xm:sqref>
        </x14:dataValidation>
        <x14:dataValidation type="list" allowBlank="1" showInputMessage="1" showErrorMessage="1" xr:uid="{9DBCFF4B-8EC9-4F28-8185-1254A3197530}">
          <x14:formula1>
            <xm:f>項目!C$17:$WVO19</xm:f>
          </x14:formula1>
          <xm:sqref>WVW25:WVW30</xm:sqref>
        </x14:dataValidation>
        <x14:dataValidation type="list" allowBlank="1" showInputMessage="1" showErrorMessage="1" xr:uid="{71156CBD-1E36-4C7F-ACBA-A5A0E6A5252E}">
          <x14:formula1>
            <xm:f>項目!C$17:$SQ19</xm:f>
          </x14:formula1>
          <xm:sqref>SY25:SY30</xm:sqref>
        </x14:dataValidation>
        <x14:dataValidation type="list" allowBlank="1" showInputMessage="1" showErrorMessage="1" xr:uid="{4F1399D2-D499-43FA-A21F-FF294EF824ED}">
          <x14:formula1>
            <xm:f>項目!C$17:$JG19</xm:f>
          </x14:formula1>
          <xm:sqref>JO25:JO30</xm:sqref>
        </x14:dataValidation>
        <x14:dataValidation type="list" allowBlank="1" showInputMessage="1" showErrorMessage="1" xr:uid="{DD536625-106D-435A-B625-DA24F8535E41}">
          <x14:formula1>
            <xm:f>項目!C$17:$TC19</xm:f>
          </x14:formula1>
          <xm:sqref>TK25:TK30</xm:sqref>
        </x14:dataValidation>
        <x14:dataValidation type="list" allowBlank="1" showInputMessage="1" showErrorMessage="1" xr:uid="{06D297E0-7733-45D1-95EB-F5252564D459}">
          <x14:formula1>
            <xm:f>項目!C$17:$ACY19</xm:f>
          </x14:formula1>
          <xm:sqref>ADG25:ADG30</xm:sqref>
        </x14:dataValidation>
        <x14:dataValidation type="list" allowBlank="1" showInputMessage="1" showErrorMessage="1" xr:uid="{582BB61E-3464-4C2F-B6E2-BAA0DC8D97D7}">
          <x14:formula1>
            <xm:f>項目!C$17:$AMU19</xm:f>
          </x14:formula1>
          <xm:sqref>ANC25:ANC30</xm:sqref>
        </x14:dataValidation>
        <x14:dataValidation type="list" allowBlank="1" showInputMessage="1" showErrorMessage="1" xr:uid="{11CBA48C-9CDD-4E80-A6C3-F23A391A8E02}">
          <x14:formula1>
            <xm:f>項目!C$17:$AWQ19</xm:f>
          </x14:formula1>
          <xm:sqref>AWY25:AWY30</xm:sqref>
        </x14:dataValidation>
        <x14:dataValidation type="list" allowBlank="1" showInputMessage="1" showErrorMessage="1" xr:uid="{2DEF488E-0E20-4246-BE66-E22ED7AEC92C}">
          <x14:formula1>
            <xm:f>項目!C$17:$BGM19</xm:f>
          </x14:formula1>
          <xm:sqref>BGU25:BGU30</xm:sqref>
        </x14:dataValidation>
        <x14:dataValidation type="list" allowBlank="1" showInputMessage="1" showErrorMessage="1" xr:uid="{0F78FC4E-6B74-4631-8317-3F4076C3584B}">
          <x14:formula1>
            <xm:f>項目!C$17:$BQI19</xm:f>
          </x14:formula1>
          <xm:sqref>BQQ25:BQQ30</xm:sqref>
        </x14:dataValidation>
        <x14:dataValidation type="list" allowBlank="1" showInputMessage="1" showErrorMessage="1" xr:uid="{A0337B56-3153-424E-B60F-0046CA1FEEF9}">
          <x14:formula1>
            <xm:f>項目!C$17:$CAE19</xm:f>
          </x14:formula1>
          <xm:sqref>CAM25:CAM30</xm:sqref>
        </x14:dataValidation>
        <x14:dataValidation type="list" allowBlank="1" showInputMessage="1" showErrorMessage="1" xr:uid="{13782426-B6B2-4E84-A963-C16BFD0FD871}">
          <x14:formula1>
            <xm:f>項目!C$17:$CKA19</xm:f>
          </x14:formula1>
          <xm:sqref>CKI25:CKI30</xm:sqref>
        </x14:dataValidation>
        <x14:dataValidation type="list" allowBlank="1" showInputMessage="1" showErrorMessage="1" xr:uid="{FA054E88-5F32-4817-8823-8E92C3C59DB6}">
          <x14:formula1>
            <xm:f>項目!C$17:$CTW19</xm:f>
          </x14:formula1>
          <xm:sqref>CUE25:CUE30</xm:sqref>
        </x14:dataValidation>
        <x14:dataValidation type="list" allowBlank="1" showInputMessage="1" showErrorMessage="1" xr:uid="{FB6D26F4-E011-4E45-BE1C-FECECB0BFC22}">
          <x14:formula1>
            <xm:f>項目!C$17:$DDS19</xm:f>
          </x14:formula1>
          <xm:sqref>DEA25:DEA30</xm:sqref>
        </x14:dataValidation>
        <x14:dataValidation type="list" allowBlank="1" showInputMessage="1" showErrorMessage="1" xr:uid="{519712A3-D1FD-4A2F-A973-6003D08BC403}">
          <x14:formula1>
            <xm:f>項目!C$17:$DNO19</xm:f>
          </x14:formula1>
          <xm:sqref>DNW25:DNW30</xm:sqref>
        </x14:dataValidation>
        <x14:dataValidation type="list" allowBlank="1" showInputMessage="1" showErrorMessage="1" xr:uid="{5B800544-3130-4FD8-9CBD-D3F3508F85F3}">
          <x14:formula1>
            <xm:f>項目!C$17:$DXK19</xm:f>
          </x14:formula1>
          <xm:sqref>DXS25:DXS30</xm:sqref>
        </x14:dataValidation>
        <x14:dataValidation type="list" allowBlank="1" showInputMessage="1" showErrorMessage="1" xr:uid="{1261C88D-FD8E-4297-B390-56BB1D3D9C3C}">
          <x14:formula1>
            <xm:f>項目!C$17:$EHG19</xm:f>
          </x14:formula1>
          <xm:sqref>EHO25:EHO30</xm:sqref>
        </x14:dataValidation>
        <x14:dataValidation type="list" allowBlank="1" showInputMessage="1" showErrorMessage="1" xr:uid="{6E4AE5D3-69F8-4E18-B762-71B5AE8AE422}">
          <x14:formula1>
            <xm:f>項目!C$17:$ERC19</xm:f>
          </x14:formula1>
          <xm:sqref>ERK25:ERK30</xm:sqref>
        </x14:dataValidation>
        <x14:dataValidation type="list" allowBlank="1" showInputMessage="1" showErrorMessage="1" xr:uid="{BFF9111A-D3E8-42C0-961D-C107D9CAE33F}">
          <x14:formula1>
            <xm:f>項目!C$17:$FAY19</xm:f>
          </x14:formula1>
          <xm:sqref>FBG25:FBG30</xm:sqref>
        </x14:dataValidation>
        <x14:dataValidation type="list" allowBlank="1" showInputMessage="1" showErrorMessage="1" xr:uid="{97ED85EA-03F2-4625-A6AD-E3C6D85DAC70}">
          <x14:formula1>
            <xm:f>項目!C$17:$FKU19</xm:f>
          </x14:formula1>
          <xm:sqref>FLC25:FLC30</xm:sqref>
        </x14:dataValidation>
        <x14:dataValidation type="list" allowBlank="1" showInputMessage="1" showErrorMessage="1" xr:uid="{E2EF0766-2463-489F-83EA-8315B279C168}">
          <x14:formula1>
            <xm:f>項目!C$17:$FUQ19</xm:f>
          </x14:formula1>
          <xm:sqref>FUY25:FUY30</xm:sqref>
        </x14:dataValidation>
        <x14:dataValidation type="list" allowBlank="1" showInputMessage="1" showErrorMessage="1" xr:uid="{A17ECDBD-CE80-4725-94FC-B71F0731624D}">
          <x14:formula1>
            <xm:f>項目!C$17:$GEM19</xm:f>
          </x14:formula1>
          <xm:sqref>GEU25:GEU30</xm:sqref>
        </x14:dataValidation>
        <x14:dataValidation type="list" allowBlank="1" showInputMessage="1" showErrorMessage="1" xr:uid="{0B6BF481-DE1E-417F-84E9-46C4B89AF594}">
          <x14:formula1>
            <xm:f>項目!C$17:$GOI19</xm:f>
          </x14:formula1>
          <xm:sqref>GOQ25:GOQ30</xm:sqref>
        </x14:dataValidation>
        <x14:dataValidation type="list" allowBlank="1" showInputMessage="1" showErrorMessage="1" xr:uid="{170DF4A7-A89E-4507-8CD8-C3F933200734}">
          <x14:formula1>
            <xm:f>項目!C$17:$GYE19</xm:f>
          </x14:formula1>
          <xm:sqref>GYM25:GYM30</xm:sqref>
        </x14:dataValidation>
        <x14:dataValidation type="list" allowBlank="1" showInputMessage="1" showErrorMessage="1" xr:uid="{6094335C-A60D-4E30-B6B8-680F012662FF}">
          <x14:formula1>
            <xm:f>項目!C$17:$HIA19</xm:f>
          </x14:formula1>
          <xm:sqref>HII25:HII30</xm:sqref>
        </x14:dataValidation>
        <x14:dataValidation type="list" allowBlank="1" showInputMessage="1" showErrorMessage="1" xr:uid="{85669439-56E7-4EAD-B692-5663A4515880}">
          <x14:formula1>
            <xm:f>項目!C$17:$HRW19</xm:f>
          </x14:formula1>
          <xm:sqref>HSE25:HSE30</xm:sqref>
        </x14:dataValidation>
        <x14:dataValidation type="list" allowBlank="1" showInputMessage="1" showErrorMessage="1" xr:uid="{6054D81E-F6E4-468E-9D55-666D5399DEAB}">
          <x14:formula1>
            <xm:f>項目!C$17:$IBS19</xm:f>
          </x14:formula1>
          <xm:sqref>ICA25:ICA30</xm:sqref>
        </x14:dataValidation>
        <x14:dataValidation type="list" allowBlank="1" showInputMessage="1" showErrorMessage="1" xr:uid="{0F24D1D1-D24F-46A1-B0CD-F84738B4189E}">
          <x14:formula1>
            <xm:f>項目!C$17:$ILO19</xm:f>
          </x14:formula1>
          <xm:sqref>ILW25:ILW30</xm:sqref>
        </x14:dataValidation>
        <x14:dataValidation type="list" allowBlank="1" showInputMessage="1" showErrorMessage="1" xr:uid="{4EB40338-590B-44F4-BD30-4ABEA0B8FB0F}">
          <x14:formula1>
            <xm:f>項目!C$17:$IVK19</xm:f>
          </x14:formula1>
          <xm:sqref>IVS25:IVS30</xm:sqref>
        </x14:dataValidation>
        <x14:dataValidation type="list" allowBlank="1" showInputMessage="1" showErrorMessage="1" xr:uid="{A054441C-917B-42FC-AB58-A6EEA9807C23}">
          <x14:formula1>
            <xm:f>項目!C$17:$JFG19</xm:f>
          </x14:formula1>
          <xm:sqref>JFO25:JFO30</xm:sqref>
        </x14:dataValidation>
        <x14:dataValidation type="list" allowBlank="1" showInputMessage="1" showErrorMessage="1" xr:uid="{3879B819-0FA3-405C-BB2C-7D2781AE02AE}">
          <x14:formula1>
            <xm:f>項目!C$17:$JPC19</xm:f>
          </x14:formula1>
          <xm:sqref>JPK25:JPK30</xm:sqref>
        </x14:dataValidation>
        <x14:dataValidation type="list" allowBlank="1" showInputMessage="1" showErrorMessage="1" xr:uid="{6A6E8883-5531-42E6-B435-F38A322F38D3}">
          <x14:formula1>
            <xm:f>項目!C$17:$JYY19</xm:f>
          </x14:formula1>
          <xm:sqref>JZG25:JZG30</xm:sqref>
        </x14:dataValidation>
        <x14:dataValidation type="list" allowBlank="1" showInputMessage="1" showErrorMessage="1" xr:uid="{65E61D92-949C-4238-BA61-12F7404A3E91}">
          <x14:formula1>
            <xm:f>項目!C$17:$KIU19</xm:f>
          </x14:formula1>
          <xm:sqref>KJC25:KJC30</xm:sqref>
        </x14:dataValidation>
        <x14:dataValidation type="list" allowBlank="1" showInputMessage="1" showErrorMessage="1" xr:uid="{FDCE7EBB-6742-4702-A6F4-D5B29C4EE3BC}">
          <x14:formula1>
            <xm:f>項目!C$17:$KSQ19</xm:f>
          </x14:formula1>
          <xm:sqref>KSY25:KSY30</xm:sqref>
        </x14:dataValidation>
        <x14:dataValidation type="list" allowBlank="1" showInputMessage="1" showErrorMessage="1" xr:uid="{7F1E7BB1-124F-4199-98F6-86916D6D5214}">
          <x14:formula1>
            <xm:f>項目!C$17:$LCM19</xm:f>
          </x14:formula1>
          <xm:sqref>LCU25:LCU30</xm:sqref>
        </x14:dataValidation>
        <x14:dataValidation type="list" allowBlank="1" showInputMessage="1" showErrorMessage="1" xr:uid="{94C23A4E-BFA5-49AC-B3DA-2C55624AA179}">
          <x14:formula1>
            <xm:f>項目!C$17:$LMI19</xm:f>
          </x14:formula1>
          <xm:sqref>LMQ25:LMQ30</xm:sqref>
        </x14:dataValidation>
        <x14:dataValidation type="list" allowBlank="1" showInputMessage="1" showErrorMessage="1" xr:uid="{426075B8-FBDF-4611-B6D5-75673FABEF8F}">
          <x14:formula1>
            <xm:f>項目!C$17:$LWE19</xm:f>
          </x14:formula1>
          <xm:sqref>LWM25:LWM30</xm:sqref>
        </x14:dataValidation>
        <x14:dataValidation type="list" allowBlank="1" showInputMessage="1" showErrorMessage="1" xr:uid="{C301C9E8-B8B5-4717-BEAC-224BFC0E45C1}">
          <x14:formula1>
            <xm:f>項目!C$17:$MGA19</xm:f>
          </x14:formula1>
          <xm:sqref>MGI25:MGI30</xm:sqref>
        </x14:dataValidation>
        <x14:dataValidation type="list" allowBlank="1" showInputMessage="1" showErrorMessage="1" xr:uid="{176BB34A-242A-47E4-A2CF-814DBEFA9C33}">
          <x14:formula1>
            <xm:f>項目!C$17:$MPW19</xm:f>
          </x14:formula1>
          <xm:sqref>MQE25:MQE30</xm:sqref>
        </x14:dataValidation>
        <x14:dataValidation type="list" allowBlank="1" showInputMessage="1" showErrorMessage="1" xr:uid="{B9815E49-1AA8-4429-8B45-6A663C5B03D9}">
          <x14:formula1>
            <xm:f>項目!C$17:$MZS19</xm:f>
          </x14:formula1>
          <xm:sqref>NAA25:NAA30</xm:sqref>
        </x14:dataValidation>
        <x14:dataValidation type="list" allowBlank="1" showInputMessage="1" showErrorMessage="1" xr:uid="{CACF848C-A811-49E0-88EF-DAF1C8DB37AB}">
          <x14:formula1>
            <xm:f>項目!C$17:$NJO19</xm:f>
          </x14:formula1>
          <xm:sqref>NJW25:NJW30</xm:sqref>
        </x14:dataValidation>
        <x14:dataValidation type="list" allowBlank="1" showInputMessage="1" showErrorMessage="1" xr:uid="{4931A520-35EB-476D-BDA3-1C4DBE715F8B}">
          <x14:formula1>
            <xm:f>項目!C$17:$NTK19</xm:f>
          </x14:formula1>
          <xm:sqref>NTS25:NTS30</xm:sqref>
        </x14:dataValidation>
        <x14:dataValidation type="list" allowBlank="1" showInputMessage="1" showErrorMessage="1" xr:uid="{C631993F-7C94-401C-84F5-6F7B3E8F80A5}">
          <x14:formula1>
            <xm:f>項目!C$17:$ODG19</xm:f>
          </x14:formula1>
          <xm:sqref>ODO25:ODO30</xm:sqref>
        </x14:dataValidation>
        <x14:dataValidation type="list" allowBlank="1" showInputMessage="1" showErrorMessage="1" xr:uid="{BDA3258E-7564-462A-B772-44A0E6BA03BB}">
          <x14:formula1>
            <xm:f>項目!C$17:$ONC19</xm:f>
          </x14:formula1>
          <xm:sqref>ONK25:ONK30</xm:sqref>
        </x14:dataValidation>
        <x14:dataValidation type="list" allowBlank="1" showInputMessage="1" showErrorMessage="1" xr:uid="{5D739E8B-C467-4FCB-8797-ECAB7450F2D8}">
          <x14:formula1>
            <xm:f>項目!C$17:$OWY19</xm:f>
          </x14:formula1>
          <xm:sqref>OXG25:OXG30</xm:sqref>
        </x14:dataValidation>
        <x14:dataValidation type="list" allowBlank="1" showInputMessage="1" showErrorMessage="1" xr:uid="{CBB97A93-89B7-4B92-A342-0EC30502D30E}">
          <x14:formula1>
            <xm:f>項目!C$17:$PGU19</xm:f>
          </x14:formula1>
          <xm:sqref>PHC25:PHC30</xm:sqref>
        </x14:dataValidation>
        <x14:dataValidation type="list" allowBlank="1" showInputMessage="1" showErrorMessage="1" xr:uid="{D733F30C-D7ED-4725-AF60-A7D2C774F039}">
          <x14:formula1>
            <xm:f>項目!C$17:$PQQ19</xm:f>
          </x14:formula1>
          <xm:sqref>PQY25:PQY30</xm:sqref>
        </x14:dataValidation>
        <x14:dataValidation type="list" allowBlank="1" showInputMessage="1" showErrorMessage="1" xr:uid="{EBEE38E0-ADCF-449C-80BF-A2B089935F7E}">
          <x14:formula1>
            <xm:f>項目!C$17:$QAM19</xm:f>
          </x14:formula1>
          <xm:sqref>QAU25:QAU30</xm:sqref>
        </x14:dataValidation>
        <x14:dataValidation type="list" allowBlank="1" showInputMessage="1" showErrorMessage="1" xr:uid="{5DB4A63B-2560-4806-B5F9-88691D2AAA04}">
          <x14:formula1>
            <xm:f>項目!C$17:$QKI19</xm:f>
          </x14:formula1>
          <xm:sqref>QKQ25:QKQ30</xm:sqref>
        </x14:dataValidation>
        <x14:dataValidation type="list" allowBlank="1" showInputMessage="1" showErrorMessage="1" xr:uid="{6DB21887-8F5A-474A-B376-B5A61DC19E5B}">
          <x14:formula1>
            <xm:f>項目!C$17:$QUE19</xm:f>
          </x14:formula1>
          <xm:sqref>QUM25:QUM30</xm:sqref>
        </x14:dataValidation>
        <x14:dataValidation type="list" allowBlank="1" showInputMessage="1" showErrorMessage="1" xr:uid="{5C4B25AD-ABEC-45B4-85C9-F3D0C5E1D105}">
          <x14:formula1>
            <xm:f>項目!C$17:$REA19</xm:f>
          </x14:formula1>
          <xm:sqref>REI25:REI30</xm:sqref>
        </x14:dataValidation>
        <x14:dataValidation type="list" allowBlank="1" showInputMessage="1" showErrorMessage="1" xr:uid="{389DE6DF-281D-4E51-B72B-253AC7C2BE3B}">
          <x14:formula1>
            <xm:f>項目!C$17:$RNW19</xm:f>
          </x14:formula1>
          <xm:sqref>ROE25:ROE30</xm:sqref>
        </x14:dataValidation>
        <x14:dataValidation type="list" allowBlank="1" showInputMessage="1" showErrorMessage="1" xr:uid="{92A82E18-8CB6-469C-BCC2-5AEFAABBD30C}">
          <x14:formula1>
            <xm:f>項目!C$17:$RXS19</xm:f>
          </x14:formula1>
          <xm:sqref>RYA25:RYA30</xm:sqref>
        </x14:dataValidation>
        <x14:dataValidation type="list" allowBlank="1" showInputMessage="1" showErrorMessage="1" xr:uid="{8C956DAC-EF60-4BCB-A574-539117F76AEA}">
          <x14:formula1>
            <xm:f>項目!C$17:$SHO19</xm:f>
          </x14:formula1>
          <xm:sqref>SHW25:SHW30</xm:sqref>
        </x14:dataValidation>
        <x14:dataValidation type="list" allowBlank="1" showInputMessage="1" showErrorMessage="1" xr:uid="{EF282EBD-9B0D-4069-88A0-C9FCDBA9D961}">
          <x14:formula1>
            <xm:f>項目!C$17:$SRK19</xm:f>
          </x14:formula1>
          <xm:sqref>SRS25:SRS30</xm:sqref>
        </x14:dataValidation>
        <x14:dataValidation type="list" allowBlank="1" showInputMessage="1" showErrorMessage="1" xr:uid="{F15615BA-EA38-49BF-BB0E-7CBDD394CDCC}">
          <x14:formula1>
            <xm:f>項目!C$17:$TBG19</xm:f>
          </x14:formula1>
          <xm:sqref>TBO25:TBO30</xm:sqref>
        </x14:dataValidation>
        <x14:dataValidation type="list" allowBlank="1" showInputMessage="1" showErrorMessage="1" xr:uid="{A135DD66-1A39-4A8D-B7B5-4C3A5EFC8670}">
          <x14:formula1>
            <xm:f>項目!C$17:$TLC19</xm:f>
          </x14:formula1>
          <xm:sqref>TLK25:TLK30</xm:sqref>
        </x14:dataValidation>
        <x14:dataValidation type="list" allowBlank="1" showInputMessage="1" showErrorMessage="1" xr:uid="{58B47003-8299-467E-BE96-82A8B657D301}">
          <x14:formula1>
            <xm:f>項目!C$17:$TUY19</xm:f>
          </x14:formula1>
          <xm:sqref>TVG25:TVG30</xm:sqref>
        </x14:dataValidation>
        <x14:dataValidation type="list" allowBlank="1" showInputMessage="1" showErrorMessage="1" xr:uid="{F094E73E-5833-4B77-9585-05D350BEB9F5}">
          <x14:formula1>
            <xm:f>項目!C$17:$UEU19</xm:f>
          </x14:formula1>
          <xm:sqref>UFC25:UFC30</xm:sqref>
        </x14:dataValidation>
        <x14:dataValidation type="list" allowBlank="1" showInputMessage="1" showErrorMessage="1" xr:uid="{B3DCC69B-42A9-4548-B4DF-FFF58D61512F}">
          <x14:formula1>
            <xm:f>項目!C$17:$UOQ19</xm:f>
          </x14:formula1>
          <xm:sqref>UOY25:UOY30</xm:sqref>
        </x14:dataValidation>
        <x14:dataValidation type="list" allowBlank="1" showInputMessage="1" showErrorMessage="1" xr:uid="{E461F3B5-A0B3-4FA2-A332-5388F5834F04}">
          <x14:formula1>
            <xm:f>項目!C$17:$UYM19</xm:f>
          </x14:formula1>
          <xm:sqref>UYU25:UYU30</xm:sqref>
        </x14:dataValidation>
        <x14:dataValidation type="list" allowBlank="1" showInputMessage="1" showErrorMessage="1" xr:uid="{F01D0279-72DD-4383-9E91-E69BBDB34883}">
          <x14:formula1>
            <xm:f>項目!C$17:$VII19</xm:f>
          </x14:formula1>
          <xm:sqref>VIQ25:VIQ30</xm:sqref>
        </x14:dataValidation>
        <x14:dataValidation type="list" allowBlank="1" showInputMessage="1" showErrorMessage="1" xr:uid="{62DC619A-27A6-4D23-81DA-7EE5A1C0F50E}">
          <x14:formula1>
            <xm:f>項目!C$17:$VSE19</xm:f>
          </x14:formula1>
          <xm:sqref>VSM25:VSM30</xm:sqref>
        </x14:dataValidation>
        <x14:dataValidation type="list" allowBlank="1" showInputMessage="1" showErrorMessage="1" xr:uid="{44A2F5C6-7E2B-4ADA-B707-BA0DF52927AD}">
          <x14:formula1>
            <xm:f>項目!C$17:$WCA19</xm:f>
          </x14:formula1>
          <xm:sqref>WCI25:WCI30</xm:sqref>
        </x14:dataValidation>
        <x14:dataValidation type="list" allowBlank="1" showInputMessage="1" showErrorMessage="1" xr:uid="{BF7203AE-C3F5-4C63-9933-7FA4DABD3407}">
          <x14:formula1>
            <xm:f>項目!C$17:$WLW19</xm:f>
          </x14:formula1>
          <xm:sqref>WME25:WME30</xm:sqref>
        </x14:dataValidation>
        <x14:dataValidation type="list" allowBlank="1" showInputMessage="1" showErrorMessage="1" xr:uid="{1ABC8740-D813-4E57-83AE-95A1A11CB0CB}">
          <x14:formula1>
            <xm:f>項目!C$17:$WVS19</xm:f>
          </x14:formula1>
          <xm:sqref>WWA25:WWA30</xm:sqref>
        </x14:dataValidation>
        <x14:dataValidation type="list" allowBlank="1" showInputMessage="1" showErrorMessage="1" xr:uid="{C87B946E-E43F-4710-88B9-B4420A04EC9C}">
          <x14:formula1>
            <xm:f>項目!C$17:$ACM19</xm:f>
          </x14:formula1>
          <xm:sqref>ACU25:ACU30</xm:sqref>
        </x14:dataValidation>
        <x14:dataValidation type="list" allowBlank="1" showInputMessage="1" showErrorMessage="1" xr:uid="{0D94A1B7-205F-4F6D-8403-7BF3B79507A9}">
          <x14:formula1>
            <xm:f>項目!C$17:$JK19</xm:f>
          </x14:formula1>
          <xm:sqref>JS25:JS30</xm:sqref>
        </x14:dataValidation>
        <x14:dataValidation type="list" allowBlank="1" showInputMessage="1" showErrorMessage="1" xr:uid="{61468F82-08F8-4DB8-B882-0D9D35330428}">
          <x14:formula1>
            <xm:f>項目!C$17:$TG19</xm:f>
          </x14:formula1>
          <xm:sqref>TO25:TO30</xm:sqref>
        </x14:dataValidation>
        <x14:dataValidation type="list" allowBlank="1" showInputMessage="1" showErrorMessage="1" xr:uid="{6C88A5C2-A795-45A6-98FE-4C9430EBD3C0}">
          <x14:formula1>
            <xm:f>項目!C$17:$ADC19</xm:f>
          </x14:formula1>
          <xm:sqref>ADK25:ADK30</xm:sqref>
        </x14:dataValidation>
        <x14:dataValidation type="list" allowBlank="1" showInputMessage="1" showErrorMessage="1" xr:uid="{AC0520B4-A12E-449D-9699-0AEE4A6911FB}">
          <x14:formula1>
            <xm:f>項目!C$17:$AMY19</xm:f>
          </x14:formula1>
          <xm:sqref>ANG25:ANG30</xm:sqref>
        </x14:dataValidation>
        <x14:dataValidation type="list" allowBlank="1" showInputMessage="1" showErrorMessage="1" xr:uid="{61CAB049-EBE7-4408-9783-B01E5E442BF4}">
          <x14:formula1>
            <xm:f>項目!C$17:$AWU19</xm:f>
          </x14:formula1>
          <xm:sqref>AXC25:AXC30</xm:sqref>
        </x14:dataValidation>
        <x14:dataValidation type="list" allowBlank="1" showInputMessage="1" showErrorMessage="1" xr:uid="{95F1F4CE-6067-4F4C-A886-34F783CCD955}">
          <x14:formula1>
            <xm:f>項目!C$17:$BGQ19</xm:f>
          </x14:formula1>
          <xm:sqref>BGY25:BGY30</xm:sqref>
        </x14:dataValidation>
        <x14:dataValidation type="list" allowBlank="1" showInputMessage="1" showErrorMessage="1" xr:uid="{1F230E7C-519E-4F6D-B3EE-A7FAE34AE9B3}">
          <x14:formula1>
            <xm:f>項目!C$17:$BQM19</xm:f>
          </x14:formula1>
          <xm:sqref>BQU25:BQU30</xm:sqref>
        </x14:dataValidation>
        <x14:dataValidation type="list" allowBlank="1" showInputMessage="1" showErrorMessage="1" xr:uid="{B595DD61-22DC-43AA-AC59-3138EE13C8BB}">
          <x14:formula1>
            <xm:f>項目!C$17:$CAI19</xm:f>
          </x14:formula1>
          <xm:sqref>CAQ25:CAQ30</xm:sqref>
        </x14:dataValidation>
        <x14:dataValidation type="list" allowBlank="1" showInputMessage="1" showErrorMessage="1" xr:uid="{C7B8B34F-A852-4500-B0A0-ABAD80257D57}">
          <x14:formula1>
            <xm:f>項目!C$17:$CKE19</xm:f>
          </x14:formula1>
          <xm:sqref>CKM25:CKM30</xm:sqref>
        </x14:dataValidation>
        <x14:dataValidation type="list" allowBlank="1" showInputMessage="1" showErrorMessage="1" xr:uid="{200903CC-B412-41DB-B510-EADED5824629}">
          <x14:formula1>
            <xm:f>項目!C$17:$CUA19</xm:f>
          </x14:formula1>
          <xm:sqref>CUI25:CUI30</xm:sqref>
        </x14:dataValidation>
        <x14:dataValidation type="list" allowBlank="1" showInputMessage="1" showErrorMessage="1" xr:uid="{B7F21E21-A39A-4CE5-993C-36C4579A3242}">
          <x14:formula1>
            <xm:f>項目!C$17:$DDW19</xm:f>
          </x14:formula1>
          <xm:sqref>DEE25:DEE30</xm:sqref>
        </x14:dataValidation>
        <x14:dataValidation type="list" allowBlank="1" showInputMessage="1" showErrorMessage="1" xr:uid="{CE812B5B-2C58-4288-95C1-FD00EA7A05C1}">
          <x14:formula1>
            <xm:f>項目!C$17:$DNS19</xm:f>
          </x14:formula1>
          <xm:sqref>DOA25:DOA30</xm:sqref>
        </x14:dataValidation>
        <x14:dataValidation type="list" allowBlank="1" showInputMessage="1" showErrorMessage="1" xr:uid="{191B7C0F-E751-4012-BF12-A540E40C3FCC}">
          <x14:formula1>
            <xm:f>項目!C$17:$DXO19</xm:f>
          </x14:formula1>
          <xm:sqref>DXW25:DXW30</xm:sqref>
        </x14:dataValidation>
        <x14:dataValidation type="list" allowBlank="1" showInputMessage="1" showErrorMessage="1" xr:uid="{2CD304D0-94CF-4DB4-99D3-25849537A25D}">
          <x14:formula1>
            <xm:f>項目!C$17:$EHK19</xm:f>
          </x14:formula1>
          <xm:sqref>EHS25:EHS30</xm:sqref>
        </x14:dataValidation>
        <x14:dataValidation type="list" allowBlank="1" showInputMessage="1" showErrorMessage="1" xr:uid="{41CE7906-71DB-4FB1-BD4B-13940CD694F0}">
          <x14:formula1>
            <xm:f>項目!C$17:$ERG19</xm:f>
          </x14:formula1>
          <xm:sqref>ERO25:ERO30</xm:sqref>
        </x14:dataValidation>
        <x14:dataValidation type="list" allowBlank="1" showInputMessage="1" showErrorMessage="1" xr:uid="{AD7619A8-191E-4049-9613-C3DD390B6C3E}">
          <x14:formula1>
            <xm:f>項目!C$17:$FBC19</xm:f>
          </x14:formula1>
          <xm:sqref>FBK25:FBK30</xm:sqref>
        </x14:dataValidation>
        <x14:dataValidation type="list" allowBlank="1" showInputMessage="1" showErrorMessage="1" xr:uid="{2066C35D-A45C-404F-ACC2-C9B3BD0E9878}">
          <x14:formula1>
            <xm:f>項目!C$17:$FKY19</xm:f>
          </x14:formula1>
          <xm:sqref>FLG25:FLG30</xm:sqref>
        </x14:dataValidation>
        <x14:dataValidation type="list" allowBlank="1" showInputMessage="1" showErrorMessage="1" xr:uid="{3A859351-F5A6-49A2-9CBE-916D826822DA}">
          <x14:formula1>
            <xm:f>項目!C$17:$FUU19</xm:f>
          </x14:formula1>
          <xm:sqref>FVC25:FVC30</xm:sqref>
        </x14:dataValidation>
        <x14:dataValidation type="list" allowBlank="1" showInputMessage="1" showErrorMessage="1" xr:uid="{E3D7C752-DE56-4529-A202-E82DA05942E4}">
          <x14:formula1>
            <xm:f>項目!C$17:$GEQ19</xm:f>
          </x14:formula1>
          <xm:sqref>GEY25:GEY30</xm:sqref>
        </x14:dataValidation>
        <x14:dataValidation type="list" allowBlank="1" showInputMessage="1" showErrorMessage="1" xr:uid="{7C96BE0A-9F53-439A-A953-7DADA28E32A3}">
          <x14:formula1>
            <xm:f>項目!C$17:$GOM19</xm:f>
          </x14:formula1>
          <xm:sqref>GOU25:GOU30</xm:sqref>
        </x14:dataValidation>
        <x14:dataValidation type="list" allowBlank="1" showInputMessage="1" showErrorMessage="1" xr:uid="{391DD59B-BC0B-460C-9C27-9A451048090E}">
          <x14:formula1>
            <xm:f>項目!C$17:$GYI19</xm:f>
          </x14:formula1>
          <xm:sqref>GYQ25:GYQ30</xm:sqref>
        </x14:dataValidation>
        <x14:dataValidation type="list" allowBlank="1" showInputMessage="1" showErrorMessage="1" xr:uid="{A7F9A65F-988F-40C6-B107-B48486D35082}">
          <x14:formula1>
            <xm:f>項目!C$17:$HIE19</xm:f>
          </x14:formula1>
          <xm:sqref>HIM25:HIM30</xm:sqref>
        </x14:dataValidation>
        <x14:dataValidation type="list" allowBlank="1" showInputMessage="1" showErrorMessage="1" xr:uid="{B1981FA9-66BF-4B0B-B64D-AADC71B7879D}">
          <x14:formula1>
            <xm:f>項目!C$17:$HSA19</xm:f>
          </x14:formula1>
          <xm:sqref>HSI25:HSI30</xm:sqref>
        </x14:dataValidation>
        <x14:dataValidation type="list" allowBlank="1" showInputMessage="1" showErrorMessage="1" xr:uid="{81279D6E-4B48-45C0-A272-CDB9760DFC3D}">
          <x14:formula1>
            <xm:f>項目!C$17:$IBW19</xm:f>
          </x14:formula1>
          <xm:sqref>ICE25:ICE30</xm:sqref>
        </x14:dataValidation>
        <x14:dataValidation type="list" allowBlank="1" showInputMessage="1" showErrorMessage="1" xr:uid="{B41F2D38-8597-4262-A485-4DCB1ACBF3BD}">
          <x14:formula1>
            <xm:f>項目!C$17:$ILS19</xm:f>
          </x14:formula1>
          <xm:sqref>IMA25:IMA30</xm:sqref>
        </x14:dataValidation>
        <x14:dataValidation type="list" allowBlank="1" showInputMessage="1" showErrorMessage="1" xr:uid="{A4814E29-B63B-4E77-8916-E21EB80EA7B3}">
          <x14:formula1>
            <xm:f>項目!C$17:$IVO19</xm:f>
          </x14:formula1>
          <xm:sqref>IVW25:IVW30</xm:sqref>
        </x14:dataValidation>
        <x14:dataValidation type="list" allowBlank="1" showInputMessage="1" showErrorMessage="1" xr:uid="{29F5A5B6-9D89-4415-BAC8-F3685DA5444E}">
          <x14:formula1>
            <xm:f>項目!C$17:$JFK19</xm:f>
          </x14:formula1>
          <xm:sqref>JFS25:JFS30</xm:sqref>
        </x14:dataValidation>
        <x14:dataValidation type="list" allowBlank="1" showInputMessage="1" showErrorMessage="1" xr:uid="{E0A94E58-6459-43D1-BD80-B38413BEB241}">
          <x14:formula1>
            <xm:f>項目!C$17:$JPG19</xm:f>
          </x14:formula1>
          <xm:sqref>JPO25:JPO30</xm:sqref>
        </x14:dataValidation>
        <x14:dataValidation type="list" allowBlank="1" showInputMessage="1" showErrorMessage="1" xr:uid="{52FD2C51-92EA-43C0-8843-E09AFFAF9D42}">
          <x14:formula1>
            <xm:f>項目!C$17:$JZC19</xm:f>
          </x14:formula1>
          <xm:sqref>JZK25:JZK30</xm:sqref>
        </x14:dataValidation>
        <x14:dataValidation type="list" allowBlank="1" showInputMessage="1" showErrorMessage="1" xr:uid="{7C1C3EE3-5A0E-41C6-8753-EB3045CCE963}">
          <x14:formula1>
            <xm:f>項目!C$17:$KIY19</xm:f>
          </x14:formula1>
          <xm:sqref>KJG25:KJG30</xm:sqref>
        </x14:dataValidation>
        <x14:dataValidation type="list" allowBlank="1" showInputMessage="1" showErrorMessage="1" xr:uid="{367F51C9-2685-4918-ABFD-B776C7AB573B}">
          <x14:formula1>
            <xm:f>項目!C$17:$KSU19</xm:f>
          </x14:formula1>
          <xm:sqref>KTC25:KTC30</xm:sqref>
        </x14:dataValidation>
        <x14:dataValidation type="list" allowBlank="1" showInputMessage="1" showErrorMessage="1" xr:uid="{FC0F96F0-40AE-4052-A5AF-3E239C11A1EF}">
          <x14:formula1>
            <xm:f>項目!C$17:$LCQ19</xm:f>
          </x14:formula1>
          <xm:sqref>LCY25:LCY30</xm:sqref>
        </x14:dataValidation>
        <x14:dataValidation type="list" allowBlank="1" showInputMessage="1" showErrorMessage="1" xr:uid="{D067F6EC-0C6C-494A-BC0B-EC443C6EE889}">
          <x14:formula1>
            <xm:f>項目!C$17:$LMM19</xm:f>
          </x14:formula1>
          <xm:sqref>LMU25:LMU30</xm:sqref>
        </x14:dataValidation>
        <x14:dataValidation type="list" allowBlank="1" showInputMessage="1" showErrorMessage="1" xr:uid="{7189076F-2752-43E0-9E38-E5D0D73C8B3D}">
          <x14:formula1>
            <xm:f>項目!C$17:$LWI19</xm:f>
          </x14:formula1>
          <xm:sqref>LWQ25:LWQ30</xm:sqref>
        </x14:dataValidation>
        <x14:dataValidation type="list" allowBlank="1" showInputMessage="1" showErrorMessage="1" xr:uid="{AF8886B2-D151-4F6F-B1CF-1E2C02D4B9E2}">
          <x14:formula1>
            <xm:f>項目!C$17:$MGE19</xm:f>
          </x14:formula1>
          <xm:sqref>MGM25:MGM30</xm:sqref>
        </x14:dataValidation>
        <x14:dataValidation type="list" allowBlank="1" showInputMessage="1" showErrorMessage="1" xr:uid="{74C72C7F-D296-4A93-AFE6-F5FF79F6B4E3}">
          <x14:formula1>
            <xm:f>項目!C$17:$MQA19</xm:f>
          </x14:formula1>
          <xm:sqref>MQI25:MQI30</xm:sqref>
        </x14:dataValidation>
        <x14:dataValidation type="list" allowBlank="1" showInputMessage="1" showErrorMessage="1" xr:uid="{6EB32DC9-02CB-4951-82C3-A4572BF83708}">
          <x14:formula1>
            <xm:f>項目!C$17:$MZW19</xm:f>
          </x14:formula1>
          <xm:sqref>NAE25:NAE30</xm:sqref>
        </x14:dataValidation>
        <x14:dataValidation type="list" allowBlank="1" showInputMessage="1" showErrorMessage="1" xr:uid="{9A9CE729-B1AF-46AD-99CE-C06D2A2B061E}">
          <x14:formula1>
            <xm:f>項目!C$17:$NJS19</xm:f>
          </x14:formula1>
          <xm:sqref>NKA25:NKA30</xm:sqref>
        </x14:dataValidation>
        <x14:dataValidation type="list" allowBlank="1" showInputMessage="1" showErrorMessage="1" xr:uid="{3AD57C35-100D-4882-B1B1-FF78D76B7F76}">
          <x14:formula1>
            <xm:f>項目!C$17:$NTO19</xm:f>
          </x14:formula1>
          <xm:sqref>NTW25:NTW30</xm:sqref>
        </x14:dataValidation>
        <x14:dataValidation type="list" allowBlank="1" showInputMessage="1" showErrorMessage="1" xr:uid="{7682F139-A817-4E14-8988-E582C566DB4B}">
          <x14:formula1>
            <xm:f>項目!C$17:$ODK19</xm:f>
          </x14:formula1>
          <xm:sqref>ODS25:ODS30</xm:sqref>
        </x14:dataValidation>
        <x14:dataValidation type="list" allowBlank="1" showInputMessage="1" showErrorMessage="1" xr:uid="{771E00D0-BC52-4834-9026-B4615C42C63A}">
          <x14:formula1>
            <xm:f>項目!C$17:$ONG19</xm:f>
          </x14:formula1>
          <xm:sqref>ONO25:ONO30</xm:sqref>
        </x14:dataValidation>
        <x14:dataValidation type="list" allowBlank="1" showInputMessage="1" showErrorMessage="1" xr:uid="{E1ECD549-02F8-4991-ADF9-B8D1266DD2EC}">
          <x14:formula1>
            <xm:f>項目!C$17:$OXC19</xm:f>
          </x14:formula1>
          <xm:sqref>OXK25:OXK30</xm:sqref>
        </x14:dataValidation>
        <x14:dataValidation type="list" allowBlank="1" showInputMessage="1" showErrorMessage="1" xr:uid="{3630911C-F7F0-4DC5-B375-40287C1CD5C4}">
          <x14:formula1>
            <xm:f>項目!C$17:$PGY19</xm:f>
          </x14:formula1>
          <xm:sqref>PHG25:PHG30</xm:sqref>
        </x14:dataValidation>
        <x14:dataValidation type="list" allowBlank="1" showInputMessage="1" showErrorMessage="1" xr:uid="{85B0238B-03EB-4F3F-8C54-26BF9BDC9AD1}">
          <x14:formula1>
            <xm:f>項目!C$17:$PQU19</xm:f>
          </x14:formula1>
          <xm:sqref>PRC25:PRC30</xm:sqref>
        </x14:dataValidation>
        <x14:dataValidation type="list" allowBlank="1" showInputMessage="1" showErrorMessage="1" xr:uid="{85455F83-A8CE-4ED6-A072-0E1B13A655A3}">
          <x14:formula1>
            <xm:f>項目!C$17:$QAQ19</xm:f>
          </x14:formula1>
          <xm:sqref>QAY25:QAY30</xm:sqref>
        </x14:dataValidation>
        <x14:dataValidation type="list" allowBlank="1" showInputMessage="1" showErrorMessage="1" xr:uid="{2AAF2597-CFC7-4A43-9261-C0974C13EC1D}">
          <x14:formula1>
            <xm:f>項目!C$17:$QKM19</xm:f>
          </x14:formula1>
          <xm:sqref>QKU25:QKU30</xm:sqref>
        </x14:dataValidation>
        <x14:dataValidation type="list" allowBlank="1" showInputMessage="1" showErrorMessage="1" xr:uid="{88EA41D0-538E-4EB3-8099-640E3F8BD524}">
          <x14:formula1>
            <xm:f>項目!C$17:$QUI19</xm:f>
          </x14:formula1>
          <xm:sqref>QUQ25:QUQ30</xm:sqref>
        </x14:dataValidation>
        <x14:dataValidation type="list" allowBlank="1" showInputMessage="1" showErrorMessage="1" xr:uid="{0E9FACBC-68B3-4D75-8099-2BD8E9D12B65}">
          <x14:formula1>
            <xm:f>項目!C$17:$REE19</xm:f>
          </x14:formula1>
          <xm:sqref>REM25:REM30</xm:sqref>
        </x14:dataValidation>
        <x14:dataValidation type="list" allowBlank="1" showInputMessage="1" showErrorMessage="1" xr:uid="{EA25C8F2-D1D2-427D-BD07-729EF4BF6435}">
          <x14:formula1>
            <xm:f>項目!C$17:$ROA19</xm:f>
          </x14:formula1>
          <xm:sqref>ROI25:ROI30</xm:sqref>
        </x14:dataValidation>
        <x14:dataValidation type="list" allowBlank="1" showInputMessage="1" showErrorMessage="1" xr:uid="{F659FDC2-83BE-4399-92BD-9734E9AAD8FF}">
          <x14:formula1>
            <xm:f>項目!C$17:$RXW19</xm:f>
          </x14:formula1>
          <xm:sqref>RYE25:RYE30</xm:sqref>
        </x14:dataValidation>
        <x14:dataValidation type="list" allowBlank="1" showInputMessage="1" showErrorMessage="1" xr:uid="{87E42578-87D3-4BEA-AD9E-BF69FDD849AF}">
          <x14:formula1>
            <xm:f>項目!C$17:$SHS19</xm:f>
          </x14:formula1>
          <xm:sqref>SIA25:SIA30</xm:sqref>
        </x14:dataValidation>
        <x14:dataValidation type="list" allowBlank="1" showInputMessage="1" showErrorMessage="1" xr:uid="{A08F325C-1D02-4BBA-8962-C64785917595}">
          <x14:formula1>
            <xm:f>項目!C$17:$SRO19</xm:f>
          </x14:formula1>
          <xm:sqref>SRW25:SRW30</xm:sqref>
        </x14:dataValidation>
        <x14:dataValidation type="list" allowBlank="1" showInputMessage="1" showErrorMessage="1" xr:uid="{889BDA9E-F447-4503-BBE5-A1B75992E768}">
          <x14:formula1>
            <xm:f>項目!C$17:$TBK19</xm:f>
          </x14:formula1>
          <xm:sqref>TBS25:TBS30</xm:sqref>
        </x14:dataValidation>
        <x14:dataValidation type="list" allowBlank="1" showInputMessage="1" showErrorMessage="1" xr:uid="{19EFB2EE-E644-4700-A114-43DECE67DB6A}">
          <x14:formula1>
            <xm:f>項目!C$17:$TLG19</xm:f>
          </x14:formula1>
          <xm:sqref>TLO25:TLO30</xm:sqref>
        </x14:dataValidation>
        <x14:dataValidation type="list" allowBlank="1" showInputMessage="1" showErrorMessage="1" xr:uid="{EE8464FC-BB8C-44F9-BAFA-01C95BD847FB}">
          <x14:formula1>
            <xm:f>項目!C$17:$TVC19</xm:f>
          </x14:formula1>
          <xm:sqref>TVK25:TVK30</xm:sqref>
        </x14:dataValidation>
        <x14:dataValidation type="list" allowBlank="1" showInputMessage="1" showErrorMessage="1" xr:uid="{74D3FBD1-B0EE-47DA-8495-998B442ED204}">
          <x14:formula1>
            <xm:f>項目!C$17:$UEY19</xm:f>
          </x14:formula1>
          <xm:sqref>UFG25:UFG30</xm:sqref>
        </x14:dataValidation>
        <x14:dataValidation type="list" allowBlank="1" showInputMessage="1" showErrorMessage="1" xr:uid="{19EE9A00-9345-4B18-8039-CB14C9AC18A5}">
          <x14:formula1>
            <xm:f>項目!C$17:$UOU19</xm:f>
          </x14:formula1>
          <xm:sqref>UPC25:UPC30</xm:sqref>
        </x14:dataValidation>
        <x14:dataValidation type="list" allowBlank="1" showInputMessage="1" showErrorMessage="1" xr:uid="{D8A67649-D941-41C4-8F80-749B74EC16F2}">
          <x14:formula1>
            <xm:f>項目!C$17:$UYQ19</xm:f>
          </x14:formula1>
          <xm:sqref>UYY25:UYY30</xm:sqref>
        </x14:dataValidation>
        <x14:dataValidation type="list" allowBlank="1" showInputMessage="1" showErrorMessage="1" xr:uid="{364E0AE2-3E74-4FF1-9257-FC2101A0C7CE}">
          <x14:formula1>
            <xm:f>項目!C$17:$VIM19</xm:f>
          </x14:formula1>
          <xm:sqref>VIU25:VIU30</xm:sqref>
        </x14:dataValidation>
        <x14:dataValidation type="list" allowBlank="1" showInputMessage="1" showErrorMessage="1" xr:uid="{B2CC2708-993A-4C6D-A827-3D47C9AE6F83}">
          <x14:formula1>
            <xm:f>項目!C$17:$VSI19</xm:f>
          </x14:formula1>
          <xm:sqref>VSQ25:VSQ30</xm:sqref>
        </x14:dataValidation>
        <x14:dataValidation type="list" allowBlank="1" showInputMessage="1" showErrorMessage="1" xr:uid="{C755EFCE-05AC-4987-8B1D-670A290F1458}">
          <x14:formula1>
            <xm:f>項目!C$17:$WCE19</xm:f>
          </x14:formula1>
          <xm:sqref>WCM25:WCM30</xm:sqref>
        </x14:dataValidation>
        <x14:dataValidation type="list" allowBlank="1" showInputMessage="1" showErrorMessage="1" xr:uid="{17BD6969-E6E1-4DCE-9AA3-FCA9990B9101}">
          <x14:formula1>
            <xm:f>項目!C$17:$WMA19</xm:f>
          </x14:formula1>
          <xm:sqref>WMI25:WMI30</xm:sqref>
        </x14:dataValidation>
        <x14:dataValidation type="list" allowBlank="1" showInputMessage="1" showErrorMessage="1" xr:uid="{6822DA05-D2AB-45AB-93E8-6AB9B3BFA75D}">
          <x14:formula1>
            <xm:f>項目!C$17:$WVW19</xm:f>
          </x14:formula1>
          <xm:sqref>WWE25:WWE30</xm:sqref>
        </x14:dataValidation>
        <x14:dataValidation type="list" allowBlank="1" showInputMessage="1" showErrorMessage="1" xr:uid="{B4D89609-D7F9-4906-AAB8-48C5F1E8A214}">
          <x14:formula1>
            <xm:f>項目!A$4:$AMG20</xm:f>
          </x14:formula1>
          <xm:sqref>AMP25:AMP30</xm:sqref>
        </x14:dataValidation>
        <x14:dataValidation type="list" allowBlank="1" showInputMessage="1" showErrorMessage="1" xr:uid="{692AFD16-6406-41E0-B820-2863137B37BF}">
          <x14:formula1>
            <xm:f>項目!A$4:$AWC20</xm:f>
          </x14:formula1>
          <xm:sqref>AWL25:AWL30</xm:sqref>
        </x14:dataValidation>
        <x14:dataValidation type="list" allowBlank="1" showInputMessage="1" showErrorMessage="1" xr:uid="{8A9FBC81-22ED-4D3F-907A-D26672E623B3}">
          <x14:formula1>
            <xm:f>項目!A$4:$BFY20</xm:f>
          </x14:formula1>
          <xm:sqref>BGH25:BGH30</xm:sqref>
        </x14:dataValidation>
        <x14:dataValidation type="list" allowBlank="1" showInputMessage="1" showErrorMessage="1" xr:uid="{C1CA2F1B-958B-4CB0-8F1E-008091E9ECE6}">
          <x14:formula1>
            <xm:f>項目!A$4:$BPU20</xm:f>
          </x14:formula1>
          <xm:sqref>BQD25:BQD30</xm:sqref>
        </x14:dataValidation>
        <x14:dataValidation type="list" allowBlank="1" showInputMessage="1" showErrorMessage="1" xr:uid="{8EDA5A31-B8E6-49DC-ADDB-523C51D3D1FC}">
          <x14:formula1>
            <xm:f>項目!A$4:$BZQ20</xm:f>
          </x14:formula1>
          <xm:sqref>BZZ25:BZZ30</xm:sqref>
        </x14:dataValidation>
        <x14:dataValidation type="list" allowBlank="1" showInputMessage="1" showErrorMessage="1" xr:uid="{042F4BD2-9ED7-45DC-AA4A-BCF0998D2A20}">
          <x14:formula1>
            <xm:f>項目!A$4:$CJM20</xm:f>
          </x14:formula1>
          <xm:sqref>CJV25:CJV30</xm:sqref>
        </x14:dataValidation>
        <x14:dataValidation type="list" allowBlank="1" showInputMessage="1" showErrorMessage="1" xr:uid="{B3851C75-E346-4CDE-BCC8-E6106FDB7DF3}">
          <x14:formula1>
            <xm:f>項目!A$4:$CTI20</xm:f>
          </x14:formula1>
          <xm:sqref>CTR25:CTR30</xm:sqref>
        </x14:dataValidation>
        <x14:dataValidation type="list" allowBlank="1" showInputMessage="1" showErrorMessage="1" xr:uid="{25078053-DDB3-4C00-9639-A2A2FE6FFAB5}">
          <x14:formula1>
            <xm:f>項目!A$4:$DDE20</xm:f>
          </x14:formula1>
          <xm:sqref>DDN25:DDN30</xm:sqref>
        </x14:dataValidation>
        <x14:dataValidation type="list" allowBlank="1" showInputMessage="1" showErrorMessage="1" xr:uid="{282FC8F8-0992-472E-A763-EC58D14DA4AC}">
          <x14:formula1>
            <xm:f>項目!A$4:$DNA20</xm:f>
          </x14:formula1>
          <xm:sqref>DNJ25:DNJ30</xm:sqref>
        </x14:dataValidation>
        <x14:dataValidation type="list" allowBlank="1" showInputMessage="1" showErrorMessage="1" xr:uid="{4DB9EEF3-01F5-4A05-A6D6-697CD5B95CA3}">
          <x14:formula1>
            <xm:f>項目!A$4:$DWW20</xm:f>
          </x14:formula1>
          <xm:sqref>DXF25:DXF30</xm:sqref>
        </x14:dataValidation>
        <x14:dataValidation type="list" allowBlank="1" showInputMessage="1" showErrorMessage="1" xr:uid="{3D88C93B-5164-44B9-998F-A712CE7383A1}">
          <x14:formula1>
            <xm:f>項目!A$4:$EGS20</xm:f>
          </x14:formula1>
          <xm:sqref>EHB25:EHB30</xm:sqref>
        </x14:dataValidation>
        <x14:dataValidation type="list" allowBlank="1" showInputMessage="1" showErrorMessage="1" xr:uid="{CA888181-7815-4FCC-BEEE-9239F1A759CE}">
          <x14:formula1>
            <xm:f>項目!A$4:$EQO20</xm:f>
          </x14:formula1>
          <xm:sqref>EQX25:EQX30</xm:sqref>
        </x14:dataValidation>
        <x14:dataValidation type="list" allowBlank="1" showInputMessage="1" showErrorMessage="1" xr:uid="{A53BD1BA-514F-4061-9484-EBA3C75FA83E}">
          <x14:formula1>
            <xm:f>項目!A$4:$FAK20</xm:f>
          </x14:formula1>
          <xm:sqref>FAT25:FAT30</xm:sqref>
        </x14:dataValidation>
        <x14:dataValidation type="list" allowBlank="1" showInputMessage="1" showErrorMessage="1" xr:uid="{BA48FE9A-ED03-411C-8C0B-7C23BFAE4880}">
          <x14:formula1>
            <xm:f>項目!A$4:$FKG20</xm:f>
          </x14:formula1>
          <xm:sqref>FKP25:FKP30</xm:sqref>
        </x14:dataValidation>
        <x14:dataValidation type="list" allowBlank="1" showInputMessage="1" showErrorMessage="1" xr:uid="{1DFCBD64-EF36-4C6A-90FB-411D3ADF9DF8}">
          <x14:formula1>
            <xm:f>項目!A$4:$FUC20</xm:f>
          </x14:formula1>
          <xm:sqref>FUL25:FUL30</xm:sqref>
        </x14:dataValidation>
        <x14:dataValidation type="list" allowBlank="1" showInputMessage="1" showErrorMessage="1" xr:uid="{F9C6BC0F-12A4-4A2D-A1DA-1ABCF1BABE18}">
          <x14:formula1>
            <xm:f>項目!A$4:$GDY20</xm:f>
          </x14:formula1>
          <xm:sqref>GEH25:GEH30</xm:sqref>
        </x14:dataValidation>
        <x14:dataValidation type="list" allowBlank="1" showInputMessage="1" showErrorMessage="1" xr:uid="{5CBC7B4B-B77F-47F5-8E9A-917C5383FF46}">
          <x14:formula1>
            <xm:f>項目!A$4:$GNU20</xm:f>
          </x14:formula1>
          <xm:sqref>GOD25:GOD30</xm:sqref>
        </x14:dataValidation>
        <x14:dataValidation type="list" allowBlank="1" showInputMessage="1" showErrorMessage="1" xr:uid="{20A07403-0F9F-465E-A1B5-07B5DA7B2C45}">
          <x14:formula1>
            <xm:f>項目!A$4:$GXQ20</xm:f>
          </x14:formula1>
          <xm:sqref>GXZ25:GXZ30</xm:sqref>
        </x14:dataValidation>
        <x14:dataValidation type="list" allowBlank="1" showInputMessage="1" showErrorMessage="1" xr:uid="{05E05516-665A-47EA-85DB-698E6CC9FD0D}">
          <x14:formula1>
            <xm:f>項目!A$4:$HHM20</xm:f>
          </x14:formula1>
          <xm:sqref>HHV25:HHV30</xm:sqref>
        </x14:dataValidation>
        <x14:dataValidation type="list" allowBlank="1" showInputMessage="1" showErrorMessage="1" xr:uid="{C8987595-A8E6-43E3-868B-EC549E26DF4D}">
          <x14:formula1>
            <xm:f>項目!A$4:$HRI20</xm:f>
          </x14:formula1>
          <xm:sqref>HRR25:HRR30</xm:sqref>
        </x14:dataValidation>
        <x14:dataValidation type="list" allowBlank="1" showInputMessage="1" showErrorMessage="1" xr:uid="{C3140648-4A80-4926-9036-913B6D213645}">
          <x14:formula1>
            <xm:f>項目!A$4:$IBE20</xm:f>
          </x14:formula1>
          <xm:sqref>IBN25:IBN30</xm:sqref>
        </x14:dataValidation>
        <x14:dataValidation type="list" allowBlank="1" showInputMessage="1" showErrorMessage="1" xr:uid="{638CC13A-701E-4921-B3D3-73C32A0B18D1}">
          <x14:formula1>
            <xm:f>項目!A$4:$ILA20</xm:f>
          </x14:formula1>
          <xm:sqref>ILJ25:ILJ30</xm:sqref>
        </x14:dataValidation>
        <x14:dataValidation type="list" allowBlank="1" showInputMessage="1" showErrorMessage="1" xr:uid="{3235AD34-E0F1-4589-B068-97F01E006E0C}">
          <x14:formula1>
            <xm:f>項目!A$4:$IUW20</xm:f>
          </x14:formula1>
          <xm:sqref>IVF25:IVF30</xm:sqref>
        </x14:dataValidation>
        <x14:dataValidation type="list" allowBlank="1" showInputMessage="1" showErrorMessage="1" xr:uid="{B4ED06C6-A9FA-4519-A714-3CFD20242CE3}">
          <x14:formula1>
            <xm:f>項目!A$4:$JES20</xm:f>
          </x14:formula1>
          <xm:sqref>JFB25:JFB30</xm:sqref>
        </x14:dataValidation>
        <x14:dataValidation type="list" allowBlank="1" showInputMessage="1" showErrorMessage="1" xr:uid="{48C8D911-6E58-463A-ACB6-6817E01E539D}">
          <x14:formula1>
            <xm:f>項目!A$4:$JOO20</xm:f>
          </x14:formula1>
          <xm:sqref>JOX25:JOX30</xm:sqref>
        </x14:dataValidation>
        <x14:dataValidation type="list" allowBlank="1" showInputMessage="1" showErrorMessage="1" xr:uid="{D299CE89-A86C-47C7-96E6-BC6E99B5B772}">
          <x14:formula1>
            <xm:f>項目!A$4:$JYK20</xm:f>
          </x14:formula1>
          <xm:sqref>JYT25:JYT30</xm:sqref>
        </x14:dataValidation>
        <x14:dataValidation type="list" allowBlank="1" showInputMessage="1" showErrorMessage="1" xr:uid="{FD770EE6-E286-411C-A864-8E05FCF93655}">
          <x14:formula1>
            <xm:f>項目!A$4:$KIG20</xm:f>
          </x14:formula1>
          <xm:sqref>KIP25:KIP30</xm:sqref>
        </x14:dataValidation>
        <x14:dataValidation type="list" allowBlank="1" showInputMessage="1" showErrorMessage="1" xr:uid="{0A393507-C116-45E2-8538-52901B23958F}">
          <x14:formula1>
            <xm:f>項目!A$4:$KSC20</xm:f>
          </x14:formula1>
          <xm:sqref>KSL25:KSL30</xm:sqref>
        </x14:dataValidation>
        <x14:dataValidation type="list" allowBlank="1" showInputMessage="1" showErrorMessage="1" xr:uid="{43A6F371-0299-4F68-BE20-B9D6764E2F62}">
          <x14:formula1>
            <xm:f>項目!A$4:$LBY20</xm:f>
          </x14:formula1>
          <xm:sqref>LCH25:LCH30</xm:sqref>
        </x14:dataValidation>
        <x14:dataValidation type="list" allowBlank="1" showInputMessage="1" showErrorMessage="1" xr:uid="{6C9CBA38-3A6B-4952-AAEB-4D7013AB4BAB}">
          <x14:formula1>
            <xm:f>項目!A$4:$LLU20</xm:f>
          </x14:formula1>
          <xm:sqref>LMD25:LMD30</xm:sqref>
        </x14:dataValidation>
        <x14:dataValidation type="list" allowBlank="1" showInputMessage="1" showErrorMessage="1" xr:uid="{7711F236-3F26-4556-A72C-643E01725A5E}">
          <x14:formula1>
            <xm:f>項目!A$4:$LVQ20</xm:f>
          </x14:formula1>
          <xm:sqref>LVZ25:LVZ30</xm:sqref>
        </x14:dataValidation>
        <x14:dataValidation type="list" allowBlank="1" showInputMessage="1" showErrorMessage="1" xr:uid="{C1E39CFA-1248-4214-99DD-787D4E38A03A}">
          <x14:formula1>
            <xm:f>項目!A$4:$MFM20</xm:f>
          </x14:formula1>
          <xm:sqref>MFV25:MFV30</xm:sqref>
        </x14:dataValidation>
        <x14:dataValidation type="list" allowBlank="1" showInputMessage="1" showErrorMessage="1" xr:uid="{B0665858-DBD3-4B69-9864-02FB8C90CFDC}">
          <x14:formula1>
            <xm:f>項目!A$4:$MPI20</xm:f>
          </x14:formula1>
          <xm:sqref>MPR25:MPR30</xm:sqref>
        </x14:dataValidation>
        <x14:dataValidation type="list" allowBlank="1" showInputMessage="1" showErrorMessage="1" xr:uid="{48D29F57-5040-4328-8BD2-00DD0967A9A8}">
          <x14:formula1>
            <xm:f>項目!A$4:$MZE20</xm:f>
          </x14:formula1>
          <xm:sqref>MZN25:MZN30</xm:sqref>
        </x14:dataValidation>
        <x14:dataValidation type="list" allowBlank="1" showInputMessage="1" showErrorMessage="1" xr:uid="{E9A5FC20-A0D6-47ED-B4AF-4C1C3D95B7C6}">
          <x14:formula1>
            <xm:f>項目!A$4:$NJA20</xm:f>
          </x14:formula1>
          <xm:sqref>NJJ25:NJJ30</xm:sqref>
        </x14:dataValidation>
        <x14:dataValidation type="list" allowBlank="1" showInputMessage="1" showErrorMessage="1" xr:uid="{869792C3-A64D-4FF1-B756-FFB3751A1303}">
          <x14:formula1>
            <xm:f>項目!A$4:$NSW20</xm:f>
          </x14:formula1>
          <xm:sqref>NTF25:NTF30</xm:sqref>
        </x14:dataValidation>
        <x14:dataValidation type="list" allowBlank="1" showInputMessage="1" showErrorMessage="1" xr:uid="{86CCFD32-7AD8-4738-9A9C-40623C2AE887}">
          <x14:formula1>
            <xm:f>項目!A$4:$OCS20</xm:f>
          </x14:formula1>
          <xm:sqref>ODB25:ODB30</xm:sqref>
        </x14:dataValidation>
        <x14:dataValidation type="list" allowBlank="1" showInputMessage="1" showErrorMessage="1" xr:uid="{109AA3F8-E154-4861-9859-3B5C4251B909}">
          <x14:formula1>
            <xm:f>項目!A$4:$OMO20</xm:f>
          </x14:formula1>
          <xm:sqref>OMX25:OMX30</xm:sqref>
        </x14:dataValidation>
        <x14:dataValidation type="list" allowBlank="1" showInputMessage="1" showErrorMessage="1" xr:uid="{73541B8C-354C-4A91-8560-69E40C8925CF}">
          <x14:formula1>
            <xm:f>項目!A$4:$OWK20</xm:f>
          </x14:formula1>
          <xm:sqref>OWT25:OWT30</xm:sqref>
        </x14:dataValidation>
        <x14:dataValidation type="list" allowBlank="1" showInputMessage="1" showErrorMessage="1" xr:uid="{3B144B8C-2433-400A-82F6-8A05BCECF4A4}">
          <x14:formula1>
            <xm:f>項目!A$4:$PGG20</xm:f>
          </x14:formula1>
          <xm:sqref>PGP25:PGP30</xm:sqref>
        </x14:dataValidation>
        <x14:dataValidation type="list" allowBlank="1" showInputMessage="1" showErrorMessage="1" xr:uid="{603A8279-96CF-44E8-8A0B-252666D48F16}">
          <x14:formula1>
            <xm:f>項目!A$4:$PQC20</xm:f>
          </x14:formula1>
          <xm:sqref>PQL25:PQL30</xm:sqref>
        </x14:dataValidation>
        <x14:dataValidation type="list" allowBlank="1" showInputMessage="1" showErrorMessage="1" xr:uid="{71EA4297-16CD-4F6E-B929-D206BD85FEE2}">
          <x14:formula1>
            <xm:f>項目!A$4:$PZY20</xm:f>
          </x14:formula1>
          <xm:sqref>QAH25:QAH30</xm:sqref>
        </x14:dataValidation>
        <x14:dataValidation type="list" allowBlank="1" showInputMessage="1" showErrorMessage="1" xr:uid="{7C2DD021-1003-41BA-A03F-8F17ED7EA332}">
          <x14:formula1>
            <xm:f>項目!A$4:$QJU20</xm:f>
          </x14:formula1>
          <xm:sqref>QKD25:QKD30</xm:sqref>
        </x14:dataValidation>
        <x14:dataValidation type="list" allowBlank="1" showInputMessage="1" showErrorMessage="1" xr:uid="{09694127-87C3-4F29-A191-1A81E6F7B601}">
          <x14:formula1>
            <xm:f>項目!A$4:$QTQ20</xm:f>
          </x14:formula1>
          <xm:sqref>QTZ25:QTZ30</xm:sqref>
        </x14:dataValidation>
        <x14:dataValidation type="list" allowBlank="1" showInputMessage="1" showErrorMessage="1" xr:uid="{9A908801-3480-4AD9-93E1-CAD83E6E73E9}">
          <x14:formula1>
            <xm:f>項目!A$4:$RDM20</xm:f>
          </x14:formula1>
          <xm:sqref>RDV25:RDV30</xm:sqref>
        </x14:dataValidation>
        <x14:dataValidation type="list" allowBlank="1" showInputMessage="1" showErrorMessage="1" xr:uid="{D10CC5D0-FF63-4D8F-9331-A66F5F3B2F26}">
          <x14:formula1>
            <xm:f>項目!A$4:$RNI20</xm:f>
          </x14:formula1>
          <xm:sqref>RNR25:RNR30</xm:sqref>
        </x14:dataValidation>
        <x14:dataValidation type="list" allowBlank="1" showInputMessage="1" showErrorMessage="1" xr:uid="{A3DD4AF2-10FE-4CFA-B901-326FE32A91FB}">
          <x14:formula1>
            <xm:f>項目!A$4:$RXE20</xm:f>
          </x14:formula1>
          <xm:sqref>RXN25:RXN30</xm:sqref>
        </x14:dataValidation>
        <x14:dataValidation type="list" allowBlank="1" showInputMessage="1" showErrorMessage="1" xr:uid="{348073EE-FC98-49A0-A05A-ACE3638E40C6}">
          <x14:formula1>
            <xm:f>項目!A$4:$SHA20</xm:f>
          </x14:formula1>
          <xm:sqref>SHJ25:SHJ30</xm:sqref>
        </x14:dataValidation>
        <x14:dataValidation type="list" allowBlank="1" showInputMessage="1" showErrorMessage="1" xr:uid="{3B1EA62E-76A4-4853-8256-2AC32700AD70}">
          <x14:formula1>
            <xm:f>項目!A$4:$SQW20</xm:f>
          </x14:formula1>
          <xm:sqref>SRF25:SRF30</xm:sqref>
        </x14:dataValidation>
        <x14:dataValidation type="list" allowBlank="1" showInputMessage="1" showErrorMessage="1" xr:uid="{B7693B81-8A2B-4513-9A96-FB3926CF9895}">
          <x14:formula1>
            <xm:f>項目!A$4:$TAS20</xm:f>
          </x14:formula1>
          <xm:sqref>TBB25:TBB30</xm:sqref>
        </x14:dataValidation>
        <x14:dataValidation type="list" allowBlank="1" showInputMessage="1" showErrorMessage="1" xr:uid="{8EF08E24-E215-4DEB-A202-9F84CA4CF459}">
          <x14:formula1>
            <xm:f>項目!A$4:$TKO20</xm:f>
          </x14:formula1>
          <xm:sqref>TKX25:TKX30</xm:sqref>
        </x14:dataValidation>
        <x14:dataValidation type="list" allowBlank="1" showInputMessage="1" showErrorMessage="1" xr:uid="{B1CC87D2-85DD-4D15-9FCB-3BB5079FF380}">
          <x14:formula1>
            <xm:f>項目!A$4:$TUK20</xm:f>
          </x14:formula1>
          <xm:sqref>TUT25:TUT30</xm:sqref>
        </x14:dataValidation>
        <x14:dataValidation type="list" allowBlank="1" showInputMessage="1" showErrorMessage="1" xr:uid="{2DB33F3E-AAEA-4E30-B4B1-5D14B1E0CFB5}">
          <x14:formula1>
            <xm:f>項目!A$4:$UEG20</xm:f>
          </x14:formula1>
          <xm:sqref>UEP25:UEP30</xm:sqref>
        </x14:dataValidation>
        <x14:dataValidation type="list" allowBlank="1" showInputMessage="1" showErrorMessage="1" xr:uid="{E49E41C9-2796-41D5-93E9-26CAE03E86D4}">
          <x14:formula1>
            <xm:f>項目!A$4:$UOC20</xm:f>
          </x14:formula1>
          <xm:sqref>UOL25:UOL30</xm:sqref>
        </x14:dataValidation>
        <x14:dataValidation type="list" allowBlank="1" showInputMessage="1" showErrorMessage="1" xr:uid="{DE3D9B29-F08E-4705-B021-C3A636B5CC75}">
          <x14:formula1>
            <xm:f>項目!A$4:$UXY20</xm:f>
          </x14:formula1>
          <xm:sqref>UYH25:UYH30</xm:sqref>
        </x14:dataValidation>
        <x14:dataValidation type="list" allowBlank="1" showInputMessage="1" showErrorMessage="1" xr:uid="{670E9898-2115-40EC-8DF3-62859E362859}">
          <x14:formula1>
            <xm:f>項目!A$4:$VHU20</xm:f>
          </x14:formula1>
          <xm:sqref>VID25:VID30</xm:sqref>
        </x14:dataValidation>
        <x14:dataValidation type="list" allowBlank="1" showInputMessage="1" showErrorMessage="1" xr:uid="{6764956A-E6EA-4E16-91FB-C146E1430794}">
          <x14:formula1>
            <xm:f>項目!A$4:$VRQ20</xm:f>
          </x14:formula1>
          <xm:sqref>VRZ25:VRZ30</xm:sqref>
        </x14:dataValidation>
        <x14:dataValidation type="list" allowBlank="1" showInputMessage="1" showErrorMessage="1" xr:uid="{58994EA0-D700-463B-988F-40DCE901C80B}">
          <x14:formula1>
            <xm:f>項目!A$4:$WBM20</xm:f>
          </x14:formula1>
          <xm:sqref>WBV25:WBV30</xm:sqref>
        </x14:dataValidation>
        <x14:dataValidation type="list" allowBlank="1" showInputMessage="1" showErrorMessage="1" xr:uid="{81DE2C34-4D7A-4395-8619-E8948B601796}">
          <x14:formula1>
            <xm:f>項目!A$4:$WLI20</xm:f>
          </x14:formula1>
          <xm:sqref>WLR25:WLR30</xm:sqref>
        </x14:dataValidation>
        <x14:dataValidation type="list" allowBlank="1" showInputMessage="1" showErrorMessage="1" xr:uid="{41F38047-B5EE-4C2D-9767-66DCA238D443}">
          <x14:formula1>
            <xm:f>項目!A$4:$WVE20</xm:f>
          </x14:formula1>
          <xm:sqref>WVN25:WVN30</xm:sqref>
        </x14:dataValidation>
        <x14:dataValidation type="list" allowBlank="1" showInputMessage="1" showErrorMessage="1" xr:uid="{99627FB4-9904-413E-A4BC-510AF03B66E7}">
          <x14:formula1>
            <xm:f>項目!A$4:$IW20</xm:f>
          </x14:formula1>
          <xm:sqref>JF25:JF30</xm:sqref>
        </x14:dataValidation>
        <x14:dataValidation type="list" allowBlank="1" showInputMessage="1" showErrorMessage="1" xr:uid="{92A10243-A615-43F9-BABD-EA1136C0F4DD}">
          <x14:formula1>
            <xm:f>項目!A$4:$SS20</xm:f>
          </x14:formula1>
          <xm:sqref>TB25:TB30</xm:sqref>
        </x14:dataValidation>
        <x14:dataValidation type="list" allowBlank="1" showInputMessage="1" showErrorMessage="1" xr:uid="{1A2391A7-C8C5-418C-B689-9817B5251840}">
          <x14:formula1>
            <xm:f>項目!A$4:$ACO20</xm:f>
          </x14:formula1>
          <xm:sqref>ACX25:ACX30</xm:sqref>
        </x14:dataValidation>
        <x14:dataValidation type="list" allowBlank="1" showInputMessage="1" showErrorMessage="1" xr:uid="{F01B76B9-DD66-468C-96CB-116034626A8D}">
          <x14:formula1>
            <xm:f>項目!A$4:$AMK20</xm:f>
          </x14:formula1>
          <xm:sqref>AMT25:AMT30</xm:sqref>
        </x14:dataValidation>
        <x14:dataValidation type="list" allowBlank="1" showInputMessage="1" showErrorMessage="1" xr:uid="{F80A3415-CD21-4DDA-BFC7-213ACCE02A85}">
          <x14:formula1>
            <xm:f>項目!A$4:$AWG20</xm:f>
          </x14:formula1>
          <xm:sqref>AWP25:AWP30</xm:sqref>
        </x14:dataValidation>
        <x14:dataValidation type="list" allowBlank="1" showInputMessage="1" showErrorMessage="1" xr:uid="{DA9E6779-89F6-4DCF-A926-952C2B4CF4D9}">
          <x14:formula1>
            <xm:f>項目!A$4:$BGC20</xm:f>
          </x14:formula1>
          <xm:sqref>BGL25:BGL30</xm:sqref>
        </x14:dataValidation>
        <x14:dataValidation type="list" allowBlank="1" showInputMessage="1" showErrorMessage="1" xr:uid="{12F7E4F2-9C5E-4540-AC26-B9B08C1A070C}">
          <x14:formula1>
            <xm:f>項目!A$4:$BPY20</xm:f>
          </x14:formula1>
          <xm:sqref>BQH25:BQH30</xm:sqref>
        </x14:dataValidation>
        <x14:dataValidation type="list" allowBlank="1" showInputMessage="1" showErrorMessage="1" xr:uid="{651A43BB-C414-4A24-B757-95C907D83C6F}">
          <x14:formula1>
            <xm:f>項目!A$4:$BZU20</xm:f>
          </x14:formula1>
          <xm:sqref>CAD25:CAD30</xm:sqref>
        </x14:dataValidation>
        <x14:dataValidation type="list" allowBlank="1" showInputMessage="1" showErrorMessage="1" xr:uid="{79B616BB-9142-4DEC-97E4-7432C0D3C96F}">
          <x14:formula1>
            <xm:f>項目!A$4:$CJQ20</xm:f>
          </x14:formula1>
          <xm:sqref>CJZ25:CJZ30</xm:sqref>
        </x14:dataValidation>
        <x14:dataValidation type="list" allowBlank="1" showInputMessage="1" showErrorMessage="1" xr:uid="{98B1E466-10CD-4221-B662-575EB8434427}">
          <x14:formula1>
            <xm:f>項目!A$4:$CTM20</xm:f>
          </x14:formula1>
          <xm:sqref>CTV25:CTV30</xm:sqref>
        </x14:dataValidation>
        <x14:dataValidation type="list" allowBlank="1" showInputMessage="1" showErrorMessage="1" xr:uid="{10CD4405-6437-49F3-9B4F-05B17E95BC63}">
          <x14:formula1>
            <xm:f>項目!A$4:$DDI20</xm:f>
          </x14:formula1>
          <xm:sqref>DDR25:DDR30</xm:sqref>
        </x14:dataValidation>
        <x14:dataValidation type="list" allowBlank="1" showInputMessage="1" showErrorMessage="1" xr:uid="{D66DD532-D5D4-4877-9D8E-FC8484790610}">
          <x14:formula1>
            <xm:f>項目!A$4:$DNE20</xm:f>
          </x14:formula1>
          <xm:sqref>DNN25:DNN30</xm:sqref>
        </x14:dataValidation>
        <x14:dataValidation type="list" allowBlank="1" showInputMessage="1" showErrorMessage="1" xr:uid="{94B7A23A-CECE-40E9-8CD6-231AE3F05218}">
          <x14:formula1>
            <xm:f>項目!A$4:$DXA20</xm:f>
          </x14:formula1>
          <xm:sqref>DXJ25:DXJ30</xm:sqref>
        </x14:dataValidation>
        <x14:dataValidation type="list" allowBlank="1" showInputMessage="1" showErrorMessage="1" xr:uid="{9D477230-8EB6-45AD-94BD-B815370C84D5}">
          <x14:formula1>
            <xm:f>項目!A$4:$EGW20</xm:f>
          </x14:formula1>
          <xm:sqref>EHF25:EHF30</xm:sqref>
        </x14:dataValidation>
        <x14:dataValidation type="list" allowBlank="1" showInputMessage="1" showErrorMessage="1" xr:uid="{70052172-541A-4449-B11F-938EB76288EB}">
          <x14:formula1>
            <xm:f>項目!A$4:$EQS20</xm:f>
          </x14:formula1>
          <xm:sqref>ERB25:ERB30</xm:sqref>
        </x14:dataValidation>
        <x14:dataValidation type="list" allowBlank="1" showInputMessage="1" showErrorMessage="1" xr:uid="{D018D796-381E-4003-84D1-71845213D3DD}">
          <x14:formula1>
            <xm:f>項目!A$4:$FAO20</xm:f>
          </x14:formula1>
          <xm:sqref>FAX25:FAX30</xm:sqref>
        </x14:dataValidation>
        <x14:dataValidation type="list" allowBlank="1" showInputMessage="1" showErrorMessage="1" xr:uid="{4F247629-4620-47EB-8345-A7DC568AF906}">
          <x14:formula1>
            <xm:f>項目!A$4:$FKK20</xm:f>
          </x14:formula1>
          <xm:sqref>FKT25:FKT30</xm:sqref>
        </x14:dataValidation>
        <x14:dataValidation type="list" allowBlank="1" showInputMessage="1" showErrorMessage="1" xr:uid="{03729038-90C1-4686-BA29-B218499D4EF6}">
          <x14:formula1>
            <xm:f>項目!A$4:$FUG20</xm:f>
          </x14:formula1>
          <xm:sqref>FUP25:FUP30</xm:sqref>
        </x14:dataValidation>
        <x14:dataValidation type="list" allowBlank="1" showInputMessage="1" showErrorMessage="1" xr:uid="{2429C953-3038-4162-812C-4711FEB38886}">
          <x14:formula1>
            <xm:f>項目!A$4:$GEC20</xm:f>
          </x14:formula1>
          <xm:sqref>GEL25:GEL30</xm:sqref>
        </x14:dataValidation>
        <x14:dataValidation type="list" allowBlank="1" showInputMessage="1" showErrorMessage="1" xr:uid="{15634AB9-BC79-4AEE-909A-9E6FCAF0A20C}">
          <x14:formula1>
            <xm:f>項目!A$4:$GNY20</xm:f>
          </x14:formula1>
          <xm:sqref>GOH25:GOH30</xm:sqref>
        </x14:dataValidation>
        <x14:dataValidation type="list" allowBlank="1" showInputMessage="1" showErrorMessage="1" xr:uid="{1EF10BFB-95EF-46B5-AEA8-9F955D24CAA8}">
          <x14:formula1>
            <xm:f>項目!A$4:$GXU20</xm:f>
          </x14:formula1>
          <xm:sqref>GYD25:GYD30</xm:sqref>
        </x14:dataValidation>
        <x14:dataValidation type="list" allowBlank="1" showInputMessage="1" showErrorMessage="1" xr:uid="{EA5304F9-C4D5-4460-B9D5-7DD5D1DACECA}">
          <x14:formula1>
            <xm:f>項目!A$4:$HHQ20</xm:f>
          </x14:formula1>
          <xm:sqref>HHZ25:HHZ30</xm:sqref>
        </x14:dataValidation>
        <x14:dataValidation type="list" allowBlank="1" showInputMessage="1" showErrorMessage="1" xr:uid="{86744B25-EBB6-4709-AF5A-BB73D60380DD}">
          <x14:formula1>
            <xm:f>項目!A$4:$HRM20</xm:f>
          </x14:formula1>
          <xm:sqref>HRV25:HRV30</xm:sqref>
        </x14:dataValidation>
        <x14:dataValidation type="list" allowBlank="1" showInputMessage="1" showErrorMessage="1" xr:uid="{7DF7ADE6-9648-4C0E-9EF7-F60B6E85233D}">
          <x14:formula1>
            <xm:f>項目!A$4:$IBI20</xm:f>
          </x14:formula1>
          <xm:sqref>IBR25:IBR30</xm:sqref>
        </x14:dataValidation>
        <x14:dataValidation type="list" allowBlank="1" showInputMessage="1" showErrorMessage="1" xr:uid="{710C8CFA-C459-49E3-A143-E555F0701BFA}">
          <x14:formula1>
            <xm:f>項目!A$4:$ILE20</xm:f>
          </x14:formula1>
          <xm:sqref>ILN25:ILN30</xm:sqref>
        </x14:dataValidation>
        <x14:dataValidation type="list" allowBlank="1" showInputMessage="1" showErrorMessage="1" xr:uid="{14B61A68-42ED-4839-B131-C67225C50141}">
          <x14:formula1>
            <xm:f>項目!A$4:$IVA20</xm:f>
          </x14:formula1>
          <xm:sqref>IVJ25:IVJ30</xm:sqref>
        </x14:dataValidation>
        <x14:dataValidation type="list" allowBlank="1" showInputMessage="1" showErrorMessage="1" xr:uid="{7CAC277C-917C-4C8E-9838-DB5B45A54E7A}">
          <x14:formula1>
            <xm:f>項目!A$4:$JEW20</xm:f>
          </x14:formula1>
          <xm:sqref>JFF25:JFF30</xm:sqref>
        </x14:dataValidation>
        <x14:dataValidation type="list" allowBlank="1" showInputMessage="1" showErrorMessage="1" xr:uid="{F2F49AB6-F863-4B66-847A-7790A2ADB697}">
          <x14:formula1>
            <xm:f>項目!A$4:$JOS20</xm:f>
          </x14:formula1>
          <xm:sqref>JPB25:JPB30</xm:sqref>
        </x14:dataValidation>
        <x14:dataValidation type="list" allowBlank="1" showInputMessage="1" showErrorMessage="1" xr:uid="{C96C199E-9441-4D9F-B0A4-42E34CE2CC67}">
          <x14:formula1>
            <xm:f>項目!A$4:$JYO20</xm:f>
          </x14:formula1>
          <xm:sqref>JYX25:JYX30</xm:sqref>
        </x14:dataValidation>
        <x14:dataValidation type="list" allowBlank="1" showInputMessage="1" showErrorMessage="1" xr:uid="{1C7120D5-901B-46D1-B97D-067DD77C68CF}">
          <x14:formula1>
            <xm:f>項目!A$4:$KIK20</xm:f>
          </x14:formula1>
          <xm:sqref>KIT25:KIT30</xm:sqref>
        </x14:dataValidation>
        <x14:dataValidation type="list" allowBlank="1" showInputMessage="1" showErrorMessage="1" xr:uid="{B95B9BC8-17AE-4AC9-94A1-43AB81FB2267}">
          <x14:formula1>
            <xm:f>項目!A$4:$KSG20</xm:f>
          </x14:formula1>
          <xm:sqref>KSP25:KSP30</xm:sqref>
        </x14:dataValidation>
        <x14:dataValidation type="list" allowBlank="1" showInputMessage="1" showErrorMessage="1" xr:uid="{14612608-F702-47CF-BB3F-30D174559CCD}">
          <x14:formula1>
            <xm:f>項目!A$4:$LCC20</xm:f>
          </x14:formula1>
          <xm:sqref>LCL25:LCL30</xm:sqref>
        </x14:dataValidation>
        <x14:dataValidation type="list" allowBlank="1" showInputMessage="1" showErrorMessage="1" xr:uid="{C7E6A664-E8CC-42F2-9995-A9992E004003}">
          <x14:formula1>
            <xm:f>項目!A$4:$LLY20</xm:f>
          </x14:formula1>
          <xm:sqref>LMH25:LMH30</xm:sqref>
        </x14:dataValidation>
        <x14:dataValidation type="list" allowBlank="1" showInputMessage="1" showErrorMessage="1" xr:uid="{33DFDDE5-A074-4BDA-A46E-ABFF58FDC481}">
          <x14:formula1>
            <xm:f>項目!A$4:$LVU20</xm:f>
          </x14:formula1>
          <xm:sqref>LWD25:LWD30</xm:sqref>
        </x14:dataValidation>
        <x14:dataValidation type="list" allowBlank="1" showInputMessage="1" showErrorMessage="1" xr:uid="{D18F8738-97B0-4E3C-A79B-965DE7519917}">
          <x14:formula1>
            <xm:f>項目!A$4:$MFQ20</xm:f>
          </x14:formula1>
          <xm:sqref>MFZ25:MFZ30</xm:sqref>
        </x14:dataValidation>
        <x14:dataValidation type="list" allowBlank="1" showInputMessage="1" showErrorMessage="1" xr:uid="{C8A43DFA-BDD9-4C9E-8054-591447FD1003}">
          <x14:formula1>
            <xm:f>項目!A$4:$MPM20</xm:f>
          </x14:formula1>
          <xm:sqref>MPV25:MPV30</xm:sqref>
        </x14:dataValidation>
        <x14:dataValidation type="list" allowBlank="1" showInputMessage="1" showErrorMessage="1" xr:uid="{28193EDB-688F-4565-906A-18E2BBC71FBE}">
          <x14:formula1>
            <xm:f>項目!A$4:$MZI20</xm:f>
          </x14:formula1>
          <xm:sqref>MZR25:MZR30</xm:sqref>
        </x14:dataValidation>
        <x14:dataValidation type="list" allowBlank="1" showInputMessage="1" showErrorMessage="1" xr:uid="{775C5BF0-7906-4779-BB7F-A80BD8647B26}">
          <x14:formula1>
            <xm:f>項目!A$4:$NJE20</xm:f>
          </x14:formula1>
          <xm:sqref>NJN25:NJN30</xm:sqref>
        </x14:dataValidation>
        <x14:dataValidation type="list" allowBlank="1" showInputMessage="1" showErrorMessage="1" xr:uid="{8542CA19-ACDE-4F02-A58A-D76C699CA4D2}">
          <x14:formula1>
            <xm:f>項目!A$4:$NTA20</xm:f>
          </x14:formula1>
          <xm:sqref>NTJ25:NTJ30</xm:sqref>
        </x14:dataValidation>
        <x14:dataValidation type="list" allowBlank="1" showInputMessage="1" showErrorMessage="1" xr:uid="{C368B7EB-F7D4-4285-BCB2-3866A0C40225}">
          <x14:formula1>
            <xm:f>項目!A$4:$OCW20</xm:f>
          </x14:formula1>
          <xm:sqref>ODF25:ODF30</xm:sqref>
        </x14:dataValidation>
        <x14:dataValidation type="list" allowBlank="1" showInputMessage="1" showErrorMessage="1" xr:uid="{A06ADD54-AE40-4C96-BA95-856D08EA2610}">
          <x14:formula1>
            <xm:f>項目!A$4:$OMS20</xm:f>
          </x14:formula1>
          <xm:sqref>ONB25:ONB30</xm:sqref>
        </x14:dataValidation>
        <x14:dataValidation type="list" allowBlank="1" showInputMessage="1" showErrorMessage="1" xr:uid="{4CBE5022-A0E3-436D-81EB-0091F9B23F19}">
          <x14:formula1>
            <xm:f>項目!A$4:$OWO20</xm:f>
          </x14:formula1>
          <xm:sqref>OWX25:OWX30</xm:sqref>
        </x14:dataValidation>
        <x14:dataValidation type="list" allowBlank="1" showInputMessage="1" showErrorMessage="1" xr:uid="{CC39F4C0-E413-4AA2-A4C0-0585C79CA5F9}">
          <x14:formula1>
            <xm:f>項目!A$4:$PGK20</xm:f>
          </x14:formula1>
          <xm:sqref>PGT25:PGT30</xm:sqref>
        </x14:dataValidation>
        <x14:dataValidation type="list" allowBlank="1" showInputMessage="1" showErrorMessage="1" xr:uid="{0DA2A779-0A24-4868-B6EB-122A6EB783E1}">
          <x14:formula1>
            <xm:f>項目!A$4:$PQG20</xm:f>
          </x14:formula1>
          <xm:sqref>PQP25:PQP30</xm:sqref>
        </x14:dataValidation>
        <x14:dataValidation type="list" allowBlank="1" showInputMessage="1" showErrorMessage="1" xr:uid="{DAFB0D5D-1D48-4BBC-80BD-727D6D674988}">
          <x14:formula1>
            <xm:f>項目!A$4:$QAC20</xm:f>
          </x14:formula1>
          <xm:sqref>QAL25:QAL30</xm:sqref>
        </x14:dataValidation>
        <x14:dataValidation type="list" allowBlank="1" showInputMessage="1" showErrorMessage="1" xr:uid="{C05555AA-8AAF-470C-8EA1-7B2C1C51E12D}">
          <x14:formula1>
            <xm:f>項目!A$4:$QJY20</xm:f>
          </x14:formula1>
          <xm:sqref>QKH25:QKH30</xm:sqref>
        </x14:dataValidation>
        <x14:dataValidation type="list" allowBlank="1" showInputMessage="1" showErrorMessage="1" xr:uid="{D174365C-6FEF-4B1C-8725-053F188882D5}">
          <x14:formula1>
            <xm:f>項目!A$4:$QTU20</xm:f>
          </x14:formula1>
          <xm:sqref>QUD25:QUD30</xm:sqref>
        </x14:dataValidation>
        <x14:dataValidation type="list" allowBlank="1" showInputMessage="1" showErrorMessage="1" xr:uid="{748635A5-9742-404F-8031-4E850902EA0D}">
          <x14:formula1>
            <xm:f>項目!A$4:$RDQ20</xm:f>
          </x14:formula1>
          <xm:sqref>RDZ25:RDZ30</xm:sqref>
        </x14:dataValidation>
        <x14:dataValidation type="list" allowBlank="1" showInputMessage="1" showErrorMessage="1" xr:uid="{F4B1BB5B-D42F-4F45-8C92-8A6D9C7011D6}">
          <x14:formula1>
            <xm:f>項目!A$4:$RNM20</xm:f>
          </x14:formula1>
          <xm:sqref>RNV25:RNV30</xm:sqref>
        </x14:dataValidation>
        <x14:dataValidation type="list" allowBlank="1" showInputMessage="1" showErrorMessage="1" xr:uid="{ADF719E5-3029-4851-A0EB-500C16F9AC80}">
          <x14:formula1>
            <xm:f>項目!A$4:$RXI20</xm:f>
          </x14:formula1>
          <xm:sqref>RXR25:RXR30</xm:sqref>
        </x14:dataValidation>
        <x14:dataValidation type="list" allowBlank="1" showInputMessage="1" showErrorMessage="1" xr:uid="{9D4C1714-8213-4209-8BA5-0982ADD3C3F3}">
          <x14:formula1>
            <xm:f>項目!A$4:$SHE20</xm:f>
          </x14:formula1>
          <xm:sqref>SHN25:SHN30</xm:sqref>
        </x14:dataValidation>
        <x14:dataValidation type="list" allowBlank="1" showInputMessage="1" showErrorMessage="1" xr:uid="{38A7C1C8-BB44-4693-B26B-C07F18BA7BA2}">
          <x14:formula1>
            <xm:f>項目!A$4:$SRA20</xm:f>
          </x14:formula1>
          <xm:sqref>SRJ25:SRJ30</xm:sqref>
        </x14:dataValidation>
        <x14:dataValidation type="list" allowBlank="1" showInputMessage="1" showErrorMessage="1" xr:uid="{6E1BD974-7D46-4B53-B1E1-696D0BB1E9AE}">
          <x14:formula1>
            <xm:f>項目!A$4:$TAW20</xm:f>
          </x14:formula1>
          <xm:sqref>TBF25:TBF30</xm:sqref>
        </x14:dataValidation>
        <x14:dataValidation type="list" allowBlank="1" showInputMessage="1" showErrorMessage="1" xr:uid="{FC9AA357-7282-481F-A51D-A11DF5B0AEED}">
          <x14:formula1>
            <xm:f>項目!A$4:$TKS20</xm:f>
          </x14:formula1>
          <xm:sqref>TLB25:TLB30</xm:sqref>
        </x14:dataValidation>
        <x14:dataValidation type="list" allowBlank="1" showInputMessage="1" showErrorMessage="1" xr:uid="{98D20473-2C84-4AD2-A98B-DA673ADA022F}">
          <x14:formula1>
            <xm:f>項目!A$4:$TUO20</xm:f>
          </x14:formula1>
          <xm:sqref>TUX25:TUX30</xm:sqref>
        </x14:dataValidation>
        <x14:dataValidation type="list" allowBlank="1" showInputMessage="1" showErrorMessage="1" xr:uid="{9C5CE03B-4ECA-462E-855F-53F39D501B12}">
          <x14:formula1>
            <xm:f>項目!A$4:$UEK20</xm:f>
          </x14:formula1>
          <xm:sqref>UET25:UET30</xm:sqref>
        </x14:dataValidation>
        <x14:dataValidation type="list" allowBlank="1" showInputMessage="1" showErrorMessage="1" xr:uid="{345FB196-D5A9-4275-B07B-FE61011FEB24}">
          <x14:formula1>
            <xm:f>項目!A$4:$UOG20</xm:f>
          </x14:formula1>
          <xm:sqref>UOP25:UOP30</xm:sqref>
        </x14:dataValidation>
        <x14:dataValidation type="list" allowBlank="1" showInputMessage="1" showErrorMessage="1" xr:uid="{0A598FC0-7501-4F2B-8336-070D4D5BFE1A}">
          <x14:formula1>
            <xm:f>項目!A$4:$UYC20</xm:f>
          </x14:formula1>
          <xm:sqref>UYL25:UYL30</xm:sqref>
        </x14:dataValidation>
        <x14:dataValidation type="list" allowBlank="1" showInputMessage="1" showErrorMessage="1" xr:uid="{A7438263-249B-420F-AEC9-E2C4A40DE84F}">
          <x14:formula1>
            <xm:f>項目!A$4:$VHY20</xm:f>
          </x14:formula1>
          <xm:sqref>VIH25:VIH30</xm:sqref>
        </x14:dataValidation>
        <x14:dataValidation type="list" allowBlank="1" showInputMessage="1" showErrorMessage="1" xr:uid="{30FB07C8-9376-42F4-AC93-D1FD6F63E905}">
          <x14:formula1>
            <xm:f>項目!A$4:$VRU20</xm:f>
          </x14:formula1>
          <xm:sqref>VSD25:VSD30</xm:sqref>
        </x14:dataValidation>
        <x14:dataValidation type="list" allowBlank="1" showInputMessage="1" showErrorMessage="1" xr:uid="{1F73E045-2049-41D5-97AC-ADC9D715CF58}">
          <x14:formula1>
            <xm:f>項目!A$4:$WBQ20</xm:f>
          </x14:formula1>
          <xm:sqref>WBZ25:WBZ30</xm:sqref>
        </x14:dataValidation>
        <x14:dataValidation type="list" allowBlank="1" showInputMessage="1" showErrorMessage="1" xr:uid="{CD6D1720-7922-4C14-9C2D-4EDC1C5E1F8B}">
          <x14:formula1>
            <xm:f>項目!A$4:$WLM20</xm:f>
          </x14:formula1>
          <xm:sqref>WLV25:WLV30</xm:sqref>
        </x14:dataValidation>
        <x14:dataValidation type="list" allowBlank="1" showInputMessage="1" showErrorMessage="1" xr:uid="{FD867EA1-3942-43DC-B798-595694AAAFCB}">
          <x14:formula1>
            <xm:f>項目!A$4:$WVI20</xm:f>
          </x14:formula1>
          <xm:sqref>WVR25:WVR30</xm:sqref>
        </x14:dataValidation>
        <x14:dataValidation type="list" allowBlank="1" showInputMessage="1" showErrorMessage="1" xr:uid="{DB91E321-D5FA-4E3D-A288-53C0DA52CC02}">
          <x14:formula1>
            <xm:f>項目!A$4:$IS20</xm:f>
          </x14:formula1>
          <xm:sqref>JB25:JB30</xm:sqref>
        </x14:dataValidation>
        <x14:dataValidation type="list" allowBlank="1" showInputMessage="1" showErrorMessage="1" xr:uid="{CFB78F8F-04AC-4D0E-B00A-A7050C7AC024}">
          <x14:formula1>
            <xm:f>項目!A$4:$JA20</xm:f>
          </x14:formula1>
          <xm:sqref>JJ25:JJ30</xm:sqref>
        </x14:dataValidation>
        <x14:dataValidation type="list" allowBlank="1" showInputMessage="1" showErrorMessage="1" xr:uid="{B76D0E8C-174B-40BB-81C7-9252226002C9}">
          <x14:formula1>
            <xm:f>項目!A$4:$SW20</xm:f>
          </x14:formula1>
          <xm:sqref>TF25:TF30</xm:sqref>
        </x14:dataValidation>
        <x14:dataValidation type="list" allowBlank="1" showInputMessage="1" showErrorMessage="1" xr:uid="{63750D64-5447-4A2B-9C21-D6B66B97F6CC}">
          <x14:formula1>
            <xm:f>項目!A$4:$ACS20</xm:f>
          </x14:formula1>
          <xm:sqref>ADB25:ADB30</xm:sqref>
        </x14:dataValidation>
        <x14:dataValidation type="list" allowBlank="1" showInputMessage="1" showErrorMessage="1" xr:uid="{2D5B49AD-7747-422C-A00D-A9A9AF280F43}">
          <x14:formula1>
            <xm:f>項目!A$4:$AMO20</xm:f>
          </x14:formula1>
          <xm:sqref>AMX25:AMX30</xm:sqref>
        </x14:dataValidation>
        <x14:dataValidation type="list" allowBlank="1" showInputMessage="1" showErrorMessage="1" xr:uid="{C1035ADE-D54F-476B-ADF9-BE40B79C67AE}">
          <x14:formula1>
            <xm:f>項目!A$4:$AWK20</xm:f>
          </x14:formula1>
          <xm:sqref>AWT25:AWT30</xm:sqref>
        </x14:dataValidation>
        <x14:dataValidation type="list" allowBlank="1" showInputMessage="1" showErrorMessage="1" xr:uid="{C41F5612-72F1-4CB1-96F9-E63F68DB0DC9}">
          <x14:formula1>
            <xm:f>項目!A$4:$BGG20</xm:f>
          </x14:formula1>
          <xm:sqref>BGP25:BGP30</xm:sqref>
        </x14:dataValidation>
        <x14:dataValidation type="list" allowBlank="1" showInputMessage="1" showErrorMessage="1" xr:uid="{CC0C90A6-4722-40F7-B719-623DA9C8EBFF}">
          <x14:formula1>
            <xm:f>項目!A$4:$BQC20</xm:f>
          </x14:formula1>
          <xm:sqref>BQL25:BQL30</xm:sqref>
        </x14:dataValidation>
        <x14:dataValidation type="list" allowBlank="1" showInputMessage="1" showErrorMessage="1" xr:uid="{FB477F14-9C7D-44FB-940A-5F632AFB549C}">
          <x14:formula1>
            <xm:f>項目!A$4:$BZY20</xm:f>
          </x14:formula1>
          <xm:sqref>CAH25:CAH30</xm:sqref>
        </x14:dataValidation>
        <x14:dataValidation type="list" allowBlank="1" showInputMessage="1" showErrorMessage="1" xr:uid="{1DD09316-D61B-470C-A24E-7C224EAE99F8}">
          <x14:formula1>
            <xm:f>項目!A$4:$CJU20</xm:f>
          </x14:formula1>
          <xm:sqref>CKD25:CKD30</xm:sqref>
        </x14:dataValidation>
        <x14:dataValidation type="list" allowBlank="1" showInputMessage="1" showErrorMessage="1" xr:uid="{69DF15E6-74D8-41A6-9E17-11F4A1E22086}">
          <x14:formula1>
            <xm:f>項目!A$4:$CTQ20</xm:f>
          </x14:formula1>
          <xm:sqref>CTZ25:CTZ30</xm:sqref>
        </x14:dataValidation>
        <x14:dataValidation type="list" allowBlank="1" showInputMessage="1" showErrorMessage="1" xr:uid="{F1317CEE-A431-4FAA-A77A-AAAF0665B8B0}">
          <x14:formula1>
            <xm:f>項目!A$4:$DDM20</xm:f>
          </x14:formula1>
          <xm:sqref>DDV25:DDV30</xm:sqref>
        </x14:dataValidation>
        <x14:dataValidation type="list" allowBlank="1" showInputMessage="1" showErrorMessage="1" xr:uid="{D19FFD9A-7A44-47A4-A7B6-D17D99D04B19}">
          <x14:formula1>
            <xm:f>項目!A$4:$DNI20</xm:f>
          </x14:formula1>
          <xm:sqref>DNR25:DNR30</xm:sqref>
        </x14:dataValidation>
        <x14:dataValidation type="list" allowBlank="1" showInputMessage="1" showErrorMessage="1" xr:uid="{BB302C6C-26E1-48E0-A4A0-1FB41BEA2E0F}">
          <x14:formula1>
            <xm:f>項目!A$4:$DXE20</xm:f>
          </x14:formula1>
          <xm:sqref>DXN25:DXN30</xm:sqref>
        </x14:dataValidation>
        <x14:dataValidation type="list" allowBlank="1" showInputMessage="1" showErrorMessage="1" xr:uid="{BEA0BB73-07E1-4D3E-B3E7-F63F1BF62555}">
          <x14:formula1>
            <xm:f>項目!A$4:$EHA20</xm:f>
          </x14:formula1>
          <xm:sqref>EHJ25:EHJ30</xm:sqref>
        </x14:dataValidation>
        <x14:dataValidation type="list" allowBlank="1" showInputMessage="1" showErrorMessage="1" xr:uid="{6D9C2377-1E7D-4ED1-A2AC-E50AA298A526}">
          <x14:formula1>
            <xm:f>項目!A$4:$EQW20</xm:f>
          </x14:formula1>
          <xm:sqref>ERF25:ERF30</xm:sqref>
        </x14:dataValidation>
        <x14:dataValidation type="list" allowBlank="1" showInputMessage="1" showErrorMessage="1" xr:uid="{96024D20-B63A-4A5E-9FAE-DABB25F57D6F}">
          <x14:formula1>
            <xm:f>項目!A$4:$FAS20</xm:f>
          </x14:formula1>
          <xm:sqref>FBB25:FBB30</xm:sqref>
        </x14:dataValidation>
        <x14:dataValidation type="list" allowBlank="1" showInputMessage="1" showErrorMessage="1" xr:uid="{C66C04C2-2F3C-4C7D-AD80-9800D76A44FD}">
          <x14:formula1>
            <xm:f>項目!A$4:$FKO20</xm:f>
          </x14:formula1>
          <xm:sqref>FKX25:FKX30</xm:sqref>
        </x14:dataValidation>
        <x14:dataValidation type="list" allowBlank="1" showInputMessage="1" showErrorMessage="1" xr:uid="{78015511-A6B5-4DBD-AB96-ADD77AC643C6}">
          <x14:formula1>
            <xm:f>項目!A$4:$FUK20</xm:f>
          </x14:formula1>
          <xm:sqref>FUT25:FUT30</xm:sqref>
        </x14:dataValidation>
        <x14:dataValidation type="list" allowBlank="1" showInputMessage="1" showErrorMessage="1" xr:uid="{5A314FBB-675D-46F3-9634-C66863114052}">
          <x14:formula1>
            <xm:f>項目!A$4:$GEG20</xm:f>
          </x14:formula1>
          <xm:sqref>GEP25:GEP30</xm:sqref>
        </x14:dataValidation>
        <x14:dataValidation type="list" allowBlank="1" showInputMessage="1" showErrorMessage="1" xr:uid="{1C7293D8-0DC2-45A6-AC5E-4FDDE4A952AC}">
          <x14:formula1>
            <xm:f>項目!A$4:$GOC20</xm:f>
          </x14:formula1>
          <xm:sqref>GOL25:GOL30</xm:sqref>
        </x14:dataValidation>
        <x14:dataValidation type="list" allowBlank="1" showInputMessage="1" showErrorMessage="1" xr:uid="{192685C3-D400-410B-AA78-2A58BADF18E3}">
          <x14:formula1>
            <xm:f>項目!A$4:$GXY20</xm:f>
          </x14:formula1>
          <xm:sqref>GYH25:GYH30</xm:sqref>
        </x14:dataValidation>
        <x14:dataValidation type="list" allowBlank="1" showInputMessage="1" showErrorMessage="1" xr:uid="{67F79F15-7581-4498-B20B-21B24FDBC826}">
          <x14:formula1>
            <xm:f>項目!A$4:$HHU20</xm:f>
          </x14:formula1>
          <xm:sqref>HID25:HID30</xm:sqref>
        </x14:dataValidation>
        <x14:dataValidation type="list" allowBlank="1" showInputMessage="1" showErrorMessage="1" xr:uid="{B6E18A74-5095-4E89-A694-FF4E99D89603}">
          <x14:formula1>
            <xm:f>項目!A$4:$HRQ20</xm:f>
          </x14:formula1>
          <xm:sqref>HRZ25:HRZ30</xm:sqref>
        </x14:dataValidation>
        <x14:dataValidation type="list" allowBlank="1" showInputMessage="1" showErrorMessage="1" xr:uid="{EE7C4E4C-34AF-4BAD-951F-FB3C0BC74A1E}">
          <x14:formula1>
            <xm:f>項目!A$4:$IBM20</xm:f>
          </x14:formula1>
          <xm:sqref>IBV25:IBV30</xm:sqref>
        </x14:dataValidation>
        <x14:dataValidation type="list" allowBlank="1" showInputMessage="1" showErrorMessage="1" xr:uid="{2ADF4278-91D9-4C73-BD86-0DD753850AA3}">
          <x14:formula1>
            <xm:f>項目!A$4:$ILI20</xm:f>
          </x14:formula1>
          <xm:sqref>ILR25:ILR30</xm:sqref>
        </x14:dataValidation>
        <x14:dataValidation type="list" allowBlank="1" showInputMessage="1" showErrorMessage="1" xr:uid="{0A2B2A0A-3690-4C59-B7AC-E5647201FDC4}">
          <x14:formula1>
            <xm:f>項目!A$4:$IVE20</xm:f>
          </x14:formula1>
          <xm:sqref>IVN25:IVN30</xm:sqref>
        </x14:dataValidation>
        <x14:dataValidation type="list" allowBlank="1" showInputMessage="1" showErrorMessage="1" xr:uid="{351C5A77-2F38-4AF1-BB8F-708793AE073D}">
          <x14:formula1>
            <xm:f>項目!A$4:$JFA20</xm:f>
          </x14:formula1>
          <xm:sqref>JFJ25:JFJ30</xm:sqref>
        </x14:dataValidation>
        <x14:dataValidation type="list" allowBlank="1" showInputMessage="1" showErrorMessage="1" xr:uid="{6FE4AA23-F23A-4DBC-A6FC-0C7406A62AFA}">
          <x14:formula1>
            <xm:f>項目!A$4:$JOW20</xm:f>
          </x14:formula1>
          <xm:sqref>JPF25:JPF30</xm:sqref>
        </x14:dataValidation>
        <x14:dataValidation type="list" allowBlank="1" showInputMessage="1" showErrorMessage="1" xr:uid="{7C7BB42F-2934-43D4-86C6-D03585A5B1FA}">
          <x14:formula1>
            <xm:f>項目!A$4:$JYS20</xm:f>
          </x14:formula1>
          <xm:sqref>JZB25:JZB30</xm:sqref>
        </x14:dataValidation>
        <x14:dataValidation type="list" allowBlank="1" showInputMessage="1" showErrorMessage="1" xr:uid="{CB06AC6C-5542-4AA1-8072-4B1A274AA72A}">
          <x14:formula1>
            <xm:f>項目!A$4:$KIO20</xm:f>
          </x14:formula1>
          <xm:sqref>KIX25:KIX30</xm:sqref>
        </x14:dataValidation>
        <x14:dataValidation type="list" allowBlank="1" showInputMessage="1" showErrorMessage="1" xr:uid="{65E752A8-64CF-4C37-AD86-6DE415A4A32A}">
          <x14:formula1>
            <xm:f>項目!A$4:$KSK20</xm:f>
          </x14:formula1>
          <xm:sqref>KST25:KST30</xm:sqref>
        </x14:dataValidation>
        <x14:dataValidation type="list" allowBlank="1" showInputMessage="1" showErrorMessage="1" xr:uid="{02CC6E51-3AFC-4902-8F9D-EF300CB0FEE2}">
          <x14:formula1>
            <xm:f>項目!A$4:$LCG20</xm:f>
          </x14:formula1>
          <xm:sqref>LCP25:LCP30</xm:sqref>
        </x14:dataValidation>
        <x14:dataValidation type="list" allowBlank="1" showInputMessage="1" showErrorMessage="1" xr:uid="{D45D213D-5817-45E0-9ACF-C7419B4FDA7A}">
          <x14:formula1>
            <xm:f>項目!A$4:$LMC20</xm:f>
          </x14:formula1>
          <xm:sqref>LML25:LML30</xm:sqref>
        </x14:dataValidation>
        <x14:dataValidation type="list" allowBlank="1" showInputMessage="1" showErrorMessage="1" xr:uid="{A2EF1105-2F99-486B-B1DF-41027BAB8CC7}">
          <x14:formula1>
            <xm:f>項目!A$4:$LVY20</xm:f>
          </x14:formula1>
          <xm:sqref>LWH25:LWH30</xm:sqref>
        </x14:dataValidation>
        <x14:dataValidation type="list" allowBlank="1" showInputMessage="1" showErrorMessage="1" xr:uid="{4C1ADD40-831D-4F6C-8162-3814C1B50CD9}">
          <x14:formula1>
            <xm:f>項目!A$4:$MFU20</xm:f>
          </x14:formula1>
          <xm:sqref>MGD25:MGD30</xm:sqref>
        </x14:dataValidation>
        <x14:dataValidation type="list" allowBlank="1" showInputMessage="1" showErrorMessage="1" xr:uid="{60676E0A-E59C-48F5-AE15-EC8E57123E9F}">
          <x14:formula1>
            <xm:f>項目!A$4:$MPQ20</xm:f>
          </x14:formula1>
          <xm:sqref>MPZ25:MPZ30</xm:sqref>
        </x14:dataValidation>
        <x14:dataValidation type="list" allowBlank="1" showInputMessage="1" showErrorMessage="1" xr:uid="{1C94A06F-7463-4546-8981-34513AD97C72}">
          <x14:formula1>
            <xm:f>項目!A$4:$MZM20</xm:f>
          </x14:formula1>
          <xm:sqref>MZV25:MZV30</xm:sqref>
        </x14:dataValidation>
        <x14:dataValidation type="list" allowBlank="1" showInputMessage="1" showErrorMessage="1" xr:uid="{D80E0776-6DE8-4299-A91C-EDB8F2289792}">
          <x14:formula1>
            <xm:f>項目!A$4:$NJI20</xm:f>
          </x14:formula1>
          <xm:sqref>NJR25:NJR30</xm:sqref>
        </x14:dataValidation>
        <x14:dataValidation type="list" allowBlank="1" showInputMessage="1" showErrorMessage="1" xr:uid="{DD2688E8-FBD6-4C86-93AF-A94BEC5B92E0}">
          <x14:formula1>
            <xm:f>項目!A$4:$NTE20</xm:f>
          </x14:formula1>
          <xm:sqref>NTN25:NTN30</xm:sqref>
        </x14:dataValidation>
        <x14:dataValidation type="list" allowBlank="1" showInputMessage="1" showErrorMessage="1" xr:uid="{8A472874-3865-4D42-9818-B073DDDA2C1F}">
          <x14:formula1>
            <xm:f>項目!A$4:$ODA20</xm:f>
          </x14:formula1>
          <xm:sqref>ODJ25:ODJ30</xm:sqref>
        </x14:dataValidation>
        <x14:dataValidation type="list" allowBlank="1" showInputMessage="1" showErrorMessage="1" xr:uid="{8390C1CE-F82E-473C-AF83-978B770E06BD}">
          <x14:formula1>
            <xm:f>項目!A$4:$OMW20</xm:f>
          </x14:formula1>
          <xm:sqref>ONF25:ONF30</xm:sqref>
        </x14:dataValidation>
        <x14:dataValidation type="list" allowBlank="1" showInputMessage="1" showErrorMessage="1" xr:uid="{9C3F65BA-45F5-4468-9714-73F398A29909}">
          <x14:formula1>
            <xm:f>項目!A$4:$OWS20</xm:f>
          </x14:formula1>
          <xm:sqref>OXB25:OXB30</xm:sqref>
        </x14:dataValidation>
        <x14:dataValidation type="list" allowBlank="1" showInputMessage="1" showErrorMessage="1" xr:uid="{1F3F9ED9-1852-4281-997D-FF2DE6BCFB67}">
          <x14:formula1>
            <xm:f>項目!A$4:$PGO20</xm:f>
          </x14:formula1>
          <xm:sqref>PGX25:PGX30</xm:sqref>
        </x14:dataValidation>
        <x14:dataValidation type="list" allowBlank="1" showInputMessage="1" showErrorMessage="1" xr:uid="{71A47C0C-9369-4D24-804B-37102BBA570D}">
          <x14:formula1>
            <xm:f>項目!A$4:$PQK20</xm:f>
          </x14:formula1>
          <xm:sqref>PQT25:PQT30</xm:sqref>
        </x14:dataValidation>
        <x14:dataValidation type="list" allowBlank="1" showInputMessage="1" showErrorMessage="1" xr:uid="{924098A6-35A9-4EF8-BCB4-3FB57A0CCD8A}">
          <x14:formula1>
            <xm:f>項目!A$4:$QAG20</xm:f>
          </x14:formula1>
          <xm:sqref>QAP25:QAP30</xm:sqref>
        </x14:dataValidation>
        <x14:dataValidation type="list" allowBlank="1" showInputMessage="1" showErrorMessage="1" xr:uid="{11D38D04-6A18-4F81-B144-23D53D030DFA}">
          <x14:formula1>
            <xm:f>項目!A$4:$QKC20</xm:f>
          </x14:formula1>
          <xm:sqref>QKL25:QKL30</xm:sqref>
        </x14:dataValidation>
        <x14:dataValidation type="list" allowBlank="1" showInputMessage="1" showErrorMessage="1" xr:uid="{5CC8C711-01A0-4DBC-A8D4-FBE5E0440F04}">
          <x14:formula1>
            <xm:f>項目!A$4:$QTY20</xm:f>
          </x14:formula1>
          <xm:sqref>QUH25:QUH30</xm:sqref>
        </x14:dataValidation>
        <x14:dataValidation type="list" allowBlank="1" showInputMessage="1" showErrorMessage="1" xr:uid="{FF686D2C-0E2B-4132-948A-F76C6DF2F70F}">
          <x14:formula1>
            <xm:f>項目!A$4:$RDU20</xm:f>
          </x14:formula1>
          <xm:sqref>RED25:RED30</xm:sqref>
        </x14:dataValidation>
        <x14:dataValidation type="list" allowBlank="1" showInputMessage="1" showErrorMessage="1" xr:uid="{166C1979-C602-4774-8915-62DE2AEB8855}">
          <x14:formula1>
            <xm:f>項目!A$4:$RNQ20</xm:f>
          </x14:formula1>
          <xm:sqref>RNZ25:RNZ30</xm:sqref>
        </x14:dataValidation>
        <x14:dataValidation type="list" allowBlank="1" showInputMessage="1" showErrorMessage="1" xr:uid="{B165427F-0578-4122-87B3-A3AA46122320}">
          <x14:formula1>
            <xm:f>項目!A$4:$RXM20</xm:f>
          </x14:formula1>
          <xm:sqref>RXV25:RXV30</xm:sqref>
        </x14:dataValidation>
        <x14:dataValidation type="list" allowBlank="1" showInputMessage="1" showErrorMessage="1" xr:uid="{226B4B9E-1191-4979-91EE-1288CE43DD52}">
          <x14:formula1>
            <xm:f>項目!A$4:$SHI20</xm:f>
          </x14:formula1>
          <xm:sqref>SHR25:SHR30</xm:sqref>
        </x14:dataValidation>
        <x14:dataValidation type="list" allowBlank="1" showInputMessage="1" showErrorMessage="1" xr:uid="{28BF2EBA-8275-4490-A811-C0134D2BC582}">
          <x14:formula1>
            <xm:f>項目!A$4:$SRE20</xm:f>
          </x14:formula1>
          <xm:sqref>SRN25:SRN30</xm:sqref>
        </x14:dataValidation>
        <x14:dataValidation type="list" allowBlank="1" showInputMessage="1" showErrorMessage="1" xr:uid="{D4DD5FA1-7179-443D-A8D5-B0A888EA46F6}">
          <x14:formula1>
            <xm:f>項目!A$4:$TBA20</xm:f>
          </x14:formula1>
          <xm:sqref>TBJ25:TBJ30</xm:sqref>
        </x14:dataValidation>
        <x14:dataValidation type="list" allowBlank="1" showInputMessage="1" showErrorMessage="1" xr:uid="{6B3A6879-1982-4077-AB0E-4CE8262E014F}">
          <x14:formula1>
            <xm:f>項目!A$4:$TKW20</xm:f>
          </x14:formula1>
          <xm:sqref>TLF25:TLF30</xm:sqref>
        </x14:dataValidation>
        <x14:dataValidation type="list" allowBlank="1" showInputMessage="1" showErrorMessage="1" xr:uid="{EC5D68EA-8147-4A34-8D67-9B1FFD5AF244}">
          <x14:formula1>
            <xm:f>項目!A$4:$TUS20</xm:f>
          </x14:formula1>
          <xm:sqref>TVB25:TVB30</xm:sqref>
        </x14:dataValidation>
        <x14:dataValidation type="list" allowBlank="1" showInputMessage="1" showErrorMessage="1" xr:uid="{FEE04C87-3428-4C56-B92E-2F73254D0254}">
          <x14:formula1>
            <xm:f>項目!A$4:$UEO20</xm:f>
          </x14:formula1>
          <xm:sqref>UEX25:UEX30</xm:sqref>
        </x14:dataValidation>
        <x14:dataValidation type="list" allowBlank="1" showInputMessage="1" showErrorMessage="1" xr:uid="{30713940-CF45-49BD-84D8-F776C94615F8}">
          <x14:formula1>
            <xm:f>項目!A$4:$UOK20</xm:f>
          </x14:formula1>
          <xm:sqref>UOT25:UOT30</xm:sqref>
        </x14:dataValidation>
        <x14:dataValidation type="list" allowBlank="1" showInputMessage="1" showErrorMessage="1" xr:uid="{CCF74161-53B4-43E9-B309-4B8D96B3E0DE}">
          <x14:formula1>
            <xm:f>項目!A$4:$UYG20</xm:f>
          </x14:formula1>
          <xm:sqref>UYP25:UYP30</xm:sqref>
        </x14:dataValidation>
        <x14:dataValidation type="list" allowBlank="1" showInputMessage="1" showErrorMessage="1" xr:uid="{ED51249C-1186-4DF5-9E70-ED49558870BF}">
          <x14:formula1>
            <xm:f>項目!A$4:$VIC20</xm:f>
          </x14:formula1>
          <xm:sqref>VIL25:VIL30</xm:sqref>
        </x14:dataValidation>
        <x14:dataValidation type="list" allowBlank="1" showInputMessage="1" showErrorMessage="1" xr:uid="{6FBFAFF3-4DA4-469E-AD13-4B6DE8BE2EFA}">
          <x14:formula1>
            <xm:f>項目!A$4:$VRY20</xm:f>
          </x14:formula1>
          <xm:sqref>VSH25:VSH30</xm:sqref>
        </x14:dataValidation>
        <x14:dataValidation type="list" allowBlank="1" showInputMessage="1" showErrorMessage="1" xr:uid="{EAAF86E0-05A4-4E06-B6C7-E2F709BFBAC5}">
          <x14:formula1>
            <xm:f>項目!A$4:$WBU20</xm:f>
          </x14:formula1>
          <xm:sqref>WCD25:WCD30</xm:sqref>
        </x14:dataValidation>
        <x14:dataValidation type="list" allowBlank="1" showInputMessage="1" showErrorMessage="1" xr:uid="{9BA5C1F7-57FE-4665-A905-034F4EBB373A}">
          <x14:formula1>
            <xm:f>項目!A$4:$WLQ20</xm:f>
          </x14:formula1>
          <xm:sqref>WLZ25:WLZ30</xm:sqref>
        </x14:dataValidation>
        <x14:dataValidation type="list" allowBlank="1" showInputMessage="1" showErrorMessage="1" xr:uid="{FA91BE97-0644-4A47-A060-07727BC007D9}">
          <x14:formula1>
            <xm:f>項目!A$4:$WVM20</xm:f>
          </x14:formula1>
          <xm:sqref>WVV25:WVV30</xm:sqref>
        </x14:dataValidation>
        <x14:dataValidation type="list" allowBlank="1" showInputMessage="1" showErrorMessage="1" xr:uid="{A796A19B-86D3-463B-B452-2FDDDB5B0392}">
          <x14:formula1>
            <xm:f>項目!A$4:$SO20</xm:f>
          </x14:formula1>
          <xm:sqref>SX25:SX30</xm:sqref>
        </x14:dataValidation>
        <x14:dataValidation type="list" allowBlank="1" showInputMessage="1" showErrorMessage="1" xr:uid="{B16818D0-3C6A-492A-A33D-634ABF362D75}">
          <x14:formula1>
            <xm:f>項目!A$4:$JE20</xm:f>
          </x14:formula1>
          <xm:sqref>JN25:JN30</xm:sqref>
        </x14:dataValidation>
        <x14:dataValidation type="list" allowBlank="1" showInputMessage="1" showErrorMessage="1" xr:uid="{C8EDD0D5-4804-41B4-BE6D-F81FA75B218D}">
          <x14:formula1>
            <xm:f>項目!A$4:$TA20</xm:f>
          </x14:formula1>
          <xm:sqref>TJ25:TJ30</xm:sqref>
        </x14:dataValidation>
        <x14:dataValidation type="list" allowBlank="1" showInputMessage="1" showErrorMessage="1" xr:uid="{067557BB-893B-4E6C-AB1D-0733826F917E}">
          <x14:formula1>
            <xm:f>項目!A$4:$ACW20</xm:f>
          </x14:formula1>
          <xm:sqref>ADF25:ADF30</xm:sqref>
        </x14:dataValidation>
        <x14:dataValidation type="list" allowBlank="1" showInputMessage="1" showErrorMessage="1" xr:uid="{BB814D37-4BE5-474E-8AD4-5FC7D09AAA43}">
          <x14:formula1>
            <xm:f>項目!A$4:$AMS20</xm:f>
          </x14:formula1>
          <xm:sqref>ANB25:ANB30</xm:sqref>
        </x14:dataValidation>
        <x14:dataValidation type="list" allowBlank="1" showInputMessage="1" showErrorMessage="1" xr:uid="{DA32C32D-70F6-4FE6-BC0B-1E5104EB3D1C}">
          <x14:formula1>
            <xm:f>項目!A$4:$AWO20</xm:f>
          </x14:formula1>
          <xm:sqref>AWX25:AWX30</xm:sqref>
        </x14:dataValidation>
        <x14:dataValidation type="list" allowBlank="1" showInputMessage="1" showErrorMessage="1" xr:uid="{2B7C1D00-62C9-427C-8696-506F6C26673F}">
          <x14:formula1>
            <xm:f>項目!A$4:$BGK20</xm:f>
          </x14:formula1>
          <xm:sqref>BGT25:BGT30</xm:sqref>
        </x14:dataValidation>
        <x14:dataValidation type="list" allowBlank="1" showInputMessage="1" showErrorMessage="1" xr:uid="{7183574C-B749-462A-BE15-029E1FD8B514}">
          <x14:formula1>
            <xm:f>項目!A$4:$BQG20</xm:f>
          </x14:formula1>
          <xm:sqref>BQP25:BQP30</xm:sqref>
        </x14:dataValidation>
        <x14:dataValidation type="list" allowBlank="1" showInputMessage="1" showErrorMessage="1" xr:uid="{A6A98A7A-EB77-4A32-8AE7-20773127A480}">
          <x14:formula1>
            <xm:f>項目!A$4:$CAC20</xm:f>
          </x14:formula1>
          <xm:sqref>CAL25:CAL30</xm:sqref>
        </x14:dataValidation>
        <x14:dataValidation type="list" allowBlank="1" showInputMessage="1" showErrorMessage="1" xr:uid="{2A02186C-17D6-4D77-B01C-06645EAA1B28}">
          <x14:formula1>
            <xm:f>項目!A$4:$CJY20</xm:f>
          </x14:formula1>
          <xm:sqref>CKH25:CKH30</xm:sqref>
        </x14:dataValidation>
        <x14:dataValidation type="list" allowBlank="1" showInputMessage="1" showErrorMessage="1" xr:uid="{3C17032D-9AB3-45D1-9F7E-BE8FFDA7462B}">
          <x14:formula1>
            <xm:f>項目!A$4:$CTU20</xm:f>
          </x14:formula1>
          <xm:sqref>CUD25:CUD30</xm:sqref>
        </x14:dataValidation>
        <x14:dataValidation type="list" allowBlank="1" showInputMessage="1" showErrorMessage="1" xr:uid="{E80A9EDB-26BC-4CF9-AD30-E88C01CF0EF1}">
          <x14:formula1>
            <xm:f>項目!A$4:$DDQ20</xm:f>
          </x14:formula1>
          <xm:sqref>DDZ25:DDZ30</xm:sqref>
        </x14:dataValidation>
        <x14:dataValidation type="list" allowBlank="1" showInputMessage="1" showErrorMessage="1" xr:uid="{259EE144-23CC-4621-B839-B27DC045F3C2}">
          <x14:formula1>
            <xm:f>項目!A$4:$DNM20</xm:f>
          </x14:formula1>
          <xm:sqref>DNV25:DNV30</xm:sqref>
        </x14:dataValidation>
        <x14:dataValidation type="list" allowBlank="1" showInputMessage="1" showErrorMessage="1" xr:uid="{D4ED7B98-7746-4D52-A086-2F21FFC2405A}">
          <x14:formula1>
            <xm:f>項目!A$4:$DXI20</xm:f>
          </x14:formula1>
          <xm:sqref>DXR25:DXR30</xm:sqref>
        </x14:dataValidation>
        <x14:dataValidation type="list" allowBlank="1" showInputMessage="1" showErrorMessage="1" xr:uid="{66355954-81FE-43D0-BF7B-AC0F7556D099}">
          <x14:formula1>
            <xm:f>項目!A$4:$EHE20</xm:f>
          </x14:formula1>
          <xm:sqref>EHN25:EHN30</xm:sqref>
        </x14:dataValidation>
        <x14:dataValidation type="list" allowBlank="1" showInputMessage="1" showErrorMessage="1" xr:uid="{FDFBB176-8CA3-43A5-99DA-C04AD5CDBCB0}">
          <x14:formula1>
            <xm:f>項目!A$4:$ERA20</xm:f>
          </x14:formula1>
          <xm:sqref>ERJ25:ERJ30</xm:sqref>
        </x14:dataValidation>
        <x14:dataValidation type="list" allowBlank="1" showInputMessage="1" showErrorMessage="1" xr:uid="{7A67926F-F2AC-490A-AEAD-DBF28674E977}">
          <x14:formula1>
            <xm:f>項目!A$4:$FAW20</xm:f>
          </x14:formula1>
          <xm:sqref>FBF25:FBF30</xm:sqref>
        </x14:dataValidation>
        <x14:dataValidation type="list" allowBlank="1" showInputMessage="1" showErrorMessage="1" xr:uid="{FB19517F-942F-4043-8A1A-E0A79B593C99}">
          <x14:formula1>
            <xm:f>項目!A$4:$FKS20</xm:f>
          </x14:formula1>
          <xm:sqref>FLB25:FLB30</xm:sqref>
        </x14:dataValidation>
        <x14:dataValidation type="list" allowBlank="1" showInputMessage="1" showErrorMessage="1" xr:uid="{FD04AF65-6B6E-43D3-B4B8-B67467044028}">
          <x14:formula1>
            <xm:f>項目!A$4:$FUO20</xm:f>
          </x14:formula1>
          <xm:sqref>FUX25:FUX30</xm:sqref>
        </x14:dataValidation>
        <x14:dataValidation type="list" allowBlank="1" showInputMessage="1" showErrorMessage="1" xr:uid="{C23C0792-065A-4AE7-BA5D-D9FB9B9DF791}">
          <x14:formula1>
            <xm:f>項目!A$4:$GEK20</xm:f>
          </x14:formula1>
          <xm:sqref>GET25:GET30</xm:sqref>
        </x14:dataValidation>
        <x14:dataValidation type="list" allowBlank="1" showInputMessage="1" showErrorMessage="1" xr:uid="{EB49B27E-4C9A-47F6-98A9-D9CE866E0C9C}">
          <x14:formula1>
            <xm:f>項目!A$4:$GOG20</xm:f>
          </x14:formula1>
          <xm:sqref>GOP25:GOP30</xm:sqref>
        </x14:dataValidation>
        <x14:dataValidation type="list" allowBlank="1" showInputMessage="1" showErrorMessage="1" xr:uid="{817B50F3-86B0-49C8-B75E-9CAF307BEC58}">
          <x14:formula1>
            <xm:f>項目!A$4:$GYC20</xm:f>
          </x14:formula1>
          <xm:sqref>GYL25:GYL30</xm:sqref>
        </x14:dataValidation>
        <x14:dataValidation type="list" allowBlank="1" showInputMessage="1" showErrorMessage="1" xr:uid="{B5A5FC50-EFA3-494D-8AB1-507734049185}">
          <x14:formula1>
            <xm:f>項目!A$4:$HHY20</xm:f>
          </x14:formula1>
          <xm:sqref>HIH25:HIH30</xm:sqref>
        </x14:dataValidation>
        <x14:dataValidation type="list" allowBlank="1" showInputMessage="1" showErrorMessage="1" xr:uid="{0DE0A77B-428E-4815-B34E-E06DA8B4F3AF}">
          <x14:formula1>
            <xm:f>項目!A$4:$HRU20</xm:f>
          </x14:formula1>
          <xm:sqref>HSD25:HSD30</xm:sqref>
        </x14:dataValidation>
        <x14:dataValidation type="list" allowBlank="1" showInputMessage="1" showErrorMessage="1" xr:uid="{563BA93E-8C8E-4ECF-8FBA-84DBA84F4FE7}">
          <x14:formula1>
            <xm:f>項目!A$4:$IBQ20</xm:f>
          </x14:formula1>
          <xm:sqref>IBZ25:IBZ30</xm:sqref>
        </x14:dataValidation>
        <x14:dataValidation type="list" allowBlank="1" showInputMessage="1" showErrorMessage="1" xr:uid="{916BC67F-40FD-450E-863F-123DBABE10F2}">
          <x14:formula1>
            <xm:f>項目!A$4:$ILM20</xm:f>
          </x14:formula1>
          <xm:sqref>ILV25:ILV30</xm:sqref>
        </x14:dataValidation>
        <x14:dataValidation type="list" allowBlank="1" showInputMessage="1" showErrorMessage="1" xr:uid="{D3C0DDCE-C480-4A0B-ABF4-4EB948EB66C7}">
          <x14:formula1>
            <xm:f>項目!A$4:$IVI20</xm:f>
          </x14:formula1>
          <xm:sqref>IVR25:IVR30</xm:sqref>
        </x14:dataValidation>
        <x14:dataValidation type="list" allowBlank="1" showInputMessage="1" showErrorMessage="1" xr:uid="{C6F6080E-FDA9-4A96-947A-2CFB2F2FC265}">
          <x14:formula1>
            <xm:f>項目!A$4:$JFE20</xm:f>
          </x14:formula1>
          <xm:sqref>JFN25:JFN30</xm:sqref>
        </x14:dataValidation>
        <x14:dataValidation type="list" allowBlank="1" showInputMessage="1" showErrorMessage="1" xr:uid="{E82907F1-EAB7-4446-86BE-88C7E0D2B6FC}">
          <x14:formula1>
            <xm:f>項目!A$4:$JPA20</xm:f>
          </x14:formula1>
          <xm:sqref>JPJ25:JPJ30</xm:sqref>
        </x14:dataValidation>
        <x14:dataValidation type="list" allowBlank="1" showInputMessage="1" showErrorMessage="1" xr:uid="{99C731C5-7AB7-4511-A700-7B58539D180A}">
          <x14:formula1>
            <xm:f>項目!A$4:$JYW20</xm:f>
          </x14:formula1>
          <xm:sqref>JZF25:JZF30</xm:sqref>
        </x14:dataValidation>
        <x14:dataValidation type="list" allowBlank="1" showInputMessage="1" showErrorMessage="1" xr:uid="{0C89E036-C93E-475E-A602-EE15F100B307}">
          <x14:formula1>
            <xm:f>項目!A$4:$KIS20</xm:f>
          </x14:formula1>
          <xm:sqref>KJB25:KJB30</xm:sqref>
        </x14:dataValidation>
        <x14:dataValidation type="list" allowBlank="1" showInputMessage="1" showErrorMessage="1" xr:uid="{CECAA1D1-CB14-4AE8-A4DA-6366909B39AA}">
          <x14:formula1>
            <xm:f>項目!A$4:$KSO20</xm:f>
          </x14:formula1>
          <xm:sqref>KSX25:KSX30</xm:sqref>
        </x14:dataValidation>
        <x14:dataValidation type="list" allowBlank="1" showInputMessage="1" showErrorMessage="1" xr:uid="{E0242EE1-17E5-4289-BBEE-D52EEF7069FC}">
          <x14:formula1>
            <xm:f>項目!A$4:$LCK20</xm:f>
          </x14:formula1>
          <xm:sqref>LCT25:LCT30</xm:sqref>
        </x14:dataValidation>
        <x14:dataValidation type="list" allowBlank="1" showInputMessage="1" showErrorMessage="1" xr:uid="{B30F8334-B4F7-40B3-A6F3-4202C3F92C97}">
          <x14:formula1>
            <xm:f>項目!A$4:$LMG20</xm:f>
          </x14:formula1>
          <xm:sqref>LMP25:LMP30</xm:sqref>
        </x14:dataValidation>
        <x14:dataValidation type="list" allowBlank="1" showInputMessage="1" showErrorMessage="1" xr:uid="{3F6D7CE0-0CB0-47B9-8597-E2F5D5874961}">
          <x14:formula1>
            <xm:f>項目!A$4:$LWC20</xm:f>
          </x14:formula1>
          <xm:sqref>LWL25:LWL30</xm:sqref>
        </x14:dataValidation>
        <x14:dataValidation type="list" allowBlank="1" showInputMessage="1" showErrorMessage="1" xr:uid="{0330EA53-EBF2-42CA-A187-151A087DED77}">
          <x14:formula1>
            <xm:f>項目!A$4:$MFY20</xm:f>
          </x14:formula1>
          <xm:sqref>MGH25:MGH30</xm:sqref>
        </x14:dataValidation>
        <x14:dataValidation type="list" allowBlank="1" showInputMessage="1" showErrorMessage="1" xr:uid="{A75EFE0C-8B76-44B7-A684-F3CBF67D2D6E}">
          <x14:formula1>
            <xm:f>項目!A$4:$MPU20</xm:f>
          </x14:formula1>
          <xm:sqref>MQD25:MQD30</xm:sqref>
        </x14:dataValidation>
        <x14:dataValidation type="list" allowBlank="1" showInputMessage="1" showErrorMessage="1" xr:uid="{1ECE92D7-CB8F-4552-A76F-7A68F3F4F7EE}">
          <x14:formula1>
            <xm:f>項目!A$4:$MZQ20</xm:f>
          </x14:formula1>
          <xm:sqref>MZZ25:MZZ30</xm:sqref>
        </x14:dataValidation>
        <x14:dataValidation type="list" allowBlank="1" showInputMessage="1" showErrorMessage="1" xr:uid="{FF4861C3-8091-4616-AB26-D55F4C1F9058}">
          <x14:formula1>
            <xm:f>項目!A$4:$NJM20</xm:f>
          </x14:formula1>
          <xm:sqref>NJV25:NJV30</xm:sqref>
        </x14:dataValidation>
        <x14:dataValidation type="list" allowBlank="1" showInputMessage="1" showErrorMessage="1" xr:uid="{E18E3D67-7923-4D85-8F54-F0DB6C8891A0}">
          <x14:formula1>
            <xm:f>項目!A$4:$NTI20</xm:f>
          </x14:formula1>
          <xm:sqref>NTR25:NTR30</xm:sqref>
        </x14:dataValidation>
        <x14:dataValidation type="list" allowBlank="1" showInputMessage="1" showErrorMessage="1" xr:uid="{F1685C47-07A2-4A65-826A-AB8906391715}">
          <x14:formula1>
            <xm:f>項目!A$4:$ODE20</xm:f>
          </x14:formula1>
          <xm:sqref>ODN25:ODN30</xm:sqref>
        </x14:dataValidation>
        <x14:dataValidation type="list" allowBlank="1" showInputMessage="1" showErrorMessage="1" xr:uid="{8CFDDFF2-A927-4FB8-B769-6EB5CB1BE6F7}">
          <x14:formula1>
            <xm:f>項目!A$4:$ONA20</xm:f>
          </x14:formula1>
          <xm:sqref>ONJ25:ONJ30</xm:sqref>
        </x14:dataValidation>
        <x14:dataValidation type="list" allowBlank="1" showInputMessage="1" showErrorMessage="1" xr:uid="{E23BCCE4-79B6-4177-BEA8-AC39EE68F94B}">
          <x14:formula1>
            <xm:f>項目!A$4:$OWW20</xm:f>
          </x14:formula1>
          <xm:sqref>OXF25:OXF30</xm:sqref>
        </x14:dataValidation>
        <x14:dataValidation type="list" allowBlank="1" showInputMessage="1" showErrorMessage="1" xr:uid="{C9BBBFB2-D1AF-424D-B3B1-C3961C99B750}">
          <x14:formula1>
            <xm:f>項目!A$4:$PGS20</xm:f>
          </x14:formula1>
          <xm:sqref>PHB25:PHB30</xm:sqref>
        </x14:dataValidation>
        <x14:dataValidation type="list" allowBlank="1" showInputMessage="1" showErrorMessage="1" xr:uid="{65014670-57A2-45A7-9179-22A12B3DD8D1}">
          <x14:formula1>
            <xm:f>項目!A$4:$PQO20</xm:f>
          </x14:formula1>
          <xm:sqref>PQX25:PQX30</xm:sqref>
        </x14:dataValidation>
        <x14:dataValidation type="list" allowBlank="1" showInputMessage="1" showErrorMessage="1" xr:uid="{7AC2562C-7773-41E6-9C6F-9ECB67A61B4E}">
          <x14:formula1>
            <xm:f>項目!A$4:$QAK20</xm:f>
          </x14:formula1>
          <xm:sqref>QAT25:QAT30</xm:sqref>
        </x14:dataValidation>
        <x14:dataValidation type="list" allowBlank="1" showInputMessage="1" showErrorMessage="1" xr:uid="{490C0881-DD21-488F-81E2-0536A54B2571}">
          <x14:formula1>
            <xm:f>項目!A$4:$QKG20</xm:f>
          </x14:formula1>
          <xm:sqref>QKP25:QKP30</xm:sqref>
        </x14:dataValidation>
        <x14:dataValidation type="list" allowBlank="1" showInputMessage="1" showErrorMessage="1" xr:uid="{96ECA1F3-3EAD-47FC-ACD7-A5ED54337979}">
          <x14:formula1>
            <xm:f>項目!A$4:$QUC20</xm:f>
          </x14:formula1>
          <xm:sqref>QUL25:QUL30</xm:sqref>
        </x14:dataValidation>
        <x14:dataValidation type="list" allowBlank="1" showInputMessage="1" showErrorMessage="1" xr:uid="{F6F5A267-7EF7-4937-9594-AB7EAC3ABE06}">
          <x14:formula1>
            <xm:f>項目!A$4:$RDY20</xm:f>
          </x14:formula1>
          <xm:sqref>REH25:REH30</xm:sqref>
        </x14:dataValidation>
        <x14:dataValidation type="list" allowBlank="1" showInputMessage="1" showErrorMessage="1" xr:uid="{01119722-B630-48E5-88ED-191F2B404448}">
          <x14:formula1>
            <xm:f>項目!A$4:$RNU20</xm:f>
          </x14:formula1>
          <xm:sqref>ROD25:ROD30</xm:sqref>
        </x14:dataValidation>
        <x14:dataValidation type="list" allowBlank="1" showInputMessage="1" showErrorMessage="1" xr:uid="{F7B9C5C5-CEBC-4605-8287-31B67B775599}">
          <x14:formula1>
            <xm:f>項目!A$4:$RXQ20</xm:f>
          </x14:formula1>
          <xm:sqref>RXZ25:RXZ30</xm:sqref>
        </x14:dataValidation>
        <x14:dataValidation type="list" allowBlank="1" showInputMessage="1" showErrorMessage="1" xr:uid="{C64692D2-C028-424D-BF7E-A807B26F0B19}">
          <x14:formula1>
            <xm:f>項目!A$4:$SHM20</xm:f>
          </x14:formula1>
          <xm:sqref>SHV25:SHV30</xm:sqref>
        </x14:dataValidation>
        <x14:dataValidation type="list" allowBlank="1" showInputMessage="1" showErrorMessage="1" xr:uid="{F2DBA206-2AD4-46D1-A70D-E65E55DDA0F4}">
          <x14:formula1>
            <xm:f>項目!A$4:$SRI20</xm:f>
          </x14:formula1>
          <xm:sqref>SRR25:SRR30</xm:sqref>
        </x14:dataValidation>
        <x14:dataValidation type="list" allowBlank="1" showInputMessage="1" showErrorMessage="1" xr:uid="{C181FB8E-C3D4-4D74-99BB-3BFF1B9DE36A}">
          <x14:formula1>
            <xm:f>項目!A$4:$TBE20</xm:f>
          </x14:formula1>
          <xm:sqref>TBN25:TBN30</xm:sqref>
        </x14:dataValidation>
        <x14:dataValidation type="list" allowBlank="1" showInputMessage="1" showErrorMessage="1" xr:uid="{3043BF9B-6AFE-4AFF-90EE-FEDD62084DC4}">
          <x14:formula1>
            <xm:f>項目!A$4:$TLA20</xm:f>
          </x14:formula1>
          <xm:sqref>TLJ25:TLJ30</xm:sqref>
        </x14:dataValidation>
        <x14:dataValidation type="list" allowBlank="1" showInputMessage="1" showErrorMessage="1" xr:uid="{992CAF71-931B-4D3F-AD7B-820F02DA39D3}">
          <x14:formula1>
            <xm:f>項目!A$4:$TUW20</xm:f>
          </x14:formula1>
          <xm:sqref>TVF25:TVF30</xm:sqref>
        </x14:dataValidation>
        <x14:dataValidation type="list" allowBlank="1" showInputMessage="1" showErrorMessage="1" xr:uid="{203FEF4D-DB5F-4394-8F89-9A4E6B2C09CE}">
          <x14:formula1>
            <xm:f>項目!A$4:$UES20</xm:f>
          </x14:formula1>
          <xm:sqref>UFB25:UFB30</xm:sqref>
        </x14:dataValidation>
        <x14:dataValidation type="list" allowBlank="1" showInputMessage="1" showErrorMessage="1" xr:uid="{6032335C-2F5B-4F0A-BC80-ABC8CF76C289}">
          <x14:formula1>
            <xm:f>項目!A$4:$UOO20</xm:f>
          </x14:formula1>
          <xm:sqref>UOX25:UOX30</xm:sqref>
        </x14:dataValidation>
        <x14:dataValidation type="list" allowBlank="1" showInputMessage="1" showErrorMessage="1" xr:uid="{2117137E-99E8-406F-BC55-08D80B7A690C}">
          <x14:formula1>
            <xm:f>項目!A$4:$UYK20</xm:f>
          </x14:formula1>
          <xm:sqref>UYT25:UYT30</xm:sqref>
        </x14:dataValidation>
        <x14:dataValidation type="list" allowBlank="1" showInputMessage="1" showErrorMessage="1" xr:uid="{0535EDA7-7850-4A09-80D9-F785864D074F}">
          <x14:formula1>
            <xm:f>項目!A$4:$VIG20</xm:f>
          </x14:formula1>
          <xm:sqref>VIP25:VIP30</xm:sqref>
        </x14:dataValidation>
        <x14:dataValidation type="list" allowBlank="1" showInputMessage="1" showErrorMessage="1" xr:uid="{0A78FEAE-D803-43C8-8A20-070F71CEF956}">
          <x14:formula1>
            <xm:f>項目!A$4:$VSC20</xm:f>
          </x14:formula1>
          <xm:sqref>VSL25:VSL30</xm:sqref>
        </x14:dataValidation>
        <x14:dataValidation type="list" allowBlank="1" showInputMessage="1" showErrorMessage="1" xr:uid="{543CBC5D-ABB8-4529-834A-415525015A51}">
          <x14:formula1>
            <xm:f>項目!A$4:$WBY20</xm:f>
          </x14:formula1>
          <xm:sqref>WCH25:WCH30</xm:sqref>
        </x14:dataValidation>
        <x14:dataValidation type="list" allowBlank="1" showInputMessage="1" showErrorMessage="1" xr:uid="{0A8B1B6D-4DC3-4350-99FC-793FA93BA97C}">
          <x14:formula1>
            <xm:f>項目!A$4:$WLU20</xm:f>
          </x14:formula1>
          <xm:sqref>WMD25:WMD30</xm:sqref>
        </x14:dataValidation>
        <x14:dataValidation type="list" allowBlank="1" showInputMessage="1" showErrorMessage="1" xr:uid="{EDF1BCC7-32D0-4002-B45B-3D6F524ECF40}">
          <x14:formula1>
            <xm:f>項目!A$4:$WVQ20</xm:f>
          </x14:formula1>
          <xm:sqref>WVZ25:WVZ30</xm:sqref>
        </x14:dataValidation>
        <x14:dataValidation type="list" allowBlank="1" showInputMessage="1" showErrorMessage="1" xr:uid="{5A496306-1755-486E-9722-50ADD52C566E}">
          <x14:formula1>
            <xm:f>項目!A$4:$ACK20</xm:f>
          </x14:formula1>
          <xm:sqref>ACT25:ACT30</xm:sqref>
        </x14:dataValidation>
        <x14:dataValidation type="list" allowBlank="1" showInputMessage="1" showErrorMessage="1" xr:uid="{D4D6BF31-2FBC-481F-9B4C-68676B4D0F60}">
          <x14:formula1>
            <xm:f>項目!A$4:$JI20</xm:f>
          </x14:formula1>
          <xm:sqref>JR25:JR30</xm:sqref>
        </x14:dataValidation>
        <x14:dataValidation type="list" allowBlank="1" showInputMessage="1" showErrorMessage="1" xr:uid="{7EFB89C4-3727-40F0-A40B-AEF3E12FB919}">
          <x14:formula1>
            <xm:f>項目!A$4:$TE20</xm:f>
          </x14:formula1>
          <xm:sqref>TN25:TN30</xm:sqref>
        </x14:dataValidation>
        <x14:dataValidation type="list" allowBlank="1" showInputMessage="1" showErrorMessage="1" xr:uid="{6E030B9E-DFCC-4958-909F-8E21A081A9BF}">
          <x14:formula1>
            <xm:f>項目!A$4:$ADA20</xm:f>
          </x14:formula1>
          <xm:sqref>ADJ25:ADJ30</xm:sqref>
        </x14:dataValidation>
        <x14:dataValidation type="list" allowBlank="1" showInputMessage="1" showErrorMessage="1" xr:uid="{5D1A24EB-C78C-4E5C-B5DE-34389F00A5C4}">
          <x14:formula1>
            <xm:f>項目!A$4:$AMW20</xm:f>
          </x14:formula1>
          <xm:sqref>ANF25:ANF30</xm:sqref>
        </x14:dataValidation>
        <x14:dataValidation type="list" allowBlank="1" showInputMessage="1" showErrorMessage="1" xr:uid="{EF10B59D-9537-46DE-AA15-BBB98D6D87DE}">
          <x14:formula1>
            <xm:f>項目!A$4:$AWS20</xm:f>
          </x14:formula1>
          <xm:sqref>AXB25:AXB30</xm:sqref>
        </x14:dataValidation>
        <x14:dataValidation type="list" allowBlank="1" showInputMessage="1" showErrorMessage="1" xr:uid="{9DF73C69-6217-41F9-80DA-E47DF571321F}">
          <x14:formula1>
            <xm:f>項目!A$4:$BGO20</xm:f>
          </x14:formula1>
          <xm:sqref>BGX25:BGX30</xm:sqref>
        </x14:dataValidation>
        <x14:dataValidation type="list" allowBlank="1" showInputMessage="1" showErrorMessage="1" xr:uid="{0E958260-71EF-4338-9E70-A6893E8138FE}">
          <x14:formula1>
            <xm:f>項目!A$4:$BQK20</xm:f>
          </x14:formula1>
          <xm:sqref>BQT25:BQT30</xm:sqref>
        </x14:dataValidation>
        <x14:dataValidation type="list" allowBlank="1" showInputMessage="1" showErrorMessage="1" xr:uid="{541C365B-99C1-44EC-B7D5-5619888743A5}">
          <x14:formula1>
            <xm:f>項目!A$4:$CAG20</xm:f>
          </x14:formula1>
          <xm:sqref>CAP25:CAP30</xm:sqref>
        </x14:dataValidation>
        <x14:dataValidation type="list" allowBlank="1" showInputMessage="1" showErrorMessage="1" xr:uid="{B9F49288-83FB-4D97-BDA0-2BC7AA87C575}">
          <x14:formula1>
            <xm:f>項目!A$4:$CKC20</xm:f>
          </x14:formula1>
          <xm:sqref>CKL25:CKL30</xm:sqref>
        </x14:dataValidation>
        <x14:dataValidation type="list" allowBlank="1" showInputMessage="1" showErrorMessage="1" xr:uid="{14F0F4D7-6F6B-4317-A666-B57E2B6C1694}">
          <x14:formula1>
            <xm:f>項目!A$4:$CTY20</xm:f>
          </x14:formula1>
          <xm:sqref>CUH25:CUH30</xm:sqref>
        </x14:dataValidation>
        <x14:dataValidation type="list" allowBlank="1" showInputMessage="1" showErrorMessage="1" xr:uid="{B98698E3-3489-4EE1-9C6E-F4613D28C986}">
          <x14:formula1>
            <xm:f>項目!A$4:$DDU20</xm:f>
          </x14:formula1>
          <xm:sqref>DED25:DED30</xm:sqref>
        </x14:dataValidation>
        <x14:dataValidation type="list" allowBlank="1" showInputMessage="1" showErrorMessage="1" xr:uid="{3389AB10-D748-41FF-8B90-74779CD934C9}">
          <x14:formula1>
            <xm:f>項目!A$4:$DNQ20</xm:f>
          </x14:formula1>
          <xm:sqref>DNZ25:DNZ30</xm:sqref>
        </x14:dataValidation>
        <x14:dataValidation type="list" allowBlank="1" showInputMessage="1" showErrorMessage="1" xr:uid="{DB7D2E47-86F9-4A00-8C54-D8270CA32FAB}">
          <x14:formula1>
            <xm:f>項目!A$4:$DXM20</xm:f>
          </x14:formula1>
          <xm:sqref>DXV25:DXV30</xm:sqref>
        </x14:dataValidation>
        <x14:dataValidation type="list" allowBlank="1" showInputMessage="1" showErrorMessage="1" xr:uid="{84F3729D-D770-4856-86CA-3A93F6C68E6D}">
          <x14:formula1>
            <xm:f>項目!A$4:$EHI20</xm:f>
          </x14:formula1>
          <xm:sqref>EHR25:EHR30</xm:sqref>
        </x14:dataValidation>
        <x14:dataValidation type="list" allowBlank="1" showInputMessage="1" showErrorMessage="1" xr:uid="{EDF65B51-0EA0-472E-8583-D5A5BD46BAF0}">
          <x14:formula1>
            <xm:f>項目!A$4:$ERE20</xm:f>
          </x14:formula1>
          <xm:sqref>ERN25:ERN30</xm:sqref>
        </x14:dataValidation>
        <x14:dataValidation type="list" allowBlank="1" showInputMessage="1" showErrorMessage="1" xr:uid="{7F147C05-1B3E-419C-9184-2F1C9C200437}">
          <x14:formula1>
            <xm:f>項目!A$4:$FBA20</xm:f>
          </x14:formula1>
          <xm:sqref>FBJ25:FBJ30</xm:sqref>
        </x14:dataValidation>
        <x14:dataValidation type="list" allowBlank="1" showInputMessage="1" showErrorMessage="1" xr:uid="{82AFFA79-EFC9-477B-ACB0-BDF20A1DB5B2}">
          <x14:formula1>
            <xm:f>項目!A$4:$FKW20</xm:f>
          </x14:formula1>
          <xm:sqref>FLF25:FLF30</xm:sqref>
        </x14:dataValidation>
        <x14:dataValidation type="list" allowBlank="1" showInputMessage="1" showErrorMessage="1" xr:uid="{08C87BAA-FD2E-4B9E-8818-C104CAE42E0A}">
          <x14:formula1>
            <xm:f>項目!A$4:$FUS20</xm:f>
          </x14:formula1>
          <xm:sqref>FVB25:FVB30</xm:sqref>
        </x14:dataValidation>
        <x14:dataValidation type="list" allowBlank="1" showInputMessage="1" showErrorMessage="1" xr:uid="{38D90430-AC92-47EC-8716-126B5FA504B3}">
          <x14:formula1>
            <xm:f>項目!A$4:$GEO20</xm:f>
          </x14:formula1>
          <xm:sqref>GEX25:GEX30</xm:sqref>
        </x14:dataValidation>
        <x14:dataValidation type="list" allowBlank="1" showInputMessage="1" showErrorMessage="1" xr:uid="{66A508B8-305C-4F92-B547-BE526BCB3E9F}">
          <x14:formula1>
            <xm:f>項目!A$4:$GOK20</xm:f>
          </x14:formula1>
          <xm:sqref>GOT25:GOT30</xm:sqref>
        </x14:dataValidation>
        <x14:dataValidation type="list" allowBlank="1" showInputMessage="1" showErrorMessage="1" xr:uid="{10DFD5C0-397D-415A-8BFF-2F88DA2ECA54}">
          <x14:formula1>
            <xm:f>項目!A$4:$GYG20</xm:f>
          </x14:formula1>
          <xm:sqref>GYP25:GYP30</xm:sqref>
        </x14:dataValidation>
        <x14:dataValidation type="list" allowBlank="1" showInputMessage="1" showErrorMessage="1" xr:uid="{62ECFE8D-58D0-4E51-8514-B07C834032D3}">
          <x14:formula1>
            <xm:f>項目!A$4:$HIC20</xm:f>
          </x14:formula1>
          <xm:sqref>HIL25:HIL30</xm:sqref>
        </x14:dataValidation>
        <x14:dataValidation type="list" allowBlank="1" showInputMessage="1" showErrorMessage="1" xr:uid="{06C89E0D-2203-4E76-A0CF-86981FDBBEB0}">
          <x14:formula1>
            <xm:f>項目!A$4:$HRY20</xm:f>
          </x14:formula1>
          <xm:sqref>HSH25:HSH30</xm:sqref>
        </x14:dataValidation>
        <x14:dataValidation type="list" allowBlank="1" showInputMessage="1" showErrorMessage="1" xr:uid="{605DC406-138E-4E13-88B6-16337F6C5E67}">
          <x14:formula1>
            <xm:f>項目!A$4:$IBU20</xm:f>
          </x14:formula1>
          <xm:sqref>ICD25:ICD30</xm:sqref>
        </x14:dataValidation>
        <x14:dataValidation type="list" allowBlank="1" showInputMessage="1" showErrorMessage="1" xr:uid="{614697FD-6C0E-4E6D-BB1D-A532E1A83357}">
          <x14:formula1>
            <xm:f>項目!A$4:$ILQ20</xm:f>
          </x14:formula1>
          <xm:sqref>ILZ25:ILZ30</xm:sqref>
        </x14:dataValidation>
        <x14:dataValidation type="list" allowBlank="1" showInputMessage="1" showErrorMessage="1" xr:uid="{1EC8816C-7A09-4326-A726-04F031BF875F}">
          <x14:formula1>
            <xm:f>項目!A$4:$IVM20</xm:f>
          </x14:formula1>
          <xm:sqref>IVV25:IVV30</xm:sqref>
        </x14:dataValidation>
        <x14:dataValidation type="list" allowBlank="1" showInputMessage="1" showErrorMessage="1" xr:uid="{9285EA9A-5E75-4404-9FE6-A6A4E6C6C883}">
          <x14:formula1>
            <xm:f>項目!A$4:$JFI20</xm:f>
          </x14:formula1>
          <xm:sqref>JFR25:JFR30</xm:sqref>
        </x14:dataValidation>
        <x14:dataValidation type="list" allowBlank="1" showInputMessage="1" showErrorMessage="1" xr:uid="{88540646-F8E6-4299-B955-243A57A8ED5B}">
          <x14:formula1>
            <xm:f>項目!A$4:$JPE20</xm:f>
          </x14:formula1>
          <xm:sqref>JPN25:JPN30</xm:sqref>
        </x14:dataValidation>
        <x14:dataValidation type="list" allowBlank="1" showInputMessage="1" showErrorMessage="1" xr:uid="{FA35ECAA-6020-4D85-A65E-1E9527935E7A}">
          <x14:formula1>
            <xm:f>項目!A$4:$JZA20</xm:f>
          </x14:formula1>
          <xm:sqref>JZJ25:JZJ30</xm:sqref>
        </x14:dataValidation>
        <x14:dataValidation type="list" allowBlank="1" showInputMessage="1" showErrorMessage="1" xr:uid="{56FB13E6-8DBF-4339-BEFF-FB1BBFF9B9FB}">
          <x14:formula1>
            <xm:f>項目!A$4:$KIW20</xm:f>
          </x14:formula1>
          <xm:sqref>KJF25:KJF30</xm:sqref>
        </x14:dataValidation>
        <x14:dataValidation type="list" allowBlank="1" showInputMessage="1" showErrorMessage="1" xr:uid="{DDFD5FBF-AF99-48A0-B33B-722FB07F2A83}">
          <x14:formula1>
            <xm:f>項目!A$4:$KSS20</xm:f>
          </x14:formula1>
          <xm:sqref>KTB25:KTB30</xm:sqref>
        </x14:dataValidation>
        <x14:dataValidation type="list" allowBlank="1" showInputMessage="1" showErrorMessage="1" xr:uid="{3138E207-E094-4799-BB31-CE3C5BEF854E}">
          <x14:formula1>
            <xm:f>項目!A$4:$LCO20</xm:f>
          </x14:formula1>
          <xm:sqref>LCX25:LCX30</xm:sqref>
        </x14:dataValidation>
        <x14:dataValidation type="list" allowBlank="1" showInputMessage="1" showErrorMessage="1" xr:uid="{D47A1FAB-1B64-496D-8B49-0B7EB5C892EB}">
          <x14:formula1>
            <xm:f>項目!A$4:$LMK20</xm:f>
          </x14:formula1>
          <xm:sqref>LMT25:LMT30</xm:sqref>
        </x14:dataValidation>
        <x14:dataValidation type="list" allowBlank="1" showInputMessage="1" showErrorMessage="1" xr:uid="{679B5BE3-EAC3-4E06-AB46-2CD3037CDC32}">
          <x14:formula1>
            <xm:f>項目!A$4:$LWG20</xm:f>
          </x14:formula1>
          <xm:sqref>LWP25:LWP30</xm:sqref>
        </x14:dataValidation>
        <x14:dataValidation type="list" allowBlank="1" showInputMessage="1" showErrorMessage="1" xr:uid="{4A54087A-BB6B-488E-BC79-7A51973D7AEB}">
          <x14:formula1>
            <xm:f>項目!A$4:$MGC20</xm:f>
          </x14:formula1>
          <xm:sqref>MGL25:MGL30</xm:sqref>
        </x14:dataValidation>
        <x14:dataValidation type="list" allowBlank="1" showInputMessage="1" showErrorMessage="1" xr:uid="{763C360F-F0E7-4D5E-90F1-6E4F9958DCC6}">
          <x14:formula1>
            <xm:f>項目!A$4:$MPY20</xm:f>
          </x14:formula1>
          <xm:sqref>MQH25:MQH30</xm:sqref>
        </x14:dataValidation>
        <x14:dataValidation type="list" allowBlank="1" showInputMessage="1" showErrorMessage="1" xr:uid="{13F590AA-8365-42A9-9936-AB97B7E5C6AD}">
          <x14:formula1>
            <xm:f>項目!A$4:$MZU20</xm:f>
          </x14:formula1>
          <xm:sqref>NAD25:NAD30</xm:sqref>
        </x14:dataValidation>
        <x14:dataValidation type="list" allowBlank="1" showInputMessage="1" showErrorMessage="1" xr:uid="{AEFBC843-8DF3-4D00-8C69-916918C42A98}">
          <x14:formula1>
            <xm:f>項目!A$4:$NJQ20</xm:f>
          </x14:formula1>
          <xm:sqref>NJZ25:NJZ30</xm:sqref>
        </x14:dataValidation>
        <x14:dataValidation type="list" allowBlank="1" showInputMessage="1" showErrorMessage="1" xr:uid="{3899213F-C11D-4044-A77E-3691EE01A3EA}">
          <x14:formula1>
            <xm:f>項目!A$4:$NTM20</xm:f>
          </x14:formula1>
          <xm:sqref>NTV25:NTV30</xm:sqref>
        </x14:dataValidation>
        <x14:dataValidation type="list" allowBlank="1" showInputMessage="1" showErrorMessage="1" xr:uid="{0575093B-A2BA-439A-8E39-331394F1E0D8}">
          <x14:formula1>
            <xm:f>項目!A$4:$ODI20</xm:f>
          </x14:formula1>
          <xm:sqref>ODR25:ODR30</xm:sqref>
        </x14:dataValidation>
        <x14:dataValidation type="list" allowBlank="1" showInputMessage="1" showErrorMessage="1" xr:uid="{356DF1A2-9F25-4C47-822B-82B2275AFEED}">
          <x14:formula1>
            <xm:f>項目!A$4:$ONE20</xm:f>
          </x14:formula1>
          <xm:sqref>ONN25:ONN30</xm:sqref>
        </x14:dataValidation>
        <x14:dataValidation type="list" allowBlank="1" showInputMessage="1" showErrorMessage="1" xr:uid="{C183A044-8A18-4B11-9CF8-84F2FC83BA9B}">
          <x14:formula1>
            <xm:f>項目!A$4:$OXA20</xm:f>
          </x14:formula1>
          <xm:sqref>OXJ25:OXJ30</xm:sqref>
        </x14:dataValidation>
        <x14:dataValidation type="list" allowBlank="1" showInputMessage="1" showErrorMessage="1" xr:uid="{BE8C21C7-5B9E-43BD-AEED-3569E20B588B}">
          <x14:formula1>
            <xm:f>項目!A$4:$PGW20</xm:f>
          </x14:formula1>
          <xm:sqref>PHF25:PHF30</xm:sqref>
        </x14:dataValidation>
        <x14:dataValidation type="list" allowBlank="1" showInputMessage="1" showErrorMessage="1" xr:uid="{09CAC1B0-7265-499A-80D9-7D241D1FDD6A}">
          <x14:formula1>
            <xm:f>項目!A$4:$PQS20</xm:f>
          </x14:formula1>
          <xm:sqref>PRB25:PRB30</xm:sqref>
        </x14:dataValidation>
        <x14:dataValidation type="list" allowBlank="1" showInputMessage="1" showErrorMessage="1" xr:uid="{88CB2EFA-07BE-480F-A1D2-0789A1CB1ED2}">
          <x14:formula1>
            <xm:f>項目!A$4:$QAO20</xm:f>
          </x14:formula1>
          <xm:sqref>QAX25:QAX30</xm:sqref>
        </x14:dataValidation>
        <x14:dataValidation type="list" allowBlank="1" showInputMessage="1" showErrorMessage="1" xr:uid="{CCA2CD41-3B03-4496-A8A0-44EA94AB67D0}">
          <x14:formula1>
            <xm:f>項目!A$4:$QKK20</xm:f>
          </x14:formula1>
          <xm:sqref>QKT25:QKT30</xm:sqref>
        </x14:dataValidation>
        <x14:dataValidation type="list" allowBlank="1" showInputMessage="1" showErrorMessage="1" xr:uid="{EF48133C-5B41-457C-AB84-096F25F82849}">
          <x14:formula1>
            <xm:f>項目!A$4:$QUG20</xm:f>
          </x14:formula1>
          <xm:sqref>QUP25:QUP30</xm:sqref>
        </x14:dataValidation>
        <x14:dataValidation type="list" allowBlank="1" showInputMessage="1" showErrorMessage="1" xr:uid="{33F1C4B1-7FF5-47CA-9102-729D606F5565}">
          <x14:formula1>
            <xm:f>項目!A$4:$REC20</xm:f>
          </x14:formula1>
          <xm:sqref>REL25:REL30</xm:sqref>
        </x14:dataValidation>
        <x14:dataValidation type="list" allowBlank="1" showInputMessage="1" showErrorMessage="1" xr:uid="{DCC4D736-D029-4DDD-B413-4CB4215246BC}">
          <x14:formula1>
            <xm:f>項目!A$4:$RNY20</xm:f>
          </x14:formula1>
          <xm:sqref>ROH25:ROH30</xm:sqref>
        </x14:dataValidation>
        <x14:dataValidation type="list" allowBlank="1" showInputMessage="1" showErrorMessage="1" xr:uid="{3BF842A7-3D4A-4E75-A243-2AFFB3923E35}">
          <x14:formula1>
            <xm:f>項目!A$4:$RXU20</xm:f>
          </x14:formula1>
          <xm:sqref>RYD25:RYD30</xm:sqref>
        </x14:dataValidation>
        <x14:dataValidation type="list" allowBlank="1" showInputMessage="1" showErrorMessage="1" xr:uid="{DCB1C02A-16AA-4F50-862A-338D4B6E2EAE}">
          <x14:formula1>
            <xm:f>項目!A$4:$SHQ20</xm:f>
          </x14:formula1>
          <xm:sqref>SHZ25:SHZ30</xm:sqref>
        </x14:dataValidation>
        <x14:dataValidation type="list" allowBlank="1" showInputMessage="1" showErrorMessage="1" xr:uid="{34B25073-2659-436F-9745-FF5730953CDF}">
          <x14:formula1>
            <xm:f>項目!A$4:$SRM20</xm:f>
          </x14:formula1>
          <xm:sqref>SRV25:SRV30</xm:sqref>
        </x14:dataValidation>
        <x14:dataValidation type="list" allowBlank="1" showInputMessage="1" showErrorMessage="1" xr:uid="{8EDA59FB-2D48-43C3-9FC4-0D70979E32FB}">
          <x14:formula1>
            <xm:f>項目!A$4:$TBI20</xm:f>
          </x14:formula1>
          <xm:sqref>TBR25:TBR30</xm:sqref>
        </x14:dataValidation>
        <x14:dataValidation type="list" allowBlank="1" showInputMessage="1" showErrorMessage="1" xr:uid="{CB7ECC3F-124D-440B-8976-92561D5D6689}">
          <x14:formula1>
            <xm:f>項目!A$4:$TLE20</xm:f>
          </x14:formula1>
          <xm:sqref>TLN25:TLN30</xm:sqref>
        </x14:dataValidation>
        <x14:dataValidation type="list" allowBlank="1" showInputMessage="1" showErrorMessage="1" xr:uid="{2BDD3E4A-011B-4227-8263-649371740318}">
          <x14:formula1>
            <xm:f>項目!A$4:$TVA20</xm:f>
          </x14:formula1>
          <xm:sqref>TVJ25:TVJ30</xm:sqref>
        </x14:dataValidation>
        <x14:dataValidation type="list" allowBlank="1" showInputMessage="1" showErrorMessage="1" xr:uid="{7EEE0D88-FF68-4104-B9D4-1F1C0800AE8B}">
          <x14:formula1>
            <xm:f>項目!A$4:$UEW20</xm:f>
          </x14:formula1>
          <xm:sqref>UFF25:UFF30</xm:sqref>
        </x14:dataValidation>
        <x14:dataValidation type="list" allowBlank="1" showInputMessage="1" showErrorMessage="1" xr:uid="{F7AFD9C5-CCC6-4496-9E0E-B42D6162FE0B}">
          <x14:formula1>
            <xm:f>項目!A$4:$UOS20</xm:f>
          </x14:formula1>
          <xm:sqref>UPB25:UPB30</xm:sqref>
        </x14:dataValidation>
        <x14:dataValidation type="list" allowBlank="1" showInputMessage="1" showErrorMessage="1" xr:uid="{BA1CDEA1-DB08-4FFE-943E-5807925C9572}">
          <x14:formula1>
            <xm:f>項目!A$4:$UYO20</xm:f>
          </x14:formula1>
          <xm:sqref>UYX25:UYX30</xm:sqref>
        </x14:dataValidation>
        <x14:dataValidation type="list" allowBlank="1" showInputMessage="1" showErrorMessage="1" xr:uid="{165DD681-A1F7-4774-B1AA-97D3B3EAA927}">
          <x14:formula1>
            <xm:f>項目!A$4:$VIK20</xm:f>
          </x14:formula1>
          <xm:sqref>VIT25:VIT30</xm:sqref>
        </x14:dataValidation>
        <x14:dataValidation type="list" allowBlank="1" showInputMessage="1" showErrorMessage="1" xr:uid="{D886B0A4-EB14-44D8-9F2A-A33181B99037}">
          <x14:formula1>
            <xm:f>項目!A$4:$VSG20</xm:f>
          </x14:formula1>
          <xm:sqref>VSP25:VSP30</xm:sqref>
        </x14:dataValidation>
        <x14:dataValidation type="list" allowBlank="1" showInputMessage="1" showErrorMessage="1" xr:uid="{EF24E7BC-F83D-439C-8A89-81B10FD2B232}">
          <x14:formula1>
            <xm:f>項目!A$4:$WCC20</xm:f>
          </x14:formula1>
          <xm:sqref>WCL25:WCL30</xm:sqref>
        </x14:dataValidation>
        <x14:dataValidation type="list" allowBlank="1" showInputMessage="1" showErrorMessage="1" xr:uid="{4BFBE630-F689-4F97-A083-449FB5546CCE}">
          <x14:formula1>
            <xm:f>項目!A$4:$WLY20</xm:f>
          </x14:formula1>
          <xm:sqref>WMH25:WMH30</xm:sqref>
        </x14:dataValidation>
        <x14:dataValidation type="list" allowBlank="1" showInputMessage="1" showErrorMessage="1" xr:uid="{6E47A95B-6234-4994-8C45-EBEB68ECED91}">
          <x14:formula1>
            <xm:f>項目!A$4:$WVU20</xm:f>
          </x14:formula1>
          <xm:sqref>WWD25:WWD30</xm:sqref>
        </x14:dataValidation>
        <x14:dataValidation type="list" allowBlank="1" showInputMessage="1" showErrorMessage="1" xr:uid="{B42AAF5F-5672-4B92-A462-BD398E0B3220}">
          <x14:formula1>
            <xm:f>項目!C1:$AMI$17</xm:f>
          </x14:formula1>
          <xm:sqref>AMQ5:AMQ23</xm:sqref>
        </x14:dataValidation>
        <x14:dataValidation type="list" allowBlank="1" showInputMessage="1" showErrorMessage="1" xr:uid="{E55EC369-884B-4974-93F3-1D284C89476F}">
          <x14:formula1>
            <xm:f>項目!C$17:$AMI19</xm:f>
          </x14:formula1>
          <xm:sqref>AMQ24</xm:sqref>
        </x14:dataValidation>
        <x14:dataValidation type="list" allowBlank="1" showInputMessage="1" showErrorMessage="1" xr:uid="{076F0B93-8181-48DB-A9F9-49870F60A0BC}">
          <x14:formula1>
            <xm:f>項目!C1:$AWE$17</xm:f>
          </x14:formula1>
          <xm:sqref>AWM5:AWM23</xm:sqref>
        </x14:dataValidation>
        <x14:dataValidation type="list" allowBlank="1" showInputMessage="1" showErrorMessage="1" xr:uid="{E7C04E9D-D6E3-4009-95D4-5988EDE8D190}">
          <x14:formula1>
            <xm:f>項目!C$17:$AWE19</xm:f>
          </x14:formula1>
          <xm:sqref>AWM24</xm:sqref>
        </x14:dataValidation>
        <x14:dataValidation type="list" allowBlank="1" showInputMessage="1" showErrorMessage="1" xr:uid="{1E52308C-4EC6-428D-B8F3-6E0EF1B61E5F}">
          <x14:formula1>
            <xm:f>項目!C1:$BGA$17</xm:f>
          </x14:formula1>
          <xm:sqref>BGI5:BGI23</xm:sqref>
        </x14:dataValidation>
        <x14:dataValidation type="list" allowBlank="1" showInputMessage="1" showErrorMessage="1" xr:uid="{EA7E8E77-71D2-42F3-8F7A-B2CA692272DC}">
          <x14:formula1>
            <xm:f>項目!C$17:$BGA19</xm:f>
          </x14:formula1>
          <xm:sqref>BGI24</xm:sqref>
        </x14:dataValidation>
        <x14:dataValidation type="list" allowBlank="1" showInputMessage="1" showErrorMessage="1" xr:uid="{308E9126-6EB7-41A7-9751-C889297387E2}">
          <x14:formula1>
            <xm:f>項目!C1:$BPW$17</xm:f>
          </x14:formula1>
          <xm:sqref>BQE5:BQE23</xm:sqref>
        </x14:dataValidation>
        <x14:dataValidation type="list" allowBlank="1" showInputMessage="1" showErrorMessage="1" xr:uid="{AA2A7D62-0A2B-4440-B9B0-BF358F36342B}">
          <x14:formula1>
            <xm:f>項目!C$17:$BPW19</xm:f>
          </x14:formula1>
          <xm:sqref>BQE24</xm:sqref>
        </x14:dataValidation>
        <x14:dataValidation type="list" allowBlank="1" showInputMessage="1" showErrorMessage="1" xr:uid="{6A727FE6-49CE-4D79-95BF-A11C6278BED9}">
          <x14:formula1>
            <xm:f>項目!C1:$BZS$17</xm:f>
          </x14:formula1>
          <xm:sqref>CAA5:CAA23</xm:sqref>
        </x14:dataValidation>
        <x14:dataValidation type="list" allowBlank="1" showInputMessage="1" showErrorMessage="1" xr:uid="{8F65D470-A431-4927-BFC1-5749C0E54758}">
          <x14:formula1>
            <xm:f>項目!C$17:$BZS19</xm:f>
          </x14:formula1>
          <xm:sqref>CAA24</xm:sqref>
        </x14:dataValidation>
        <x14:dataValidation type="list" allowBlank="1" showInputMessage="1" showErrorMessage="1" xr:uid="{8506B311-2F6E-4661-A17D-E4136510504C}">
          <x14:formula1>
            <xm:f>項目!C1:$CJO$17</xm:f>
          </x14:formula1>
          <xm:sqref>CJW5:CJW23</xm:sqref>
        </x14:dataValidation>
        <x14:dataValidation type="list" allowBlank="1" showInputMessage="1" showErrorMessage="1" xr:uid="{D679DC04-7FAE-4E3B-88DA-2E96450595AD}">
          <x14:formula1>
            <xm:f>項目!C$17:$CJO19</xm:f>
          </x14:formula1>
          <xm:sqref>CJW24</xm:sqref>
        </x14:dataValidation>
        <x14:dataValidation type="list" allowBlank="1" showInputMessage="1" showErrorMessage="1" xr:uid="{66EEEFED-D12A-41A7-9B51-AD6A203E8498}">
          <x14:formula1>
            <xm:f>項目!C1:$CTK$17</xm:f>
          </x14:formula1>
          <xm:sqref>CTS5:CTS23</xm:sqref>
        </x14:dataValidation>
        <x14:dataValidation type="list" allowBlank="1" showInputMessage="1" showErrorMessage="1" xr:uid="{0B6D4CA3-D83B-4473-91DB-62F034C1F81B}">
          <x14:formula1>
            <xm:f>項目!C$17:$CTK19</xm:f>
          </x14:formula1>
          <xm:sqref>CTS24</xm:sqref>
        </x14:dataValidation>
        <x14:dataValidation type="list" allowBlank="1" showInputMessage="1" showErrorMessage="1" xr:uid="{32DEC397-979B-4A63-A397-2A5D8522E0E2}">
          <x14:formula1>
            <xm:f>項目!C1:$DDG$17</xm:f>
          </x14:formula1>
          <xm:sqref>DDO5:DDO23</xm:sqref>
        </x14:dataValidation>
        <x14:dataValidation type="list" allowBlank="1" showInputMessage="1" showErrorMessage="1" xr:uid="{C91BB101-8D93-45E4-981B-41FD261CB7DD}">
          <x14:formula1>
            <xm:f>項目!C$17:$DDG19</xm:f>
          </x14:formula1>
          <xm:sqref>DDO24</xm:sqref>
        </x14:dataValidation>
        <x14:dataValidation type="list" allowBlank="1" showInputMessage="1" showErrorMessage="1" xr:uid="{39C37643-A3E2-4C8A-8764-0D83A9B2BC68}">
          <x14:formula1>
            <xm:f>項目!C1:$DNC$17</xm:f>
          </x14:formula1>
          <xm:sqref>DNK5:DNK23</xm:sqref>
        </x14:dataValidation>
        <x14:dataValidation type="list" allowBlank="1" showInputMessage="1" showErrorMessage="1" xr:uid="{E420E2A0-BC0D-4D3E-A59D-74CAF8D369F0}">
          <x14:formula1>
            <xm:f>項目!C$17:$DNC19</xm:f>
          </x14:formula1>
          <xm:sqref>DNK24</xm:sqref>
        </x14:dataValidation>
        <x14:dataValidation type="list" allowBlank="1" showInputMessage="1" showErrorMessage="1" xr:uid="{46C33BD2-4B43-47D2-A8FD-F4ED587E45FD}">
          <x14:formula1>
            <xm:f>項目!C1:$DWY$17</xm:f>
          </x14:formula1>
          <xm:sqref>DXG5:DXG23</xm:sqref>
        </x14:dataValidation>
        <x14:dataValidation type="list" allowBlank="1" showInputMessage="1" showErrorMessage="1" xr:uid="{5AE7274A-E049-418B-8E79-CBE16788B7E3}">
          <x14:formula1>
            <xm:f>項目!C$17:$DWY19</xm:f>
          </x14:formula1>
          <xm:sqref>DXG24</xm:sqref>
        </x14:dataValidation>
        <x14:dataValidation type="list" allowBlank="1" showInputMessage="1" showErrorMessage="1" xr:uid="{30B9D2F9-4862-4393-A5D9-C3F42EDAE6DC}">
          <x14:formula1>
            <xm:f>項目!C1:$EGU$17</xm:f>
          </x14:formula1>
          <xm:sqref>EHC5:EHC23</xm:sqref>
        </x14:dataValidation>
        <x14:dataValidation type="list" allowBlank="1" showInputMessage="1" showErrorMessage="1" xr:uid="{D948247B-F623-4C9C-B72D-2912CB8C0D83}">
          <x14:formula1>
            <xm:f>項目!C$17:$EGU19</xm:f>
          </x14:formula1>
          <xm:sqref>EHC24</xm:sqref>
        </x14:dataValidation>
        <x14:dataValidation type="list" allowBlank="1" showInputMessage="1" showErrorMessage="1" xr:uid="{08FEEFC2-BF41-488E-8923-AB70AE32CBD8}">
          <x14:formula1>
            <xm:f>項目!C1:$EQQ$17</xm:f>
          </x14:formula1>
          <xm:sqref>EQY5:EQY23</xm:sqref>
        </x14:dataValidation>
        <x14:dataValidation type="list" allowBlank="1" showInputMessage="1" showErrorMessage="1" xr:uid="{C6651865-CA7D-4123-AA7D-EC6D62E1E03B}">
          <x14:formula1>
            <xm:f>項目!C$17:$EQQ19</xm:f>
          </x14:formula1>
          <xm:sqref>EQY24</xm:sqref>
        </x14:dataValidation>
        <x14:dataValidation type="list" allowBlank="1" showInputMessage="1" showErrorMessage="1" xr:uid="{177244A5-9419-4B51-AA94-5AB917F66E97}">
          <x14:formula1>
            <xm:f>項目!C1:$FAM$17</xm:f>
          </x14:formula1>
          <xm:sqref>FAU5:FAU23</xm:sqref>
        </x14:dataValidation>
        <x14:dataValidation type="list" allowBlank="1" showInputMessage="1" showErrorMessage="1" xr:uid="{E0127A02-149A-4761-949F-FBC814B5CBB6}">
          <x14:formula1>
            <xm:f>項目!C$17:$FAM19</xm:f>
          </x14:formula1>
          <xm:sqref>FAU24</xm:sqref>
        </x14:dataValidation>
        <x14:dataValidation type="list" allowBlank="1" showInputMessage="1" showErrorMessage="1" xr:uid="{F2547E90-6A27-4149-9F4C-ADB3119B670C}">
          <x14:formula1>
            <xm:f>項目!C1:$FKI$17</xm:f>
          </x14:formula1>
          <xm:sqref>FKQ5:FKQ23</xm:sqref>
        </x14:dataValidation>
        <x14:dataValidation type="list" allowBlank="1" showInputMessage="1" showErrorMessage="1" xr:uid="{86349435-9944-4A3C-A22A-649FBC60EF27}">
          <x14:formula1>
            <xm:f>項目!C$17:$FKI19</xm:f>
          </x14:formula1>
          <xm:sqref>FKQ24</xm:sqref>
        </x14:dataValidation>
        <x14:dataValidation type="list" allowBlank="1" showInputMessage="1" showErrorMessage="1" xr:uid="{00853AFE-FF3F-450D-A1AD-F603096AE9EF}">
          <x14:formula1>
            <xm:f>項目!C1:$FUE$17</xm:f>
          </x14:formula1>
          <xm:sqref>FUM5:FUM23</xm:sqref>
        </x14:dataValidation>
        <x14:dataValidation type="list" allowBlank="1" showInputMessage="1" showErrorMessage="1" xr:uid="{D4E43C04-BACF-448D-87B7-C1F06F5E23E1}">
          <x14:formula1>
            <xm:f>項目!C$17:$FUE19</xm:f>
          </x14:formula1>
          <xm:sqref>FUM24</xm:sqref>
        </x14:dataValidation>
        <x14:dataValidation type="list" allowBlank="1" showInputMessage="1" showErrorMessage="1" xr:uid="{A7DF773F-9006-4201-8F91-9E4B7027FC39}">
          <x14:formula1>
            <xm:f>項目!C1:$GEA$17</xm:f>
          </x14:formula1>
          <xm:sqref>GEI5:GEI23</xm:sqref>
        </x14:dataValidation>
        <x14:dataValidation type="list" allowBlank="1" showInputMessage="1" showErrorMessage="1" xr:uid="{3BCCE5C1-B735-443D-BDD6-0EF4EDF5BD94}">
          <x14:formula1>
            <xm:f>項目!C$17:$GEA19</xm:f>
          </x14:formula1>
          <xm:sqref>GEI24</xm:sqref>
        </x14:dataValidation>
        <x14:dataValidation type="list" allowBlank="1" showInputMessage="1" showErrorMessage="1" xr:uid="{D9BC1A14-8E71-4844-A789-66AA46024D2C}">
          <x14:formula1>
            <xm:f>項目!C1:$GNW$17</xm:f>
          </x14:formula1>
          <xm:sqref>GOE5:GOE23</xm:sqref>
        </x14:dataValidation>
        <x14:dataValidation type="list" allowBlank="1" showInputMessage="1" showErrorMessage="1" xr:uid="{6AE71EE9-899E-4E08-99E3-510143C1C50B}">
          <x14:formula1>
            <xm:f>項目!C$17:$GNW19</xm:f>
          </x14:formula1>
          <xm:sqref>GOE24</xm:sqref>
        </x14:dataValidation>
        <x14:dataValidation type="list" allowBlank="1" showInputMessage="1" showErrorMessage="1" xr:uid="{24229D82-5BF7-46BE-81ED-6E4A688E75C5}">
          <x14:formula1>
            <xm:f>項目!C1:$GXS$17</xm:f>
          </x14:formula1>
          <xm:sqref>GYA5:GYA23</xm:sqref>
        </x14:dataValidation>
        <x14:dataValidation type="list" allowBlank="1" showInputMessage="1" showErrorMessage="1" xr:uid="{099EE5CD-9158-466F-987B-C7FDD84C37D0}">
          <x14:formula1>
            <xm:f>項目!C$17:$GXS19</xm:f>
          </x14:formula1>
          <xm:sqref>GYA24</xm:sqref>
        </x14:dataValidation>
        <x14:dataValidation type="list" allowBlank="1" showInputMessage="1" showErrorMessage="1" xr:uid="{AC6E423A-EFAF-4477-82D4-10C50B06D6B4}">
          <x14:formula1>
            <xm:f>項目!C1:$HHO$17</xm:f>
          </x14:formula1>
          <xm:sqref>HHW5:HHW23</xm:sqref>
        </x14:dataValidation>
        <x14:dataValidation type="list" allowBlank="1" showInputMessage="1" showErrorMessage="1" xr:uid="{E1BE4B87-43B0-4965-8704-1DDD5E3A63F6}">
          <x14:formula1>
            <xm:f>項目!C$17:$HHO19</xm:f>
          </x14:formula1>
          <xm:sqref>HHW24</xm:sqref>
        </x14:dataValidation>
        <x14:dataValidation type="list" allowBlank="1" showInputMessage="1" showErrorMessage="1" xr:uid="{DFE9BFA8-3000-41B1-9653-F1C20EF40802}">
          <x14:formula1>
            <xm:f>項目!C1:$HRK$17</xm:f>
          </x14:formula1>
          <xm:sqref>HRS5:HRS23</xm:sqref>
        </x14:dataValidation>
        <x14:dataValidation type="list" allowBlank="1" showInputMessage="1" showErrorMessage="1" xr:uid="{97C79E3F-0E7F-4020-ADC9-AAC50A1CCF79}">
          <x14:formula1>
            <xm:f>項目!C$17:$HRK19</xm:f>
          </x14:formula1>
          <xm:sqref>HRS24</xm:sqref>
        </x14:dataValidation>
        <x14:dataValidation type="list" allowBlank="1" showInputMessage="1" showErrorMessage="1" xr:uid="{9769BB4F-790A-4966-99A1-DA6AA24813E6}">
          <x14:formula1>
            <xm:f>項目!C1:$IBG$17</xm:f>
          </x14:formula1>
          <xm:sqref>IBO5:IBO23</xm:sqref>
        </x14:dataValidation>
        <x14:dataValidation type="list" allowBlank="1" showInputMessage="1" showErrorMessage="1" xr:uid="{3677CDFA-7A2E-46BA-84DA-6CB760B5CB3E}">
          <x14:formula1>
            <xm:f>項目!C$17:$IBG19</xm:f>
          </x14:formula1>
          <xm:sqref>IBO24</xm:sqref>
        </x14:dataValidation>
        <x14:dataValidation type="list" allowBlank="1" showInputMessage="1" showErrorMessage="1" xr:uid="{ACF0DAD7-3FD2-4162-9CE9-5CBDB0990950}">
          <x14:formula1>
            <xm:f>項目!C1:$ILC$17</xm:f>
          </x14:formula1>
          <xm:sqref>ILK5:ILK23</xm:sqref>
        </x14:dataValidation>
        <x14:dataValidation type="list" allowBlank="1" showInputMessage="1" showErrorMessage="1" xr:uid="{CA9D5E24-0D39-4983-9513-A94D703D1A3B}">
          <x14:formula1>
            <xm:f>項目!C$17:$ILC19</xm:f>
          </x14:formula1>
          <xm:sqref>ILK24</xm:sqref>
        </x14:dataValidation>
        <x14:dataValidation type="list" allowBlank="1" showInputMessage="1" showErrorMessage="1" xr:uid="{DF3FE4A3-F9E2-4618-B68E-740544F85AFE}">
          <x14:formula1>
            <xm:f>項目!C1:$IUY$17</xm:f>
          </x14:formula1>
          <xm:sqref>IVG5:IVG23</xm:sqref>
        </x14:dataValidation>
        <x14:dataValidation type="list" allowBlank="1" showInputMessage="1" showErrorMessage="1" xr:uid="{FFD613FE-8870-4E3B-B7DF-217D3FE5831F}">
          <x14:formula1>
            <xm:f>項目!C$17:$IUY19</xm:f>
          </x14:formula1>
          <xm:sqref>IVG24</xm:sqref>
        </x14:dataValidation>
        <x14:dataValidation type="list" allowBlank="1" showInputMessage="1" showErrorMessage="1" xr:uid="{AC13C494-EE8C-4897-A5BC-621B8024DB61}">
          <x14:formula1>
            <xm:f>項目!C1:$JEU$17</xm:f>
          </x14:formula1>
          <xm:sqref>JFC5:JFC23</xm:sqref>
        </x14:dataValidation>
        <x14:dataValidation type="list" allowBlank="1" showInputMessage="1" showErrorMessage="1" xr:uid="{7D6C3103-196B-4351-9268-AFECD390D819}">
          <x14:formula1>
            <xm:f>項目!C$17:$JEU19</xm:f>
          </x14:formula1>
          <xm:sqref>JFC24</xm:sqref>
        </x14:dataValidation>
        <x14:dataValidation type="list" allowBlank="1" showInputMessage="1" showErrorMessage="1" xr:uid="{4BB3C5E5-AFD3-41B5-B38D-69CFD2BF0F49}">
          <x14:formula1>
            <xm:f>項目!C1:$JOQ$17</xm:f>
          </x14:formula1>
          <xm:sqref>JOY5:JOY23</xm:sqref>
        </x14:dataValidation>
        <x14:dataValidation type="list" allowBlank="1" showInputMessage="1" showErrorMessage="1" xr:uid="{0B039690-C5C0-4923-AC65-FF35E64E7537}">
          <x14:formula1>
            <xm:f>項目!C$17:$JOQ19</xm:f>
          </x14:formula1>
          <xm:sqref>JOY24</xm:sqref>
        </x14:dataValidation>
        <x14:dataValidation type="list" allowBlank="1" showInputMessage="1" showErrorMessage="1" xr:uid="{45106B91-F0A8-4C06-80D3-B8ACE5200FD9}">
          <x14:formula1>
            <xm:f>項目!C1:$JYM$17</xm:f>
          </x14:formula1>
          <xm:sqref>JYU5:JYU23</xm:sqref>
        </x14:dataValidation>
        <x14:dataValidation type="list" allowBlank="1" showInputMessage="1" showErrorMessage="1" xr:uid="{C4ED91B2-BE79-42A0-8934-C0E00F3FA277}">
          <x14:formula1>
            <xm:f>項目!C$17:$JYM19</xm:f>
          </x14:formula1>
          <xm:sqref>JYU24</xm:sqref>
        </x14:dataValidation>
        <x14:dataValidation type="list" allowBlank="1" showInputMessage="1" showErrorMessage="1" xr:uid="{FAC8AED1-2D49-417B-BCD5-D46B51B2DFE7}">
          <x14:formula1>
            <xm:f>項目!C1:$KII$17</xm:f>
          </x14:formula1>
          <xm:sqref>KIQ5:KIQ23</xm:sqref>
        </x14:dataValidation>
        <x14:dataValidation type="list" allowBlank="1" showInputMessage="1" showErrorMessage="1" xr:uid="{95277005-78CB-4D08-A377-C69004885E14}">
          <x14:formula1>
            <xm:f>項目!C$17:$KII19</xm:f>
          </x14:formula1>
          <xm:sqref>KIQ24</xm:sqref>
        </x14:dataValidation>
        <x14:dataValidation type="list" allowBlank="1" showInputMessage="1" showErrorMessage="1" xr:uid="{C0432D65-E79C-4D6E-8A7C-1ED4681B8195}">
          <x14:formula1>
            <xm:f>項目!C1:$KSE$17</xm:f>
          </x14:formula1>
          <xm:sqref>KSM5:KSM23</xm:sqref>
        </x14:dataValidation>
        <x14:dataValidation type="list" allowBlank="1" showInputMessage="1" showErrorMessage="1" xr:uid="{76B5FC88-9A52-4034-8991-FFAD4195F5DF}">
          <x14:formula1>
            <xm:f>項目!C$17:$KSE19</xm:f>
          </x14:formula1>
          <xm:sqref>KSM24</xm:sqref>
        </x14:dataValidation>
        <x14:dataValidation type="list" allowBlank="1" showInputMessage="1" showErrorMessage="1" xr:uid="{69934BAF-87FC-40FF-9AF3-F350246B8058}">
          <x14:formula1>
            <xm:f>項目!C1:$LCA$17</xm:f>
          </x14:formula1>
          <xm:sqref>LCI5:LCI23</xm:sqref>
        </x14:dataValidation>
        <x14:dataValidation type="list" allowBlank="1" showInputMessage="1" showErrorMessage="1" xr:uid="{3D4F99EE-D428-452B-B152-09A094C869FC}">
          <x14:formula1>
            <xm:f>項目!C$17:$LCA19</xm:f>
          </x14:formula1>
          <xm:sqref>LCI24</xm:sqref>
        </x14:dataValidation>
        <x14:dataValidation type="list" allowBlank="1" showInputMessage="1" showErrorMessage="1" xr:uid="{09331CB7-8E21-4BEE-B1E2-75D3087A612A}">
          <x14:formula1>
            <xm:f>項目!C1:$LLW$17</xm:f>
          </x14:formula1>
          <xm:sqref>LME5:LME23</xm:sqref>
        </x14:dataValidation>
        <x14:dataValidation type="list" allowBlank="1" showInputMessage="1" showErrorMessage="1" xr:uid="{0A59D024-2087-41A1-9077-E1DFE9D29E3C}">
          <x14:formula1>
            <xm:f>項目!C$17:$LLW19</xm:f>
          </x14:formula1>
          <xm:sqref>LME24</xm:sqref>
        </x14:dataValidation>
        <x14:dataValidation type="list" allowBlank="1" showInputMessage="1" showErrorMessage="1" xr:uid="{5171EBDE-B088-44A7-B549-0D156C8916CE}">
          <x14:formula1>
            <xm:f>項目!C1:$LVS$17</xm:f>
          </x14:formula1>
          <xm:sqref>LWA5:LWA23</xm:sqref>
        </x14:dataValidation>
        <x14:dataValidation type="list" allowBlank="1" showInputMessage="1" showErrorMessage="1" xr:uid="{E8CABA82-79A0-42F9-9BBB-F634780C018C}">
          <x14:formula1>
            <xm:f>項目!C$17:$LVS19</xm:f>
          </x14:formula1>
          <xm:sqref>LWA24</xm:sqref>
        </x14:dataValidation>
        <x14:dataValidation type="list" allowBlank="1" showInputMessage="1" showErrorMessage="1" xr:uid="{9682B3CE-CC07-43D3-A496-6281CAA75B77}">
          <x14:formula1>
            <xm:f>項目!C1:$MFO$17</xm:f>
          </x14:formula1>
          <xm:sqref>MFW5:MFW23</xm:sqref>
        </x14:dataValidation>
        <x14:dataValidation type="list" allowBlank="1" showInputMessage="1" showErrorMessage="1" xr:uid="{7DE57929-BF54-43EA-860D-DF9644741547}">
          <x14:formula1>
            <xm:f>項目!C$17:$MFO19</xm:f>
          </x14:formula1>
          <xm:sqref>MFW24</xm:sqref>
        </x14:dataValidation>
        <x14:dataValidation type="list" allowBlank="1" showInputMessage="1" showErrorMessage="1" xr:uid="{D0E98D94-EB2B-46F1-846B-93903F8ACE40}">
          <x14:formula1>
            <xm:f>項目!C1:$MPK$17</xm:f>
          </x14:formula1>
          <xm:sqref>MPS5:MPS23</xm:sqref>
        </x14:dataValidation>
        <x14:dataValidation type="list" allowBlank="1" showInputMessage="1" showErrorMessage="1" xr:uid="{612B8F48-883F-442F-B664-8083FE885CFB}">
          <x14:formula1>
            <xm:f>項目!C$17:$MPK19</xm:f>
          </x14:formula1>
          <xm:sqref>MPS24</xm:sqref>
        </x14:dataValidation>
        <x14:dataValidation type="list" allowBlank="1" showInputMessage="1" showErrorMessage="1" xr:uid="{85472368-FB7B-444D-8874-D94A53F04F26}">
          <x14:formula1>
            <xm:f>項目!C1:$MZG$17</xm:f>
          </x14:formula1>
          <xm:sqref>MZO5:MZO23</xm:sqref>
        </x14:dataValidation>
        <x14:dataValidation type="list" allowBlank="1" showInputMessage="1" showErrorMessage="1" xr:uid="{186D6684-BE20-479E-B08F-48C27C461462}">
          <x14:formula1>
            <xm:f>項目!C$17:$MZG19</xm:f>
          </x14:formula1>
          <xm:sqref>MZO24</xm:sqref>
        </x14:dataValidation>
        <x14:dataValidation type="list" allowBlank="1" showInputMessage="1" showErrorMessage="1" xr:uid="{96CDFD9E-04C9-4D21-AEF7-369A67953F54}">
          <x14:formula1>
            <xm:f>項目!C1:$NJC$17</xm:f>
          </x14:formula1>
          <xm:sqref>NJK5:NJK23</xm:sqref>
        </x14:dataValidation>
        <x14:dataValidation type="list" allowBlank="1" showInputMessage="1" showErrorMessage="1" xr:uid="{36B73549-A33A-426A-955B-D9BECC6F31B0}">
          <x14:formula1>
            <xm:f>項目!C$17:$NJC19</xm:f>
          </x14:formula1>
          <xm:sqref>NJK24</xm:sqref>
        </x14:dataValidation>
        <x14:dataValidation type="list" allowBlank="1" showInputMessage="1" showErrorMessage="1" xr:uid="{F551AB35-B514-4B05-99EE-85E5A855CE1D}">
          <x14:formula1>
            <xm:f>項目!C1:$NSY$17</xm:f>
          </x14:formula1>
          <xm:sqref>NTG5:NTG23</xm:sqref>
        </x14:dataValidation>
        <x14:dataValidation type="list" allowBlank="1" showInputMessage="1" showErrorMessage="1" xr:uid="{CC0AAB1A-77A5-4B63-8A9E-B19FBD284B36}">
          <x14:formula1>
            <xm:f>項目!C$17:$NSY19</xm:f>
          </x14:formula1>
          <xm:sqref>NTG24</xm:sqref>
        </x14:dataValidation>
        <x14:dataValidation type="list" allowBlank="1" showInputMessage="1" showErrorMessage="1" xr:uid="{931E4584-ABF9-4FF1-A469-C58567F5C84B}">
          <x14:formula1>
            <xm:f>項目!C1:$OCU$17</xm:f>
          </x14:formula1>
          <xm:sqref>ODC5:ODC23</xm:sqref>
        </x14:dataValidation>
        <x14:dataValidation type="list" allowBlank="1" showInputMessage="1" showErrorMessage="1" xr:uid="{BA0867D8-E1E9-47CE-B9D9-3360F9455933}">
          <x14:formula1>
            <xm:f>項目!C$17:$OCU19</xm:f>
          </x14:formula1>
          <xm:sqref>ODC24</xm:sqref>
        </x14:dataValidation>
        <x14:dataValidation type="list" allowBlank="1" showInputMessage="1" showErrorMessage="1" xr:uid="{8D3C66A5-0D6A-4186-8814-89115303EE32}">
          <x14:formula1>
            <xm:f>項目!C1:$OMQ$17</xm:f>
          </x14:formula1>
          <xm:sqref>OMY5:OMY23</xm:sqref>
        </x14:dataValidation>
        <x14:dataValidation type="list" allowBlank="1" showInputMessage="1" showErrorMessage="1" xr:uid="{8AA1C129-CE4B-45F6-8A75-A3ACF382209D}">
          <x14:formula1>
            <xm:f>項目!C$17:$OMQ19</xm:f>
          </x14:formula1>
          <xm:sqref>OMY24</xm:sqref>
        </x14:dataValidation>
        <x14:dataValidation type="list" allowBlank="1" showInputMessage="1" showErrorMessage="1" xr:uid="{9D6A0E70-92AE-465B-916F-D866B09CA161}">
          <x14:formula1>
            <xm:f>項目!C1:$OWM$17</xm:f>
          </x14:formula1>
          <xm:sqref>OWU5:OWU23</xm:sqref>
        </x14:dataValidation>
        <x14:dataValidation type="list" allowBlank="1" showInputMessage="1" showErrorMessage="1" xr:uid="{69E496DE-F942-43BF-9615-CAD3D7D9DC16}">
          <x14:formula1>
            <xm:f>項目!C$17:$OWM19</xm:f>
          </x14:formula1>
          <xm:sqref>OWU24</xm:sqref>
        </x14:dataValidation>
        <x14:dataValidation type="list" allowBlank="1" showInputMessage="1" showErrorMessage="1" xr:uid="{6192C739-9F46-406F-864A-B75C81C094FF}">
          <x14:formula1>
            <xm:f>項目!C1:$PGI$17</xm:f>
          </x14:formula1>
          <xm:sqref>PGQ5:PGQ23</xm:sqref>
        </x14:dataValidation>
        <x14:dataValidation type="list" allowBlank="1" showInputMessage="1" showErrorMessage="1" xr:uid="{3D5EE8C4-006F-42F4-8415-A7B12756CB7B}">
          <x14:formula1>
            <xm:f>項目!C$17:$PGI19</xm:f>
          </x14:formula1>
          <xm:sqref>PGQ24</xm:sqref>
        </x14:dataValidation>
        <x14:dataValidation type="list" allowBlank="1" showInputMessage="1" showErrorMessage="1" xr:uid="{05AA07E9-1517-478D-BBB1-5628E971AC21}">
          <x14:formula1>
            <xm:f>項目!C1:$PQE$17</xm:f>
          </x14:formula1>
          <xm:sqref>PQM5:PQM23</xm:sqref>
        </x14:dataValidation>
        <x14:dataValidation type="list" allowBlank="1" showInputMessage="1" showErrorMessage="1" xr:uid="{0722F796-83C1-4115-AABF-A63075DE21EF}">
          <x14:formula1>
            <xm:f>項目!C$17:$PQE19</xm:f>
          </x14:formula1>
          <xm:sqref>PQM24</xm:sqref>
        </x14:dataValidation>
        <x14:dataValidation type="list" allowBlank="1" showInputMessage="1" showErrorMessage="1" xr:uid="{EAA146C7-BCD6-484A-844B-1CF330BC6ADA}">
          <x14:formula1>
            <xm:f>項目!C1:$QAA$17</xm:f>
          </x14:formula1>
          <xm:sqref>QAI5:QAI23</xm:sqref>
        </x14:dataValidation>
        <x14:dataValidation type="list" allowBlank="1" showInputMessage="1" showErrorMessage="1" xr:uid="{BE35992B-ABF9-455D-96ED-5CA51C01FBB0}">
          <x14:formula1>
            <xm:f>項目!C$17:$QAA19</xm:f>
          </x14:formula1>
          <xm:sqref>QAI24</xm:sqref>
        </x14:dataValidation>
        <x14:dataValidation type="list" allowBlank="1" showInputMessage="1" showErrorMessage="1" xr:uid="{4259FDA0-A478-47C7-9A3E-4BF9E5FDAA70}">
          <x14:formula1>
            <xm:f>項目!C1:$QJW$17</xm:f>
          </x14:formula1>
          <xm:sqref>QKE5:QKE23</xm:sqref>
        </x14:dataValidation>
        <x14:dataValidation type="list" allowBlank="1" showInputMessage="1" showErrorMessage="1" xr:uid="{374971C0-A66E-41E2-A31B-0CB9F33EE4F3}">
          <x14:formula1>
            <xm:f>項目!C$17:$QJW19</xm:f>
          </x14:formula1>
          <xm:sqref>QKE24</xm:sqref>
        </x14:dataValidation>
        <x14:dataValidation type="list" allowBlank="1" showInputMessage="1" showErrorMessage="1" xr:uid="{CBD0FB05-AFF1-45BF-9722-96CA613033A0}">
          <x14:formula1>
            <xm:f>項目!C1:$QTS$17</xm:f>
          </x14:formula1>
          <xm:sqref>QUA5:QUA23</xm:sqref>
        </x14:dataValidation>
        <x14:dataValidation type="list" allowBlank="1" showInputMessage="1" showErrorMessage="1" xr:uid="{6F8B3686-5BB8-49E8-8086-1AB8919E42F1}">
          <x14:formula1>
            <xm:f>項目!C$17:$QTS19</xm:f>
          </x14:formula1>
          <xm:sqref>QUA24</xm:sqref>
        </x14:dataValidation>
        <x14:dataValidation type="list" allowBlank="1" showInputMessage="1" showErrorMessage="1" xr:uid="{7F238DE5-7120-44E6-92C5-47A2C1C867CA}">
          <x14:formula1>
            <xm:f>項目!C1:$RDO$17</xm:f>
          </x14:formula1>
          <xm:sqref>RDW5:RDW23</xm:sqref>
        </x14:dataValidation>
        <x14:dataValidation type="list" allowBlank="1" showInputMessage="1" showErrorMessage="1" xr:uid="{DD38A9FD-FDC2-4941-B57A-3CC64579114B}">
          <x14:formula1>
            <xm:f>項目!C$17:$RDO19</xm:f>
          </x14:formula1>
          <xm:sqref>RDW24</xm:sqref>
        </x14:dataValidation>
        <x14:dataValidation type="list" allowBlank="1" showInputMessage="1" showErrorMessage="1" xr:uid="{34513FCD-626A-4BFB-88B7-23E88D3ABDA6}">
          <x14:formula1>
            <xm:f>項目!C1:$RNK$17</xm:f>
          </x14:formula1>
          <xm:sqref>RNS5:RNS23</xm:sqref>
        </x14:dataValidation>
        <x14:dataValidation type="list" allowBlank="1" showInputMessage="1" showErrorMessage="1" xr:uid="{F1D43A45-FBDB-484B-AF39-93861481EFA7}">
          <x14:formula1>
            <xm:f>項目!C$17:$RNK19</xm:f>
          </x14:formula1>
          <xm:sqref>RNS24</xm:sqref>
        </x14:dataValidation>
        <x14:dataValidation type="list" allowBlank="1" showInputMessage="1" showErrorMessage="1" xr:uid="{C41F1A6B-9003-4017-9154-0271E8322E68}">
          <x14:formula1>
            <xm:f>項目!C1:$RXG$17</xm:f>
          </x14:formula1>
          <xm:sqref>RXO5:RXO23</xm:sqref>
        </x14:dataValidation>
        <x14:dataValidation type="list" allowBlank="1" showInputMessage="1" showErrorMessage="1" xr:uid="{890336FC-1970-4249-8090-4F58D97DF8E5}">
          <x14:formula1>
            <xm:f>項目!C$17:$RXG19</xm:f>
          </x14:formula1>
          <xm:sqref>RXO24</xm:sqref>
        </x14:dataValidation>
        <x14:dataValidation type="list" allowBlank="1" showInputMessage="1" showErrorMessage="1" xr:uid="{5EB0DF72-7DD1-4068-83C5-C16962A54BCA}">
          <x14:formula1>
            <xm:f>項目!C1:$SHC$17</xm:f>
          </x14:formula1>
          <xm:sqref>SHK5:SHK23</xm:sqref>
        </x14:dataValidation>
        <x14:dataValidation type="list" allowBlank="1" showInputMessage="1" showErrorMessage="1" xr:uid="{8F7B9982-26F2-4BEB-8902-7E6FF547984B}">
          <x14:formula1>
            <xm:f>項目!C$17:$SHC19</xm:f>
          </x14:formula1>
          <xm:sqref>SHK24</xm:sqref>
        </x14:dataValidation>
        <x14:dataValidation type="list" allowBlank="1" showInputMessage="1" showErrorMessage="1" xr:uid="{68D4E5D2-35F6-4711-AB81-F2668EF7B246}">
          <x14:formula1>
            <xm:f>項目!C1:$SQY$17</xm:f>
          </x14:formula1>
          <xm:sqref>SRG5:SRG23</xm:sqref>
        </x14:dataValidation>
        <x14:dataValidation type="list" allowBlank="1" showInputMessage="1" showErrorMessage="1" xr:uid="{239C4747-4943-4C3E-B50D-AC8F0BCA52E7}">
          <x14:formula1>
            <xm:f>項目!C$17:$SQY19</xm:f>
          </x14:formula1>
          <xm:sqref>SRG24</xm:sqref>
        </x14:dataValidation>
        <x14:dataValidation type="list" allowBlank="1" showInputMessage="1" showErrorMessage="1" xr:uid="{914D37FC-8E73-4B5F-A768-CD5888DCBCAD}">
          <x14:formula1>
            <xm:f>項目!C1:$TAU$17</xm:f>
          </x14:formula1>
          <xm:sqref>TBC5:TBC23</xm:sqref>
        </x14:dataValidation>
        <x14:dataValidation type="list" allowBlank="1" showInputMessage="1" showErrorMessage="1" xr:uid="{F93E858F-CC7A-4274-9CE2-1A6DDF10979D}">
          <x14:formula1>
            <xm:f>項目!C$17:$TAU19</xm:f>
          </x14:formula1>
          <xm:sqref>TBC24</xm:sqref>
        </x14:dataValidation>
        <x14:dataValidation type="list" allowBlank="1" showInputMessage="1" showErrorMessage="1" xr:uid="{F589460C-F3B2-4D9A-A2D1-3F6C0FD89077}">
          <x14:formula1>
            <xm:f>項目!C1:$TKQ$17</xm:f>
          </x14:formula1>
          <xm:sqref>TKY5:TKY23</xm:sqref>
        </x14:dataValidation>
        <x14:dataValidation type="list" allowBlank="1" showInputMessage="1" showErrorMessage="1" xr:uid="{36F34AB8-B090-4740-93E8-132D497B1D26}">
          <x14:formula1>
            <xm:f>項目!C$17:$TKQ19</xm:f>
          </x14:formula1>
          <xm:sqref>TKY24</xm:sqref>
        </x14:dataValidation>
        <x14:dataValidation type="list" allowBlank="1" showInputMessage="1" showErrorMessage="1" xr:uid="{4AA9280C-089C-4386-906B-5BE186B06368}">
          <x14:formula1>
            <xm:f>項目!C1:$TUM$17</xm:f>
          </x14:formula1>
          <xm:sqref>TUU5:TUU23</xm:sqref>
        </x14:dataValidation>
        <x14:dataValidation type="list" allowBlank="1" showInputMessage="1" showErrorMessage="1" xr:uid="{E6A3523C-92F6-4C88-BC60-05CB291FB1C4}">
          <x14:formula1>
            <xm:f>項目!C$17:$TUM19</xm:f>
          </x14:formula1>
          <xm:sqref>TUU24</xm:sqref>
        </x14:dataValidation>
        <x14:dataValidation type="list" allowBlank="1" showInputMessage="1" showErrorMessage="1" xr:uid="{F71BD344-A880-4018-BD55-D4C3AE03B8C8}">
          <x14:formula1>
            <xm:f>項目!C1:$UEI$17</xm:f>
          </x14:formula1>
          <xm:sqref>UEQ5:UEQ23</xm:sqref>
        </x14:dataValidation>
        <x14:dataValidation type="list" allowBlank="1" showInputMessage="1" showErrorMessage="1" xr:uid="{54A3FF51-4783-46C1-8914-A3C904B6978A}">
          <x14:formula1>
            <xm:f>項目!C$17:$UEI19</xm:f>
          </x14:formula1>
          <xm:sqref>UEQ24</xm:sqref>
        </x14:dataValidation>
        <x14:dataValidation type="list" allowBlank="1" showInputMessage="1" showErrorMessage="1" xr:uid="{AA6A8D06-FE20-4CEB-B6ED-7B428EF18D6A}">
          <x14:formula1>
            <xm:f>項目!C1:$UOE$17</xm:f>
          </x14:formula1>
          <xm:sqref>UOM5:UOM23</xm:sqref>
        </x14:dataValidation>
        <x14:dataValidation type="list" allowBlank="1" showInputMessage="1" showErrorMessage="1" xr:uid="{1831B613-C86C-419E-A75F-9B114D530996}">
          <x14:formula1>
            <xm:f>項目!C$17:$UOE19</xm:f>
          </x14:formula1>
          <xm:sqref>UOM24</xm:sqref>
        </x14:dataValidation>
        <x14:dataValidation type="list" allowBlank="1" showInputMessage="1" showErrorMessage="1" xr:uid="{BF4C0015-373B-411D-9936-E7609D124906}">
          <x14:formula1>
            <xm:f>項目!C1:$UYA$17</xm:f>
          </x14:formula1>
          <xm:sqref>UYI5:UYI23</xm:sqref>
        </x14:dataValidation>
        <x14:dataValidation type="list" allowBlank="1" showInputMessage="1" showErrorMessage="1" xr:uid="{47AE6F17-CAA4-43AD-B842-BB9159E77A4B}">
          <x14:formula1>
            <xm:f>項目!C$17:$UYA19</xm:f>
          </x14:formula1>
          <xm:sqref>UYI24</xm:sqref>
        </x14:dataValidation>
        <x14:dataValidation type="list" allowBlank="1" showInputMessage="1" showErrorMessage="1" xr:uid="{46BE2A51-3282-4EF7-8CC5-EFF6D6BC1D8D}">
          <x14:formula1>
            <xm:f>項目!C1:$VHW$17</xm:f>
          </x14:formula1>
          <xm:sqref>VIE5:VIE23</xm:sqref>
        </x14:dataValidation>
        <x14:dataValidation type="list" allowBlank="1" showInputMessage="1" showErrorMessage="1" xr:uid="{E1A40D5B-E171-4B25-BBD4-BF799B230820}">
          <x14:formula1>
            <xm:f>項目!C$17:$VHW19</xm:f>
          </x14:formula1>
          <xm:sqref>VIE24</xm:sqref>
        </x14:dataValidation>
        <x14:dataValidation type="list" allowBlank="1" showInputMessage="1" showErrorMessage="1" xr:uid="{3CA5160E-DCC0-44E6-B078-255321E4C569}">
          <x14:formula1>
            <xm:f>項目!C1:$VRS$17</xm:f>
          </x14:formula1>
          <xm:sqref>VSA5:VSA23</xm:sqref>
        </x14:dataValidation>
        <x14:dataValidation type="list" allowBlank="1" showInputMessage="1" showErrorMessage="1" xr:uid="{DDD37B82-AB74-4D72-AB64-D17A6D4A5F99}">
          <x14:formula1>
            <xm:f>項目!C$17:$VRS19</xm:f>
          </x14:formula1>
          <xm:sqref>VSA24</xm:sqref>
        </x14:dataValidation>
        <x14:dataValidation type="list" allowBlank="1" showInputMessage="1" showErrorMessage="1" xr:uid="{0EE2A366-C553-490F-8387-1D4B9937F6A3}">
          <x14:formula1>
            <xm:f>項目!C1:$WBO$17</xm:f>
          </x14:formula1>
          <xm:sqref>WBW5:WBW23</xm:sqref>
        </x14:dataValidation>
        <x14:dataValidation type="list" allowBlank="1" showInputMessage="1" showErrorMessage="1" xr:uid="{1DEF80DC-95D7-4CEE-96A8-6804508BEC47}">
          <x14:formula1>
            <xm:f>項目!C$17:$WBO19</xm:f>
          </x14:formula1>
          <xm:sqref>WBW24</xm:sqref>
        </x14:dataValidation>
        <x14:dataValidation type="list" allowBlank="1" showInputMessage="1" showErrorMessage="1" xr:uid="{EF46FB68-1583-427F-9FAB-549F6AA88910}">
          <x14:formula1>
            <xm:f>項目!C1:$WLK$17</xm:f>
          </x14:formula1>
          <xm:sqref>WLS5:WLS23</xm:sqref>
        </x14:dataValidation>
        <x14:dataValidation type="list" allowBlank="1" showInputMessage="1" showErrorMessage="1" xr:uid="{4CBFCE49-19F1-437A-AF16-939449F64E9B}">
          <x14:formula1>
            <xm:f>項目!C$17:$WLK19</xm:f>
          </x14:formula1>
          <xm:sqref>WLS24</xm:sqref>
        </x14:dataValidation>
        <x14:dataValidation type="list" allowBlank="1" showInputMessage="1" showErrorMessage="1" xr:uid="{33E88CA5-B7BB-4F8D-A590-A743C4C46A04}">
          <x14:formula1>
            <xm:f>項目!C1:$WVG$17</xm:f>
          </x14:formula1>
          <xm:sqref>WVO5:WVO23</xm:sqref>
        </x14:dataValidation>
        <x14:dataValidation type="list" allowBlank="1" showInputMessage="1" showErrorMessage="1" xr:uid="{BC197CB1-E8D3-447B-8012-77AED3696F70}">
          <x14:formula1>
            <xm:f>項目!C$17:$WVG19</xm:f>
          </x14:formula1>
          <xm:sqref>WVO24</xm:sqref>
        </x14:dataValidation>
        <x14:dataValidation type="list" allowBlank="1" showInputMessage="1" showErrorMessage="1" xr:uid="{1D5CE188-E50E-4897-845F-FF41538094DC}">
          <x14:formula1>
            <xm:f>項目!C1:$IY$17</xm:f>
          </x14:formula1>
          <xm:sqref>JG5:JG23</xm:sqref>
        </x14:dataValidation>
        <x14:dataValidation type="list" allowBlank="1" showInputMessage="1" showErrorMessage="1" xr:uid="{9A687BB9-EA08-4B5F-ABAF-6A6ED68B6FFD}">
          <x14:formula1>
            <xm:f>項目!C$17:$IY19</xm:f>
          </x14:formula1>
          <xm:sqref>JG24</xm:sqref>
        </x14:dataValidation>
        <x14:dataValidation type="list" allowBlank="1" showInputMessage="1" showErrorMessage="1" xr:uid="{D58EFDE0-1967-4BF0-A3A3-1199ACBDF687}">
          <x14:formula1>
            <xm:f>項目!C1:$SU$17</xm:f>
          </x14:formula1>
          <xm:sqref>TC5:TC23</xm:sqref>
        </x14:dataValidation>
        <x14:dataValidation type="list" allowBlank="1" showInputMessage="1" showErrorMessage="1" xr:uid="{2F13CE51-FFA8-4E55-912E-6BD96D5E8F7A}">
          <x14:formula1>
            <xm:f>項目!C$17:$SU19</xm:f>
          </x14:formula1>
          <xm:sqref>TC24</xm:sqref>
        </x14:dataValidation>
        <x14:dataValidation type="list" allowBlank="1" showInputMessage="1" showErrorMessage="1" xr:uid="{42B03A3D-AF3F-43EF-A48B-1BF73C983E50}">
          <x14:formula1>
            <xm:f>項目!C1:$ACQ$17</xm:f>
          </x14:formula1>
          <xm:sqref>ACY5:ACY23</xm:sqref>
        </x14:dataValidation>
        <x14:dataValidation type="list" allowBlank="1" showInputMessage="1" showErrorMessage="1" xr:uid="{CF7FE8A6-C827-4A52-8E36-0623BAA686DC}">
          <x14:formula1>
            <xm:f>項目!C$17:$ACQ19</xm:f>
          </x14:formula1>
          <xm:sqref>ACY24</xm:sqref>
        </x14:dataValidation>
        <x14:dataValidation type="list" allowBlank="1" showInputMessage="1" showErrorMessage="1" xr:uid="{4E515AA7-FEC6-4A69-99E9-DDE08CC28C4E}">
          <x14:formula1>
            <xm:f>項目!C1:$AMM$17</xm:f>
          </x14:formula1>
          <xm:sqref>AMU5:AMU23</xm:sqref>
        </x14:dataValidation>
        <x14:dataValidation type="list" allowBlank="1" showInputMessage="1" showErrorMessage="1" xr:uid="{2AB160F6-2A07-418D-A203-038F9BF46127}">
          <x14:formula1>
            <xm:f>項目!C$17:$AMM19</xm:f>
          </x14:formula1>
          <xm:sqref>AMU24</xm:sqref>
        </x14:dataValidation>
        <x14:dataValidation type="list" allowBlank="1" showInputMessage="1" showErrorMessage="1" xr:uid="{FF0B2C20-92DA-43B0-872E-E06E4B387E71}">
          <x14:formula1>
            <xm:f>項目!C1:$AWI$17</xm:f>
          </x14:formula1>
          <xm:sqref>AWQ5:AWQ23</xm:sqref>
        </x14:dataValidation>
        <x14:dataValidation type="list" allowBlank="1" showInputMessage="1" showErrorMessage="1" xr:uid="{AA46841E-32DE-4A61-AE0D-FDF014254376}">
          <x14:formula1>
            <xm:f>項目!C$17:$AWI19</xm:f>
          </x14:formula1>
          <xm:sqref>AWQ24</xm:sqref>
        </x14:dataValidation>
        <x14:dataValidation type="list" allowBlank="1" showInputMessage="1" showErrorMessage="1" xr:uid="{E5E4085C-98B4-495A-8525-E007D284D94C}">
          <x14:formula1>
            <xm:f>項目!C1:$BGE$17</xm:f>
          </x14:formula1>
          <xm:sqref>BGM5:BGM23</xm:sqref>
        </x14:dataValidation>
        <x14:dataValidation type="list" allowBlank="1" showInputMessage="1" showErrorMessage="1" xr:uid="{48B4175D-B2E3-4401-911B-A73052A6B2D8}">
          <x14:formula1>
            <xm:f>項目!C$17:$BGE19</xm:f>
          </x14:formula1>
          <xm:sqref>BGM24</xm:sqref>
        </x14:dataValidation>
        <x14:dataValidation type="list" allowBlank="1" showInputMessage="1" showErrorMessage="1" xr:uid="{1E89759F-FAB9-46E0-8BD7-572FEA66D8DD}">
          <x14:formula1>
            <xm:f>項目!C1:$BQA$17</xm:f>
          </x14:formula1>
          <xm:sqref>BQI5:BQI23</xm:sqref>
        </x14:dataValidation>
        <x14:dataValidation type="list" allowBlank="1" showInputMessage="1" showErrorMessage="1" xr:uid="{B01E7AE7-72D7-49DF-A84C-7E06C9B8E4CD}">
          <x14:formula1>
            <xm:f>項目!C$17:$BQA19</xm:f>
          </x14:formula1>
          <xm:sqref>BQI24</xm:sqref>
        </x14:dataValidation>
        <x14:dataValidation type="list" allowBlank="1" showInputMessage="1" showErrorMessage="1" xr:uid="{64280AA5-218B-46A8-85AB-2F87B7258E66}">
          <x14:formula1>
            <xm:f>項目!C1:$BZW$17</xm:f>
          </x14:formula1>
          <xm:sqref>CAE5:CAE23</xm:sqref>
        </x14:dataValidation>
        <x14:dataValidation type="list" allowBlank="1" showInputMessage="1" showErrorMessage="1" xr:uid="{F5FCA1E9-DACB-4A12-B011-7B5C17D898A1}">
          <x14:formula1>
            <xm:f>項目!C$17:$BZW19</xm:f>
          </x14:formula1>
          <xm:sqref>CAE24</xm:sqref>
        </x14:dataValidation>
        <x14:dataValidation type="list" allowBlank="1" showInputMessage="1" showErrorMessage="1" xr:uid="{DDE66075-AAE0-4FB5-8C92-8B36B7D3D43A}">
          <x14:formula1>
            <xm:f>項目!C1:$CJS$17</xm:f>
          </x14:formula1>
          <xm:sqref>CKA5:CKA23</xm:sqref>
        </x14:dataValidation>
        <x14:dataValidation type="list" allowBlank="1" showInputMessage="1" showErrorMessage="1" xr:uid="{361FC718-CADB-4FCC-9339-449005B098F3}">
          <x14:formula1>
            <xm:f>項目!C$17:$CJS19</xm:f>
          </x14:formula1>
          <xm:sqref>CKA24</xm:sqref>
        </x14:dataValidation>
        <x14:dataValidation type="list" allowBlank="1" showInputMessage="1" showErrorMessage="1" xr:uid="{5A349722-81CE-4AC0-A15A-F58451A318A7}">
          <x14:formula1>
            <xm:f>項目!C1:$CTO$17</xm:f>
          </x14:formula1>
          <xm:sqref>CTW5:CTW23</xm:sqref>
        </x14:dataValidation>
        <x14:dataValidation type="list" allowBlank="1" showInputMessage="1" showErrorMessage="1" xr:uid="{44FEF1DB-BF93-4B19-8714-B442D76B6046}">
          <x14:formula1>
            <xm:f>項目!C$17:$CTO19</xm:f>
          </x14:formula1>
          <xm:sqref>CTW24</xm:sqref>
        </x14:dataValidation>
        <x14:dataValidation type="list" allowBlank="1" showInputMessage="1" showErrorMessage="1" xr:uid="{9FD1B356-0283-44CD-9A48-44EFD6565816}">
          <x14:formula1>
            <xm:f>項目!C1:$DDK$17</xm:f>
          </x14:formula1>
          <xm:sqref>DDS5:DDS23</xm:sqref>
        </x14:dataValidation>
        <x14:dataValidation type="list" allowBlank="1" showInputMessage="1" showErrorMessage="1" xr:uid="{2236F420-F734-424F-ADE9-B44F5D43FFD9}">
          <x14:formula1>
            <xm:f>項目!C$17:$DDK19</xm:f>
          </x14:formula1>
          <xm:sqref>DDS24</xm:sqref>
        </x14:dataValidation>
        <x14:dataValidation type="list" allowBlank="1" showInputMessage="1" showErrorMessage="1" xr:uid="{6E59A1BD-9862-45B1-A193-CF01A4C9F819}">
          <x14:formula1>
            <xm:f>項目!C1:$DNG$17</xm:f>
          </x14:formula1>
          <xm:sqref>DNO5:DNO23</xm:sqref>
        </x14:dataValidation>
        <x14:dataValidation type="list" allowBlank="1" showInputMessage="1" showErrorMessage="1" xr:uid="{8AFF642F-DBF2-4A04-9B2E-45D1DFBE5885}">
          <x14:formula1>
            <xm:f>項目!C$17:$DNG19</xm:f>
          </x14:formula1>
          <xm:sqref>DNO24</xm:sqref>
        </x14:dataValidation>
        <x14:dataValidation type="list" allowBlank="1" showInputMessage="1" showErrorMessage="1" xr:uid="{4E9C4AE4-BFA2-4D67-96AA-1D181A9BC9B5}">
          <x14:formula1>
            <xm:f>項目!C1:$DXC$17</xm:f>
          </x14:formula1>
          <xm:sqref>DXK5:DXK23</xm:sqref>
        </x14:dataValidation>
        <x14:dataValidation type="list" allowBlank="1" showInputMessage="1" showErrorMessage="1" xr:uid="{51AEDB1B-133E-4DB3-A806-003452E22E07}">
          <x14:formula1>
            <xm:f>項目!C$17:$DXC19</xm:f>
          </x14:formula1>
          <xm:sqref>DXK24</xm:sqref>
        </x14:dataValidation>
        <x14:dataValidation type="list" allowBlank="1" showInputMessage="1" showErrorMessage="1" xr:uid="{6CE8F748-681E-490A-A0F2-A863C4813446}">
          <x14:formula1>
            <xm:f>項目!C1:$EGY$17</xm:f>
          </x14:formula1>
          <xm:sqref>EHG5:EHG23</xm:sqref>
        </x14:dataValidation>
        <x14:dataValidation type="list" allowBlank="1" showInputMessage="1" showErrorMessage="1" xr:uid="{B51C7F64-4919-46AA-8AB8-DD099B5FC5BB}">
          <x14:formula1>
            <xm:f>項目!C$17:$EGY19</xm:f>
          </x14:formula1>
          <xm:sqref>EHG24</xm:sqref>
        </x14:dataValidation>
        <x14:dataValidation type="list" allowBlank="1" showInputMessage="1" showErrorMessage="1" xr:uid="{C8227709-15EC-4408-8EC9-17D9D3B4EE36}">
          <x14:formula1>
            <xm:f>項目!C1:$EQU$17</xm:f>
          </x14:formula1>
          <xm:sqref>ERC5:ERC23</xm:sqref>
        </x14:dataValidation>
        <x14:dataValidation type="list" allowBlank="1" showInputMessage="1" showErrorMessage="1" xr:uid="{61CD4276-4CC9-4E38-B048-0DA8846362CC}">
          <x14:formula1>
            <xm:f>項目!C$17:$EQU19</xm:f>
          </x14:formula1>
          <xm:sqref>ERC24</xm:sqref>
        </x14:dataValidation>
        <x14:dataValidation type="list" allowBlank="1" showInputMessage="1" showErrorMessage="1" xr:uid="{0CF166D7-9B69-4D94-B943-0A005CBCF37B}">
          <x14:formula1>
            <xm:f>項目!C1:$FAQ$17</xm:f>
          </x14:formula1>
          <xm:sqref>FAY5:FAY23</xm:sqref>
        </x14:dataValidation>
        <x14:dataValidation type="list" allowBlank="1" showInputMessage="1" showErrorMessage="1" xr:uid="{B9CD1291-F231-43EF-B8EE-196D565726F4}">
          <x14:formula1>
            <xm:f>項目!C$17:$FAQ19</xm:f>
          </x14:formula1>
          <xm:sqref>FAY24</xm:sqref>
        </x14:dataValidation>
        <x14:dataValidation type="list" allowBlank="1" showInputMessage="1" showErrorMessage="1" xr:uid="{A6D3F172-9DFF-45D7-A3EE-32A89F8E9DEF}">
          <x14:formula1>
            <xm:f>項目!C1:$FKM$17</xm:f>
          </x14:formula1>
          <xm:sqref>FKU5:FKU23</xm:sqref>
        </x14:dataValidation>
        <x14:dataValidation type="list" allowBlank="1" showInputMessage="1" showErrorMessage="1" xr:uid="{6CEA0780-B102-44FC-8374-B15553A5E678}">
          <x14:formula1>
            <xm:f>項目!C$17:$FKM19</xm:f>
          </x14:formula1>
          <xm:sqref>FKU24</xm:sqref>
        </x14:dataValidation>
        <x14:dataValidation type="list" allowBlank="1" showInputMessage="1" showErrorMessage="1" xr:uid="{5009F803-19C7-4BC2-8E52-2A8E6B128946}">
          <x14:formula1>
            <xm:f>項目!C1:$FUI$17</xm:f>
          </x14:formula1>
          <xm:sqref>FUQ5:FUQ23</xm:sqref>
        </x14:dataValidation>
        <x14:dataValidation type="list" allowBlank="1" showInputMessage="1" showErrorMessage="1" xr:uid="{1415720F-3B7C-45D4-AA4D-4AC51C38A0DC}">
          <x14:formula1>
            <xm:f>項目!C$17:$FUI19</xm:f>
          </x14:formula1>
          <xm:sqref>FUQ24</xm:sqref>
        </x14:dataValidation>
        <x14:dataValidation type="list" allowBlank="1" showInputMessage="1" showErrorMessage="1" xr:uid="{0D4B3448-9C70-4F9D-9B9A-A0E1E926C9DF}">
          <x14:formula1>
            <xm:f>項目!C1:$GEE$17</xm:f>
          </x14:formula1>
          <xm:sqref>GEM5:GEM23</xm:sqref>
        </x14:dataValidation>
        <x14:dataValidation type="list" allowBlank="1" showInputMessage="1" showErrorMessage="1" xr:uid="{EDCE9E53-C7F7-4698-8169-08FACAA09E09}">
          <x14:formula1>
            <xm:f>項目!C$17:$GEE19</xm:f>
          </x14:formula1>
          <xm:sqref>GEM24</xm:sqref>
        </x14:dataValidation>
        <x14:dataValidation type="list" allowBlank="1" showInputMessage="1" showErrorMessage="1" xr:uid="{DBB07C77-2331-42D5-9092-AA6FE394D0CB}">
          <x14:formula1>
            <xm:f>項目!C1:$GOA$17</xm:f>
          </x14:formula1>
          <xm:sqref>GOI5:GOI23</xm:sqref>
        </x14:dataValidation>
        <x14:dataValidation type="list" allowBlank="1" showInputMessage="1" showErrorMessage="1" xr:uid="{728571FC-5AB8-48F2-BF8F-E0BE70645B63}">
          <x14:formula1>
            <xm:f>項目!C$17:$GOA19</xm:f>
          </x14:formula1>
          <xm:sqref>GOI24</xm:sqref>
        </x14:dataValidation>
        <x14:dataValidation type="list" allowBlank="1" showInputMessage="1" showErrorMessage="1" xr:uid="{42D182C2-D285-43E7-BA01-64AD5D81A5DF}">
          <x14:formula1>
            <xm:f>項目!C1:$GXW$17</xm:f>
          </x14:formula1>
          <xm:sqref>GYE5:GYE23</xm:sqref>
        </x14:dataValidation>
        <x14:dataValidation type="list" allowBlank="1" showInputMessage="1" showErrorMessage="1" xr:uid="{25CB9F93-0146-4AA3-985D-1C2ACDF3EFAF}">
          <x14:formula1>
            <xm:f>項目!C$17:$GXW19</xm:f>
          </x14:formula1>
          <xm:sqref>GYE24</xm:sqref>
        </x14:dataValidation>
        <x14:dataValidation type="list" allowBlank="1" showInputMessage="1" showErrorMessage="1" xr:uid="{6FFBF766-B7FB-4B19-9DBB-22F77E07F4DF}">
          <x14:formula1>
            <xm:f>項目!C1:$HHS$17</xm:f>
          </x14:formula1>
          <xm:sqref>HIA5:HIA23</xm:sqref>
        </x14:dataValidation>
        <x14:dataValidation type="list" allowBlank="1" showInputMessage="1" showErrorMessage="1" xr:uid="{35A84B58-61EC-4525-AE02-D69EAC3EEE0D}">
          <x14:formula1>
            <xm:f>項目!C$17:$HHS19</xm:f>
          </x14:formula1>
          <xm:sqref>HIA24</xm:sqref>
        </x14:dataValidation>
        <x14:dataValidation type="list" allowBlank="1" showInputMessage="1" showErrorMessage="1" xr:uid="{1AD7CF42-3792-4A94-9605-420E5FE8802C}">
          <x14:formula1>
            <xm:f>項目!C1:$HRO$17</xm:f>
          </x14:formula1>
          <xm:sqref>HRW5:HRW23</xm:sqref>
        </x14:dataValidation>
        <x14:dataValidation type="list" allowBlank="1" showInputMessage="1" showErrorMessage="1" xr:uid="{E27A2779-EE08-4F94-B64F-A9F0FC11EBA5}">
          <x14:formula1>
            <xm:f>項目!C$17:$HRO19</xm:f>
          </x14:formula1>
          <xm:sqref>HRW24</xm:sqref>
        </x14:dataValidation>
        <x14:dataValidation type="list" allowBlank="1" showInputMessage="1" showErrorMessage="1" xr:uid="{EA2CB8A9-3CEE-4038-A0EC-4F81725AB7A5}">
          <x14:formula1>
            <xm:f>項目!C1:$IBK$17</xm:f>
          </x14:formula1>
          <xm:sqref>IBS5:IBS23</xm:sqref>
        </x14:dataValidation>
        <x14:dataValidation type="list" allowBlank="1" showInputMessage="1" showErrorMessage="1" xr:uid="{A1859E8F-C51B-47FA-8346-68F0177038D6}">
          <x14:formula1>
            <xm:f>項目!C$17:$IBK19</xm:f>
          </x14:formula1>
          <xm:sqref>IBS24</xm:sqref>
        </x14:dataValidation>
        <x14:dataValidation type="list" allowBlank="1" showInputMessage="1" showErrorMessage="1" xr:uid="{2E6AC8C1-E305-432B-8341-7E37FCA63E81}">
          <x14:formula1>
            <xm:f>項目!C1:$ILG$17</xm:f>
          </x14:formula1>
          <xm:sqref>ILO5:ILO23</xm:sqref>
        </x14:dataValidation>
        <x14:dataValidation type="list" allowBlank="1" showInputMessage="1" showErrorMessage="1" xr:uid="{D8769576-1AF4-45F0-9CA8-AFE835557215}">
          <x14:formula1>
            <xm:f>項目!C$17:$ILG19</xm:f>
          </x14:formula1>
          <xm:sqref>ILO24</xm:sqref>
        </x14:dataValidation>
        <x14:dataValidation type="list" allowBlank="1" showInputMessage="1" showErrorMessage="1" xr:uid="{73C4DE21-21ED-4CB3-9361-6B8C9BCB58FD}">
          <x14:formula1>
            <xm:f>項目!C1:$IVC$17</xm:f>
          </x14:formula1>
          <xm:sqref>IVK5:IVK23</xm:sqref>
        </x14:dataValidation>
        <x14:dataValidation type="list" allowBlank="1" showInputMessage="1" showErrorMessage="1" xr:uid="{9CEA6602-AB93-41FC-B334-93C834F62451}">
          <x14:formula1>
            <xm:f>項目!C$17:$IVC19</xm:f>
          </x14:formula1>
          <xm:sqref>IVK24</xm:sqref>
        </x14:dataValidation>
        <x14:dataValidation type="list" allowBlank="1" showInputMessage="1" showErrorMessage="1" xr:uid="{9B0DCAFB-32AD-4F00-A0FE-6C9E452F359A}">
          <x14:formula1>
            <xm:f>項目!C1:$JEY$17</xm:f>
          </x14:formula1>
          <xm:sqref>JFG5:JFG23</xm:sqref>
        </x14:dataValidation>
        <x14:dataValidation type="list" allowBlank="1" showInputMessage="1" showErrorMessage="1" xr:uid="{65D7D5E7-4EFA-4882-83F2-4237F88BE16C}">
          <x14:formula1>
            <xm:f>項目!C$17:$JEY19</xm:f>
          </x14:formula1>
          <xm:sqref>JFG24</xm:sqref>
        </x14:dataValidation>
        <x14:dataValidation type="list" allowBlank="1" showInputMessage="1" showErrorMessage="1" xr:uid="{558CEF7E-3F2C-49D8-A29C-78984B4DEF9C}">
          <x14:formula1>
            <xm:f>項目!C1:$JOU$17</xm:f>
          </x14:formula1>
          <xm:sqref>JPC5:JPC23</xm:sqref>
        </x14:dataValidation>
        <x14:dataValidation type="list" allowBlank="1" showInputMessage="1" showErrorMessage="1" xr:uid="{DB18CD4F-39FC-4AF4-B0A2-6959652B017C}">
          <x14:formula1>
            <xm:f>項目!C$17:$JOU19</xm:f>
          </x14:formula1>
          <xm:sqref>JPC24</xm:sqref>
        </x14:dataValidation>
        <x14:dataValidation type="list" allowBlank="1" showInputMessage="1" showErrorMessage="1" xr:uid="{273EE90D-AB06-4C37-9D9C-EE814623B3F9}">
          <x14:formula1>
            <xm:f>項目!C1:$JYQ$17</xm:f>
          </x14:formula1>
          <xm:sqref>JYY5:JYY23</xm:sqref>
        </x14:dataValidation>
        <x14:dataValidation type="list" allowBlank="1" showInputMessage="1" showErrorMessage="1" xr:uid="{04438C8B-BEDE-471A-983B-88F5DE1E05C4}">
          <x14:formula1>
            <xm:f>項目!C$17:$JYQ19</xm:f>
          </x14:formula1>
          <xm:sqref>JYY24</xm:sqref>
        </x14:dataValidation>
        <x14:dataValidation type="list" allowBlank="1" showInputMessage="1" showErrorMessage="1" xr:uid="{52FAFA65-E7A2-4E58-86AF-E2F24A2106B2}">
          <x14:formula1>
            <xm:f>項目!C1:$KIM$17</xm:f>
          </x14:formula1>
          <xm:sqref>KIU5:KIU23</xm:sqref>
        </x14:dataValidation>
        <x14:dataValidation type="list" allowBlank="1" showInputMessage="1" showErrorMessage="1" xr:uid="{BC3D378D-FFA5-42F1-9EB2-25A86BC8977D}">
          <x14:formula1>
            <xm:f>項目!C$17:$KIM19</xm:f>
          </x14:formula1>
          <xm:sqref>KIU24</xm:sqref>
        </x14:dataValidation>
        <x14:dataValidation type="list" allowBlank="1" showInputMessage="1" showErrorMessage="1" xr:uid="{90E4C3BC-D8A2-40B2-988C-9C7EE186D70F}">
          <x14:formula1>
            <xm:f>項目!C1:$KSI$17</xm:f>
          </x14:formula1>
          <xm:sqref>KSQ5:KSQ23</xm:sqref>
        </x14:dataValidation>
        <x14:dataValidation type="list" allowBlank="1" showInputMessage="1" showErrorMessage="1" xr:uid="{04E27CFC-7F4E-47E6-8B31-E8DBE320E4D2}">
          <x14:formula1>
            <xm:f>項目!C$17:$KSI19</xm:f>
          </x14:formula1>
          <xm:sqref>KSQ24</xm:sqref>
        </x14:dataValidation>
        <x14:dataValidation type="list" allowBlank="1" showInputMessage="1" showErrorMessage="1" xr:uid="{2BBC4208-B6C9-4B70-8905-C714054B947A}">
          <x14:formula1>
            <xm:f>項目!C1:$LCE$17</xm:f>
          </x14:formula1>
          <xm:sqref>LCM5:LCM23</xm:sqref>
        </x14:dataValidation>
        <x14:dataValidation type="list" allowBlank="1" showInputMessage="1" showErrorMessage="1" xr:uid="{36F1B0A4-ACBA-46CE-A254-0452C3C60618}">
          <x14:formula1>
            <xm:f>項目!C$17:$LCE19</xm:f>
          </x14:formula1>
          <xm:sqref>LCM24</xm:sqref>
        </x14:dataValidation>
        <x14:dataValidation type="list" allowBlank="1" showInputMessage="1" showErrorMessage="1" xr:uid="{AD32562E-1145-406C-B1FC-F4217B9505FA}">
          <x14:formula1>
            <xm:f>項目!C1:$LMA$17</xm:f>
          </x14:formula1>
          <xm:sqref>LMI5:LMI23</xm:sqref>
        </x14:dataValidation>
        <x14:dataValidation type="list" allowBlank="1" showInputMessage="1" showErrorMessage="1" xr:uid="{1EDFC455-A8EB-4B28-A37D-DA51E0255AAE}">
          <x14:formula1>
            <xm:f>項目!C$17:$LMA19</xm:f>
          </x14:formula1>
          <xm:sqref>LMI24</xm:sqref>
        </x14:dataValidation>
        <x14:dataValidation type="list" allowBlank="1" showInputMessage="1" showErrorMessage="1" xr:uid="{1DB5D683-A8A0-429C-91A5-869BC9464AC8}">
          <x14:formula1>
            <xm:f>項目!C1:$LVW$17</xm:f>
          </x14:formula1>
          <xm:sqref>LWE5:LWE23</xm:sqref>
        </x14:dataValidation>
        <x14:dataValidation type="list" allowBlank="1" showInputMessage="1" showErrorMessage="1" xr:uid="{BDDBF7B1-2E1C-4EE2-B150-FE7C2F5685CA}">
          <x14:formula1>
            <xm:f>項目!C$17:$LVW19</xm:f>
          </x14:formula1>
          <xm:sqref>LWE24</xm:sqref>
        </x14:dataValidation>
        <x14:dataValidation type="list" allowBlank="1" showInputMessage="1" showErrorMessage="1" xr:uid="{3C66E5CC-6282-4B01-AEB7-12F58A123370}">
          <x14:formula1>
            <xm:f>項目!C1:$MFS$17</xm:f>
          </x14:formula1>
          <xm:sqref>MGA5:MGA23</xm:sqref>
        </x14:dataValidation>
        <x14:dataValidation type="list" allowBlank="1" showInputMessage="1" showErrorMessage="1" xr:uid="{456000CC-81DB-415B-A289-484A754D921E}">
          <x14:formula1>
            <xm:f>項目!C$17:$MFS19</xm:f>
          </x14:formula1>
          <xm:sqref>MGA24</xm:sqref>
        </x14:dataValidation>
        <x14:dataValidation type="list" allowBlank="1" showInputMessage="1" showErrorMessage="1" xr:uid="{C120FBE4-F7E8-4671-B506-A90799095266}">
          <x14:formula1>
            <xm:f>項目!C1:$MPO$17</xm:f>
          </x14:formula1>
          <xm:sqref>MPW5:MPW23</xm:sqref>
        </x14:dataValidation>
        <x14:dataValidation type="list" allowBlank="1" showInputMessage="1" showErrorMessage="1" xr:uid="{B32209B5-56F7-428F-89CF-2EEB3DF39D59}">
          <x14:formula1>
            <xm:f>項目!C$17:$MPO19</xm:f>
          </x14:formula1>
          <xm:sqref>MPW24</xm:sqref>
        </x14:dataValidation>
        <x14:dataValidation type="list" allowBlank="1" showInputMessage="1" showErrorMessage="1" xr:uid="{40F8C835-2FE4-4A76-BC33-F2EB74A4881D}">
          <x14:formula1>
            <xm:f>項目!C1:$MZK$17</xm:f>
          </x14:formula1>
          <xm:sqref>MZS5:MZS23</xm:sqref>
        </x14:dataValidation>
        <x14:dataValidation type="list" allowBlank="1" showInputMessage="1" showErrorMessage="1" xr:uid="{170EF319-6F75-4A81-8C62-F26F45BDBB4F}">
          <x14:formula1>
            <xm:f>項目!C$17:$MZK19</xm:f>
          </x14:formula1>
          <xm:sqref>MZS24</xm:sqref>
        </x14:dataValidation>
        <x14:dataValidation type="list" allowBlank="1" showInputMessage="1" showErrorMessage="1" xr:uid="{157BD3C4-ED08-4FCD-B0CB-8C99F304870B}">
          <x14:formula1>
            <xm:f>項目!C1:$NJG$17</xm:f>
          </x14:formula1>
          <xm:sqref>NJO5:NJO23</xm:sqref>
        </x14:dataValidation>
        <x14:dataValidation type="list" allowBlank="1" showInputMessage="1" showErrorMessage="1" xr:uid="{6959C0F4-39E8-42BC-A8CB-32EDA191EB8E}">
          <x14:formula1>
            <xm:f>項目!C$17:$NJG19</xm:f>
          </x14:formula1>
          <xm:sqref>NJO24</xm:sqref>
        </x14:dataValidation>
        <x14:dataValidation type="list" allowBlank="1" showInputMessage="1" showErrorMessage="1" xr:uid="{3C809BC9-33BB-481F-B315-F29AB88387A6}">
          <x14:formula1>
            <xm:f>項目!C1:$NTC$17</xm:f>
          </x14:formula1>
          <xm:sqref>NTK5:NTK23</xm:sqref>
        </x14:dataValidation>
        <x14:dataValidation type="list" allowBlank="1" showInputMessage="1" showErrorMessage="1" xr:uid="{5074CBA9-4FE8-4CDD-8C81-5C13E479BB94}">
          <x14:formula1>
            <xm:f>項目!C$17:$NTC19</xm:f>
          </x14:formula1>
          <xm:sqref>NTK24</xm:sqref>
        </x14:dataValidation>
        <x14:dataValidation type="list" allowBlank="1" showInputMessage="1" showErrorMessage="1" xr:uid="{D298F384-6F97-4801-AD63-B990AA25CEE3}">
          <x14:formula1>
            <xm:f>項目!C1:$OCY$17</xm:f>
          </x14:formula1>
          <xm:sqref>ODG5:ODG23</xm:sqref>
        </x14:dataValidation>
        <x14:dataValidation type="list" allowBlank="1" showInputMessage="1" showErrorMessage="1" xr:uid="{56121C94-EC09-4549-90AA-55DAC870C6C8}">
          <x14:formula1>
            <xm:f>項目!C$17:$OCY19</xm:f>
          </x14:formula1>
          <xm:sqref>ODG24</xm:sqref>
        </x14:dataValidation>
        <x14:dataValidation type="list" allowBlank="1" showInputMessage="1" showErrorMessage="1" xr:uid="{ED809DE7-3C27-4232-825B-20DB2AC4CACF}">
          <x14:formula1>
            <xm:f>項目!C1:$OMU$17</xm:f>
          </x14:formula1>
          <xm:sqref>ONC5:ONC23</xm:sqref>
        </x14:dataValidation>
        <x14:dataValidation type="list" allowBlank="1" showInputMessage="1" showErrorMessage="1" xr:uid="{5A9EAA6C-9B73-4AB0-B34D-ECE41B3B40C6}">
          <x14:formula1>
            <xm:f>項目!C$17:$OMU19</xm:f>
          </x14:formula1>
          <xm:sqref>ONC24</xm:sqref>
        </x14:dataValidation>
        <x14:dataValidation type="list" allowBlank="1" showInputMessage="1" showErrorMessage="1" xr:uid="{5DD7C8FF-B691-47AE-BACD-5424FEB81B7C}">
          <x14:formula1>
            <xm:f>項目!C1:$OWQ$17</xm:f>
          </x14:formula1>
          <xm:sqref>OWY5:OWY23</xm:sqref>
        </x14:dataValidation>
        <x14:dataValidation type="list" allowBlank="1" showInputMessage="1" showErrorMessage="1" xr:uid="{E2F89EB5-9FD1-4B8B-8FCA-DF008958D288}">
          <x14:formula1>
            <xm:f>項目!C$17:$OWQ19</xm:f>
          </x14:formula1>
          <xm:sqref>OWY24</xm:sqref>
        </x14:dataValidation>
        <x14:dataValidation type="list" allowBlank="1" showInputMessage="1" showErrorMessage="1" xr:uid="{59A46613-80D3-4C7E-A57D-3C410FC0A689}">
          <x14:formula1>
            <xm:f>項目!C1:$PGM$17</xm:f>
          </x14:formula1>
          <xm:sqref>PGU5:PGU23</xm:sqref>
        </x14:dataValidation>
        <x14:dataValidation type="list" allowBlank="1" showInputMessage="1" showErrorMessage="1" xr:uid="{D771E981-D7A1-446B-A645-D8270E72822B}">
          <x14:formula1>
            <xm:f>項目!C$17:$PGM19</xm:f>
          </x14:formula1>
          <xm:sqref>PGU24</xm:sqref>
        </x14:dataValidation>
        <x14:dataValidation type="list" allowBlank="1" showInputMessage="1" showErrorMessage="1" xr:uid="{9ECD25FD-7728-45C2-A47E-B07D01662C5C}">
          <x14:formula1>
            <xm:f>項目!C1:$PQI$17</xm:f>
          </x14:formula1>
          <xm:sqref>PQQ5:PQQ23</xm:sqref>
        </x14:dataValidation>
        <x14:dataValidation type="list" allowBlank="1" showInputMessage="1" showErrorMessage="1" xr:uid="{A5BFBD1C-B0C0-4F81-A6B0-6EBD6C80E71B}">
          <x14:formula1>
            <xm:f>項目!C$17:$PQI19</xm:f>
          </x14:formula1>
          <xm:sqref>PQQ24</xm:sqref>
        </x14:dataValidation>
        <x14:dataValidation type="list" allowBlank="1" showInputMessage="1" showErrorMessage="1" xr:uid="{131B7568-7EC0-4C7C-891D-9ADD8BAFDFF9}">
          <x14:formula1>
            <xm:f>項目!C1:$QAE$17</xm:f>
          </x14:formula1>
          <xm:sqref>QAM5:QAM23</xm:sqref>
        </x14:dataValidation>
        <x14:dataValidation type="list" allowBlank="1" showInputMessage="1" showErrorMessage="1" xr:uid="{D57504DF-CE9A-4E93-8458-563140AFC4A6}">
          <x14:formula1>
            <xm:f>項目!C$17:$QAE19</xm:f>
          </x14:formula1>
          <xm:sqref>QAM24</xm:sqref>
        </x14:dataValidation>
        <x14:dataValidation type="list" allowBlank="1" showInputMessage="1" showErrorMessage="1" xr:uid="{304D35B2-FE2C-4DE5-AFA3-8F60E9149593}">
          <x14:formula1>
            <xm:f>項目!C1:$QKA$17</xm:f>
          </x14:formula1>
          <xm:sqref>QKI5:QKI23</xm:sqref>
        </x14:dataValidation>
        <x14:dataValidation type="list" allowBlank="1" showInputMessage="1" showErrorMessage="1" xr:uid="{5664D84E-988D-4C80-B524-507BB2ECEF46}">
          <x14:formula1>
            <xm:f>項目!C$17:$QKA19</xm:f>
          </x14:formula1>
          <xm:sqref>QKI24</xm:sqref>
        </x14:dataValidation>
        <x14:dataValidation type="list" allowBlank="1" showInputMessage="1" showErrorMessage="1" xr:uid="{920EA017-2FE9-49F4-BFF1-20B7BE3613C5}">
          <x14:formula1>
            <xm:f>項目!C1:$QTW$17</xm:f>
          </x14:formula1>
          <xm:sqref>QUE5:QUE23</xm:sqref>
        </x14:dataValidation>
        <x14:dataValidation type="list" allowBlank="1" showInputMessage="1" showErrorMessage="1" xr:uid="{C1E0069C-5644-43D5-8E10-3D7D50B97627}">
          <x14:formula1>
            <xm:f>項目!C$17:$QTW19</xm:f>
          </x14:formula1>
          <xm:sqref>QUE24</xm:sqref>
        </x14:dataValidation>
        <x14:dataValidation type="list" allowBlank="1" showInputMessage="1" showErrorMessage="1" xr:uid="{77B84ED8-0214-4D05-B828-0D34A9D89492}">
          <x14:formula1>
            <xm:f>項目!C1:$RDS$17</xm:f>
          </x14:formula1>
          <xm:sqref>REA5:REA23</xm:sqref>
        </x14:dataValidation>
        <x14:dataValidation type="list" allowBlank="1" showInputMessage="1" showErrorMessage="1" xr:uid="{EA1B94C6-93BA-4192-9BF1-E24AD217D09D}">
          <x14:formula1>
            <xm:f>項目!C$17:$RDS19</xm:f>
          </x14:formula1>
          <xm:sqref>REA24</xm:sqref>
        </x14:dataValidation>
        <x14:dataValidation type="list" allowBlank="1" showInputMessage="1" showErrorMessage="1" xr:uid="{D58BB634-38C0-443C-BF09-7E73731447A4}">
          <x14:formula1>
            <xm:f>項目!C1:$RNO$17</xm:f>
          </x14:formula1>
          <xm:sqref>RNW5:RNW23</xm:sqref>
        </x14:dataValidation>
        <x14:dataValidation type="list" allowBlank="1" showInputMessage="1" showErrorMessage="1" xr:uid="{312C3DEF-2E96-4ACC-A687-9EBBFF937F9D}">
          <x14:formula1>
            <xm:f>項目!C$17:$RNO19</xm:f>
          </x14:formula1>
          <xm:sqref>RNW24</xm:sqref>
        </x14:dataValidation>
        <x14:dataValidation type="list" allowBlank="1" showInputMessage="1" showErrorMessage="1" xr:uid="{7B2F9912-3C0C-4565-9A14-88588122E01C}">
          <x14:formula1>
            <xm:f>項目!C1:$RXK$17</xm:f>
          </x14:formula1>
          <xm:sqref>RXS5:RXS23</xm:sqref>
        </x14:dataValidation>
        <x14:dataValidation type="list" allowBlank="1" showInputMessage="1" showErrorMessage="1" xr:uid="{7E400B8E-BD92-4875-B7BA-8E06792EA505}">
          <x14:formula1>
            <xm:f>項目!C$17:$RXK19</xm:f>
          </x14:formula1>
          <xm:sqref>RXS24</xm:sqref>
        </x14:dataValidation>
        <x14:dataValidation type="list" allowBlank="1" showInputMessage="1" showErrorMessage="1" xr:uid="{C241A06E-B79F-4261-9592-B9A143C402C1}">
          <x14:formula1>
            <xm:f>項目!C1:$SHG$17</xm:f>
          </x14:formula1>
          <xm:sqref>SHO5:SHO23</xm:sqref>
        </x14:dataValidation>
        <x14:dataValidation type="list" allowBlank="1" showInputMessage="1" showErrorMessage="1" xr:uid="{5979EC01-C67B-4B46-A55E-03F2F923F83D}">
          <x14:formula1>
            <xm:f>項目!C$17:$SHG19</xm:f>
          </x14:formula1>
          <xm:sqref>SHO24</xm:sqref>
        </x14:dataValidation>
        <x14:dataValidation type="list" allowBlank="1" showInputMessage="1" showErrorMessage="1" xr:uid="{051A14D8-366C-4C49-A8BA-6AF12C28E384}">
          <x14:formula1>
            <xm:f>項目!C1:$SRC$17</xm:f>
          </x14:formula1>
          <xm:sqref>SRK5:SRK23</xm:sqref>
        </x14:dataValidation>
        <x14:dataValidation type="list" allowBlank="1" showInputMessage="1" showErrorMessage="1" xr:uid="{AFAB47D8-E0AA-4232-9597-B7F934F67C66}">
          <x14:formula1>
            <xm:f>項目!C$17:$SRC19</xm:f>
          </x14:formula1>
          <xm:sqref>SRK24</xm:sqref>
        </x14:dataValidation>
        <x14:dataValidation type="list" allowBlank="1" showInputMessage="1" showErrorMessage="1" xr:uid="{2DBF7F1B-7B10-4CF2-A603-E3C45C602C3D}">
          <x14:formula1>
            <xm:f>項目!C1:$TAY$17</xm:f>
          </x14:formula1>
          <xm:sqref>TBG5:TBG23</xm:sqref>
        </x14:dataValidation>
        <x14:dataValidation type="list" allowBlank="1" showInputMessage="1" showErrorMessage="1" xr:uid="{69FB3B35-D9DA-4608-99B9-4E4D9AC0E9C1}">
          <x14:formula1>
            <xm:f>項目!C$17:$TAY19</xm:f>
          </x14:formula1>
          <xm:sqref>TBG24</xm:sqref>
        </x14:dataValidation>
        <x14:dataValidation type="list" allowBlank="1" showInputMessage="1" showErrorMessage="1" xr:uid="{28869267-AE48-4608-B10B-31C5222EBBB6}">
          <x14:formula1>
            <xm:f>項目!C1:$TKU$17</xm:f>
          </x14:formula1>
          <xm:sqref>TLC5:TLC23</xm:sqref>
        </x14:dataValidation>
        <x14:dataValidation type="list" allowBlank="1" showInputMessage="1" showErrorMessage="1" xr:uid="{85D22D4E-8E57-458F-B733-6835C867689A}">
          <x14:formula1>
            <xm:f>項目!C$17:$TKU19</xm:f>
          </x14:formula1>
          <xm:sqref>TLC24</xm:sqref>
        </x14:dataValidation>
        <x14:dataValidation type="list" allowBlank="1" showInputMessage="1" showErrorMessage="1" xr:uid="{550E5C69-FF34-4FD7-99D8-D7487FE66535}">
          <x14:formula1>
            <xm:f>項目!C1:$TUQ$17</xm:f>
          </x14:formula1>
          <xm:sqref>TUY5:TUY23</xm:sqref>
        </x14:dataValidation>
        <x14:dataValidation type="list" allowBlank="1" showInputMessage="1" showErrorMessage="1" xr:uid="{6C7C6EF7-D2F7-4F13-9F97-C657A316404D}">
          <x14:formula1>
            <xm:f>項目!C$17:$TUQ19</xm:f>
          </x14:formula1>
          <xm:sqref>TUY24</xm:sqref>
        </x14:dataValidation>
        <x14:dataValidation type="list" allowBlank="1" showInputMessage="1" showErrorMessage="1" xr:uid="{F7C64794-5F96-4F1B-B8D5-4457FC3785EE}">
          <x14:formula1>
            <xm:f>項目!C1:$UEM$17</xm:f>
          </x14:formula1>
          <xm:sqref>UEU5:UEU23</xm:sqref>
        </x14:dataValidation>
        <x14:dataValidation type="list" allowBlank="1" showInputMessage="1" showErrorMessage="1" xr:uid="{3C408665-EFD1-4626-892B-63714F1A8C8D}">
          <x14:formula1>
            <xm:f>項目!C$17:$UEM19</xm:f>
          </x14:formula1>
          <xm:sqref>UEU24</xm:sqref>
        </x14:dataValidation>
        <x14:dataValidation type="list" allowBlank="1" showInputMessage="1" showErrorMessage="1" xr:uid="{86B44E1C-D1B3-4599-AD65-B03BFFDE95BB}">
          <x14:formula1>
            <xm:f>項目!C1:$UOI$17</xm:f>
          </x14:formula1>
          <xm:sqref>UOQ5:UOQ23</xm:sqref>
        </x14:dataValidation>
        <x14:dataValidation type="list" allowBlank="1" showInputMessage="1" showErrorMessage="1" xr:uid="{CA7067DC-2D61-44B8-87A6-42BC1603116F}">
          <x14:formula1>
            <xm:f>項目!C$17:$UOI19</xm:f>
          </x14:formula1>
          <xm:sqref>UOQ24</xm:sqref>
        </x14:dataValidation>
        <x14:dataValidation type="list" allowBlank="1" showInputMessage="1" showErrorMessage="1" xr:uid="{F9D16135-ECBA-4E21-98CD-B87D518E7F51}">
          <x14:formula1>
            <xm:f>項目!C1:$UYE$17</xm:f>
          </x14:formula1>
          <xm:sqref>UYM5:UYM23</xm:sqref>
        </x14:dataValidation>
        <x14:dataValidation type="list" allowBlank="1" showInputMessage="1" showErrorMessage="1" xr:uid="{4387F6DE-5EE0-47CD-B840-4837504E151E}">
          <x14:formula1>
            <xm:f>項目!C$17:$UYE19</xm:f>
          </x14:formula1>
          <xm:sqref>UYM24</xm:sqref>
        </x14:dataValidation>
        <x14:dataValidation type="list" allowBlank="1" showInputMessage="1" showErrorMessage="1" xr:uid="{4081C0BB-BF24-479E-A1E8-13348FAEB08C}">
          <x14:formula1>
            <xm:f>項目!C1:$VIA$17</xm:f>
          </x14:formula1>
          <xm:sqref>VII5:VII23</xm:sqref>
        </x14:dataValidation>
        <x14:dataValidation type="list" allowBlank="1" showInputMessage="1" showErrorMessage="1" xr:uid="{07A64066-9389-4974-B4E7-B1D26EEC055D}">
          <x14:formula1>
            <xm:f>項目!C$17:$VIA19</xm:f>
          </x14:formula1>
          <xm:sqref>VII24</xm:sqref>
        </x14:dataValidation>
        <x14:dataValidation type="list" allowBlank="1" showInputMessage="1" showErrorMessage="1" xr:uid="{05BB55AB-6F0A-480F-B82B-41A6231B67C7}">
          <x14:formula1>
            <xm:f>項目!C1:$VRW$17</xm:f>
          </x14:formula1>
          <xm:sqref>VSE5:VSE23</xm:sqref>
        </x14:dataValidation>
        <x14:dataValidation type="list" allowBlank="1" showInputMessage="1" showErrorMessage="1" xr:uid="{B1D4767D-2625-4082-B7F9-C59B43A98148}">
          <x14:formula1>
            <xm:f>項目!C$17:$VRW19</xm:f>
          </x14:formula1>
          <xm:sqref>VSE24</xm:sqref>
        </x14:dataValidation>
        <x14:dataValidation type="list" allowBlank="1" showInputMessage="1" showErrorMessage="1" xr:uid="{85600867-98C1-4861-AC41-65C4D09B8C72}">
          <x14:formula1>
            <xm:f>項目!C1:$WBS$17</xm:f>
          </x14:formula1>
          <xm:sqref>WCA5:WCA23</xm:sqref>
        </x14:dataValidation>
        <x14:dataValidation type="list" allowBlank="1" showInputMessage="1" showErrorMessage="1" xr:uid="{F5E62223-A4D3-40D4-BF0A-C9A5F4EC1FE7}">
          <x14:formula1>
            <xm:f>項目!C$17:$WBS19</xm:f>
          </x14:formula1>
          <xm:sqref>WCA24</xm:sqref>
        </x14:dataValidation>
        <x14:dataValidation type="list" allowBlank="1" showInputMessage="1" showErrorMessage="1" xr:uid="{1836D5D6-EA12-4788-80F9-F36E8782DC70}">
          <x14:formula1>
            <xm:f>項目!C1:$WLO$17</xm:f>
          </x14:formula1>
          <xm:sqref>WLW5:WLW23</xm:sqref>
        </x14:dataValidation>
        <x14:dataValidation type="list" allowBlank="1" showInputMessage="1" showErrorMessage="1" xr:uid="{6592B275-0795-4BD0-AB4D-E413A92DB22A}">
          <x14:formula1>
            <xm:f>項目!C$17:$WLO19</xm:f>
          </x14:formula1>
          <xm:sqref>WLW24</xm:sqref>
        </x14:dataValidation>
        <x14:dataValidation type="list" allowBlank="1" showInputMessage="1" showErrorMessage="1" xr:uid="{DD3BA302-B851-4C79-9A95-57A469481704}">
          <x14:formula1>
            <xm:f>項目!C1:$WVK$17</xm:f>
          </x14:formula1>
          <xm:sqref>WVS5:WVS23</xm:sqref>
        </x14:dataValidation>
        <x14:dataValidation type="list" allowBlank="1" showInputMessage="1" showErrorMessage="1" xr:uid="{D48C1F73-E484-4C3D-AD53-F7042702857F}">
          <x14:formula1>
            <xm:f>項目!C$17:$WVK19</xm:f>
          </x14:formula1>
          <xm:sqref>WVS24</xm:sqref>
        </x14:dataValidation>
        <x14:dataValidation type="list" allowBlank="1" showInputMessage="1" showErrorMessage="1" xr:uid="{513C5128-ECB0-462A-A405-1CBAF52107DC}">
          <x14:formula1>
            <xm:f>項目!C1:$IU$17</xm:f>
          </x14:formula1>
          <xm:sqref>JC5:JC23</xm:sqref>
        </x14:dataValidation>
        <x14:dataValidation type="list" allowBlank="1" showInputMessage="1" showErrorMessage="1" xr:uid="{05F2508E-E03C-4BE3-AE86-31AEC3AE62E4}">
          <x14:formula1>
            <xm:f>項目!C$17:$IU19</xm:f>
          </x14:formula1>
          <xm:sqref>JC24</xm:sqref>
        </x14:dataValidation>
        <x14:dataValidation type="list" allowBlank="1" showInputMessage="1" showErrorMessage="1" xr:uid="{09A4BDE7-4A68-459E-B62E-05C5C85D532C}">
          <x14:formula1>
            <xm:f>項目!C1:$JC$17</xm:f>
          </x14:formula1>
          <xm:sqref>JK5:JK23</xm:sqref>
        </x14:dataValidation>
        <x14:dataValidation type="list" allowBlank="1" showInputMessage="1" showErrorMessage="1" xr:uid="{4814703C-4115-41F2-A51B-F2BC5AD28F9F}">
          <x14:formula1>
            <xm:f>項目!C$17:$JC19</xm:f>
          </x14:formula1>
          <xm:sqref>JK24</xm:sqref>
        </x14:dataValidation>
        <x14:dataValidation type="list" allowBlank="1" showInputMessage="1" showErrorMessage="1" xr:uid="{581376C7-B95F-4A00-A206-1A0533621812}">
          <x14:formula1>
            <xm:f>項目!C1:$SY$17</xm:f>
          </x14:formula1>
          <xm:sqref>TG5:TG23</xm:sqref>
        </x14:dataValidation>
        <x14:dataValidation type="list" allowBlank="1" showInputMessage="1" showErrorMessage="1" xr:uid="{B05B766A-9508-48F0-8682-82ECED9F08D3}">
          <x14:formula1>
            <xm:f>項目!C$17:$SY19</xm:f>
          </x14:formula1>
          <xm:sqref>TG24</xm:sqref>
        </x14:dataValidation>
        <x14:dataValidation type="list" allowBlank="1" showInputMessage="1" showErrorMessage="1" xr:uid="{086EAB6E-28CA-453C-BB0E-32E58E6492C9}">
          <x14:formula1>
            <xm:f>項目!C1:$ACU$17</xm:f>
          </x14:formula1>
          <xm:sqref>ADC5:ADC23</xm:sqref>
        </x14:dataValidation>
        <x14:dataValidation type="list" allowBlank="1" showInputMessage="1" showErrorMessage="1" xr:uid="{5973D22D-2E35-41C8-9DFD-A8CCEE088E7B}">
          <x14:formula1>
            <xm:f>項目!C$17:$ACU19</xm:f>
          </x14:formula1>
          <xm:sqref>ADC24</xm:sqref>
        </x14:dataValidation>
        <x14:dataValidation type="list" allowBlank="1" showInputMessage="1" showErrorMessage="1" xr:uid="{61B94A93-ECAA-4C30-A42B-D0B821D1EB39}">
          <x14:formula1>
            <xm:f>項目!C1:$AMQ$17</xm:f>
          </x14:formula1>
          <xm:sqref>AMY5:AMY23</xm:sqref>
        </x14:dataValidation>
        <x14:dataValidation type="list" allowBlank="1" showInputMessage="1" showErrorMessage="1" xr:uid="{15D7E923-4516-481C-A321-7480AD99CEAA}">
          <x14:formula1>
            <xm:f>項目!C$17:$AMQ19</xm:f>
          </x14:formula1>
          <xm:sqref>AMY24</xm:sqref>
        </x14:dataValidation>
        <x14:dataValidation type="list" allowBlank="1" showInputMessage="1" showErrorMessage="1" xr:uid="{7864051A-616D-4822-962A-11C18E60C1B9}">
          <x14:formula1>
            <xm:f>項目!C1:$AWM$17</xm:f>
          </x14:formula1>
          <xm:sqref>AWU5:AWU23</xm:sqref>
        </x14:dataValidation>
        <x14:dataValidation type="list" allowBlank="1" showInputMessage="1" showErrorMessage="1" xr:uid="{0AC40A0A-1A8C-4C0B-AB94-8E385C91A7B2}">
          <x14:formula1>
            <xm:f>項目!C$17:$AWM19</xm:f>
          </x14:formula1>
          <xm:sqref>AWU24</xm:sqref>
        </x14:dataValidation>
        <x14:dataValidation type="list" allowBlank="1" showInputMessage="1" showErrorMessage="1" xr:uid="{7353A967-0A3B-4679-9D89-E21A38368DC7}">
          <x14:formula1>
            <xm:f>項目!C1:$BGI$17</xm:f>
          </x14:formula1>
          <xm:sqref>BGQ5:BGQ23</xm:sqref>
        </x14:dataValidation>
        <x14:dataValidation type="list" allowBlank="1" showInputMessage="1" showErrorMessage="1" xr:uid="{B77BC800-1D24-4F67-9F8A-DEE4C5997658}">
          <x14:formula1>
            <xm:f>項目!C$17:$BGI19</xm:f>
          </x14:formula1>
          <xm:sqref>BGQ24</xm:sqref>
        </x14:dataValidation>
        <x14:dataValidation type="list" allowBlank="1" showInputMessage="1" showErrorMessage="1" xr:uid="{0473CC9A-49AD-43E3-8DC8-8280EADB53F4}">
          <x14:formula1>
            <xm:f>項目!C1:$BQE$17</xm:f>
          </x14:formula1>
          <xm:sqref>BQM5:BQM23</xm:sqref>
        </x14:dataValidation>
        <x14:dataValidation type="list" allowBlank="1" showInputMessage="1" showErrorMessage="1" xr:uid="{70DC5997-C7E7-46B3-A215-EDF83E364AD3}">
          <x14:formula1>
            <xm:f>項目!C$17:$BQE19</xm:f>
          </x14:formula1>
          <xm:sqref>BQM24</xm:sqref>
        </x14:dataValidation>
        <x14:dataValidation type="list" allowBlank="1" showInputMessage="1" showErrorMessage="1" xr:uid="{64AA2CBA-1AEB-4B1D-86D1-5DE7C2A41192}">
          <x14:formula1>
            <xm:f>項目!C1:$CAA$17</xm:f>
          </x14:formula1>
          <xm:sqref>CAI5:CAI23</xm:sqref>
        </x14:dataValidation>
        <x14:dataValidation type="list" allowBlank="1" showInputMessage="1" showErrorMessage="1" xr:uid="{488849DB-EB59-41A0-995D-BB8416EA1686}">
          <x14:formula1>
            <xm:f>項目!C$17:$CAA19</xm:f>
          </x14:formula1>
          <xm:sqref>CAI24</xm:sqref>
        </x14:dataValidation>
        <x14:dataValidation type="list" allowBlank="1" showInputMessage="1" showErrorMessage="1" xr:uid="{10368189-4110-4DDC-9AF9-343AFD0EA8BC}">
          <x14:formula1>
            <xm:f>項目!C1:$CJW$17</xm:f>
          </x14:formula1>
          <xm:sqref>CKE5:CKE23</xm:sqref>
        </x14:dataValidation>
        <x14:dataValidation type="list" allowBlank="1" showInputMessage="1" showErrorMessage="1" xr:uid="{718E5681-798B-4E02-9934-744FE31F3BD9}">
          <x14:formula1>
            <xm:f>項目!C$17:$CJW19</xm:f>
          </x14:formula1>
          <xm:sqref>CKE24</xm:sqref>
        </x14:dataValidation>
        <x14:dataValidation type="list" allowBlank="1" showInputMessage="1" showErrorMessage="1" xr:uid="{916D7696-FF3F-41E8-9705-619DDC7DA768}">
          <x14:formula1>
            <xm:f>項目!C1:$CTS$17</xm:f>
          </x14:formula1>
          <xm:sqref>CUA5:CUA23</xm:sqref>
        </x14:dataValidation>
        <x14:dataValidation type="list" allowBlank="1" showInputMessage="1" showErrorMessage="1" xr:uid="{EC485B83-2277-4CB6-AD30-DBA318FA756B}">
          <x14:formula1>
            <xm:f>項目!C$17:$CTS19</xm:f>
          </x14:formula1>
          <xm:sqref>CUA24</xm:sqref>
        </x14:dataValidation>
        <x14:dataValidation type="list" allowBlank="1" showInputMessage="1" showErrorMessage="1" xr:uid="{E11D01F6-FE96-48B7-9D7D-C3D1A0EC64F1}">
          <x14:formula1>
            <xm:f>項目!C1:$DDO$17</xm:f>
          </x14:formula1>
          <xm:sqref>DDW5:DDW23</xm:sqref>
        </x14:dataValidation>
        <x14:dataValidation type="list" allowBlank="1" showInputMessage="1" showErrorMessage="1" xr:uid="{27762618-FDE5-49BB-8516-31F27DCF1518}">
          <x14:formula1>
            <xm:f>項目!C$17:$DDO19</xm:f>
          </x14:formula1>
          <xm:sqref>DDW24</xm:sqref>
        </x14:dataValidation>
        <x14:dataValidation type="list" allowBlank="1" showInputMessage="1" showErrorMessage="1" xr:uid="{605D48D2-8B2B-4CD9-A353-DA35B7CB0715}">
          <x14:formula1>
            <xm:f>項目!C1:$DNK$17</xm:f>
          </x14:formula1>
          <xm:sqref>DNS5:DNS23</xm:sqref>
        </x14:dataValidation>
        <x14:dataValidation type="list" allowBlank="1" showInputMessage="1" showErrorMessage="1" xr:uid="{C3F4F023-768C-43BE-98A2-1964F93E24AB}">
          <x14:formula1>
            <xm:f>項目!C$17:$DNK19</xm:f>
          </x14:formula1>
          <xm:sqref>DNS24</xm:sqref>
        </x14:dataValidation>
        <x14:dataValidation type="list" allowBlank="1" showInputMessage="1" showErrorMessage="1" xr:uid="{ECA62B56-B60F-475B-A1D6-0950E8067D86}">
          <x14:formula1>
            <xm:f>項目!C1:$DXG$17</xm:f>
          </x14:formula1>
          <xm:sqref>DXO5:DXO23</xm:sqref>
        </x14:dataValidation>
        <x14:dataValidation type="list" allowBlank="1" showInputMessage="1" showErrorMessage="1" xr:uid="{FE8D280A-B695-42D9-8D1A-39D9CAE144C0}">
          <x14:formula1>
            <xm:f>項目!C$17:$DXG19</xm:f>
          </x14:formula1>
          <xm:sqref>DXO24</xm:sqref>
        </x14:dataValidation>
        <x14:dataValidation type="list" allowBlank="1" showInputMessage="1" showErrorMessage="1" xr:uid="{7B4D9517-6FD2-433A-8264-6E006DAB1242}">
          <x14:formula1>
            <xm:f>項目!C1:$EHC$17</xm:f>
          </x14:formula1>
          <xm:sqref>EHK5:EHK23</xm:sqref>
        </x14:dataValidation>
        <x14:dataValidation type="list" allowBlank="1" showInputMessage="1" showErrorMessage="1" xr:uid="{A3E6D200-400B-4B9E-B44D-FD3B23EEA995}">
          <x14:formula1>
            <xm:f>項目!C$17:$EHC19</xm:f>
          </x14:formula1>
          <xm:sqref>EHK24</xm:sqref>
        </x14:dataValidation>
        <x14:dataValidation type="list" allowBlank="1" showInputMessage="1" showErrorMessage="1" xr:uid="{F79F3247-623D-4D75-8698-D0F2A1E61F96}">
          <x14:formula1>
            <xm:f>項目!C1:$EQY$17</xm:f>
          </x14:formula1>
          <xm:sqref>ERG5:ERG23</xm:sqref>
        </x14:dataValidation>
        <x14:dataValidation type="list" allowBlank="1" showInputMessage="1" showErrorMessage="1" xr:uid="{7AC06214-BBD9-4A90-B5FB-7BF255B607E3}">
          <x14:formula1>
            <xm:f>項目!C$17:$EQY19</xm:f>
          </x14:formula1>
          <xm:sqref>ERG24</xm:sqref>
        </x14:dataValidation>
        <x14:dataValidation type="list" allowBlank="1" showInputMessage="1" showErrorMessage="1" xr:uid="{08D890C9-42AE-45AD-87E3-CFA81657BD0F}">
          <x14:formula1>
            <xm:f>項目!C1:$FAU$17</xm:f>
          </x14:formula1>
          <xm:sqref>FBC5:FBC23</xm:sqref>
        </x14:dataValidation>
        <x14:dataValidation type="list" allowBlank="1" showInputMessage="1" showErrorMessage="1" xr:uid="{F6F07D64-CD1D-4456-9BD8-EC3C335C39BD}">
          <x14:formula1>
            <xm:f>項目!C$17:$FAU19</xm:f>
          </x14:formula1>
          <xm:sqref>FBC24</xm:sqref>
        </x14:dataValidation>
        <x14:dataValidation type="list" allowBlank="1" showInputMessage="1" showErrorMessage="1" xr:uid="{2DEC4BD7-163C-455D-A069-C3703842C094}">
          <x14:formula1>
            <xm:f>項目!C1:$FKQ$17</xm:f>
          </x14:formula1>
          <xm:sqref>FKY5:FKY23</xm:sqref>
        </x14:dataValidation>
        <x14:dataValidation type="list" allowBlank="1" showInputMessage="1" showErrorMessage="1" xr:uid="{3722B9D6-35FA-48F8-AD9A-4966CBEACCE7}">
          <x14:formula1>
            <xm:f>項目!C$17:$FKQ19</xm:f>
          </x14:formula1>
          <xm:sqref>FKY24</xm:sqref>
        </x14:dataValidation>
        <x14:dataValidation type="list" allowBlank="1" showInputMessage="1" showErrorMessage="1" xr:uid="{27B99073-85D0-4150-94BA-97D7A57B47CB}">
          <x14:formula1>
            <xm:f>項目!C1:$FUM$17</xm:f>
          </x14:formula1>
          <xm:sqref>FUU5:FUU23</xm:sqref>
        </x14:dataValidation>
        <x14:dataValidation type="list" allowBlank="1" showInputMessage="1" showErrorMessage="1" xr:uid="{D263680B-9F47-48B6-B835-64A848A27703}">
          <x14:formula1>
            <xm:f>項目!C$17:$FUM19</xm:f>
          </x14:formula1>
          <xm:sqref>FUU24</xm:sqref>
        </x14:dataValidation>
        <x14:dataValidation type="list" allowBlank="1" showInputMessage="1" showErrorMessage="1" xr:uid="{733E641A-3876-42EE-A185-2C39ED6184F1}">
          <x14:formula1>
            <xm:f>項目!C1:$GEI$17</xm:f>
          </x14:formula1>
          <xm:sqref>GEQ5:GEQ23</xm:sqref>
        </x14:dataValidation>
        <x14:dataValidation type="list" allowBlank="1" showInputMessage="1" showErrorMessage="1" xr:uid="{90F64ECE-7D91-4DC6-B3B9-6C703C890F6E}">
          <x14:formula1>
            <xm:f>項目!C$17:$GEI19</xm:f>
          </x14:formula1>
          <xm:sqref>GEQ24</xm:sqref>
        </x14:dataValidation>
        <x14:dataValidation type="list" allowBlank="1" showInputMessage="1" showErrorMessage="1" xr:uid="{05CD64BD-6832-4A0C-8EB2-11E6477B81AA}">
          <x14:formula1>
            <xm:f>項目!C1:$GOE$17</xm:f>
          </x14:formula1>
          <xm:sqref>GOM5:GOM23</xm:sqref>
        </x14:dataValidation>
        <x14:dataValidation type="list" allowBlank="1" showInputMessage="1" showErrorMessage="1" xr:uid="{508A1A82-CC3D-40A4-8BF8-1FDC3227E195}">
          <x14:formula1>
            <xm:f>項目!C$17:$GOE19</xm:f>
          </x14:formula1>
          <xm:sqref>GOM24</xm:sqref>
        </x14:dataValidation>
        <x14:dataValidation type="list" allowBlank="1" showInputMessage="1" showErrorMessage="1" xr:uid="{A2D67A0F-5894-4C70-8476-1C38B6025471}">
          <x14:formula1>
            <xm:f>項目!C1:$GYA$17</xm:f>
          </x14:formula1>
          <xm:sqref>GYI5:GYI23</xm:sqref>
        </x14:dataValidation>
        <x14:dataValidation type="list" allowBlank="1" showInputMessage="1" showErrorMessage="1" xr:uid="{BC773827-0035-46A1-8261-D1385FCC4D0D}">
          <x14:formula1>
            <xm:f>項目!C$17:$GYA19</xm:f>
          </x14:formula1>
          <xm:sqref>GYI24</xm:sqref>
        </x14:dataValidation>
        <x14:dataValidation type="list" allowBlank="1" showInputMessage="1" showErrorMessage="1" xr:uid="{1D5CB20A-19C6-4C65-99A7-CB9B40389BA0}">
          <x14:formula1>
            <xm:f>項目!C1:$HHW$17</xm:f>
          </x14:formula1>
          <xm:sqref>HIE5:HIE23</xm:sqref>
        </x14:dataValidation>
        <x14:dataValidation type="list" allowBlank="1" showInputMessage="1" showErrorMessage="1" xr:uid="{44335EA6-A7ED-41D3-8D55-DF0EDE8C23F5}">
          <x14:formula1>
            <xm:f>項目!C$17:$HHW19</xm:f>
          </x14:formula1>
          <xm:sqref>HIE24</xm:sqref>
        </x14:dataValidation>
        <x14:dataValidation type="list" allowBlank="1" showInputMessage="1" showErrorMessage="1" xr:uid="{740950D3-789A-4712-B55A-81BD7D04C3F1}">
          <x14:formula1>
            <xm:f>項目!C1:$HRS$17</xm:f>
          </x14:formula1>
          <xm:sqref>HSA5:HSA23</xm:sqref>
        </x14:dataValidation>
        <x14:dataValidation type="list" allowBlank="1" showInputMessage="1" showErrorMessage="1" xr:uid="{5038FA04-1934-4DC4-B383-93769996587F}">
          <x14:formula1>
            <xm:f>項目!C$17:$HRS19</xm:f>
          </x14:formula1>
          <xm:sqref>HSA24</xm:sqref>
        </x14:dataValidation>
        <x14:dataValidation type="list" allowBlank="1" showInputMessage="1" showErrorMessage="1" xr:uid="{E57BA85E-CE45-4D11-B0D3-F4109110CE4D}">
          <x14:formula1>
            <xm:f>項目!C1:$IBO$17</xm:f>
          </x14:formula1>
          <xm:sqref>IBW5:IBW23</xm:sqref>
        </x14:dataValidation>
        <x14:dataValidation type="list" allowBlank="1" showInputMessage="1" showErrorMessage="1" xr:uid="{AE55B8B5-8E71-4DAF-8088-A9EDA6F65FD9}">
          <x14:formula1>
            <xm:f>項目!C$17:$IBO19</xm:f>
          </x14:formula1>
          <xm:sqref>IBW24</xm:sqref>
        </x14:dataValidation>
        <x14:dataValidation type="list" allowBlank="1" showInputMessage="1" showErrorMessage="1" xr:uid="{343A5A91-07A6-4FA6-83B8-5FB5B89317D3}">
          <x14:formula1>
            <xm:f>項目!C1:$ILK$17</xm:f>
          </x14:formula1>
          <xm:sqref>ILS5:ILS23</xm:sqref>
        </x14:dataValidation>
        <x14:dataValidation type="list" allowBlank="1" showInputMessage="1" showErrorMessage="1" xr:uid="{52AC8DFA-10A9-409D-8482-B0EA43ADBE9E}">
          <x14:formula1>
            <xm:f>項目!C$17:$ILK19</xm:f>
          </x14:formula1>
          <xm:sqref>ILS24</xm:sqref>
        </x14:dataValidation>
        <x14:dataValidation type="list" allowBlank="1" showInputMessage="1" showErrorMessage="1" xr:uid="{1A610926-C90F-4D76-BE91-BDBE73500152}">
          <x14:formula1>
            <xm:f>項目!C1:$IVG$17</xm:f>
          </x14:formula1>
          <xm:sqref>IVO5:IVO23</xm:sqref>
        </x14:dataValidation>
        <x14:dataValidation type="list" allowBlank="1" showInputMessage="1" showErrorMessage="1" xr:uid="{E377DD83-C02D-4CE7-BD5F-EAC4D67853AD}">
          <x14:formula1>
            <xm:f>項目!C$17:$IVG19</xm:f>
          </x14:formula1>
          <xm:sqref>IVO24</xm:sqref>
        </x14:dataValidation>
        <x14:dataValidation type="list" allowBlank="1" showInputMessage="1" showErrorMessage="1" xr:uid="{E84FFD6D-9DB2-43EA-885E-4957F6900468}">
          <x14:formula1>
            <xm:f>項目!C1:$JFC$17</xm:f>
          </x14:formula1>
          <xm:sqref>JFK5:JFK23</xm:sqref>
        </x14:dataValidation>
        <x14:dataValidation type="list" allowBlank="1" showInputMessage="1" showErrorMessage="1" xr:uid="{F1887C72-6061-49DB-B3F7-2D205EB78663}">
          <x14:formula1>
            <xm:f>項目!C$17:$JFC19</xm:f>
          </x14:formula1>
          <xm:sqref>JFK24</xm:sqref>
        </x14:dataValidation>
        <x14:dataValidation type="list" allowBlank="1" showInputMessage="1" showErrorMessage="1" xr:uid="{4CB5B922-542E-46FE-A873-98CF63898959}">
          <x14:formula1>
            <xm:f>項目!C1:$JOY$17</xm:f>
          </x14:formula1>
          <xm:sqref>JPG5:JPG23</xm:sqref>
        </x14:dataValidation>
        <x14:dataValidation type="list" allowBlank="1" showInputMessage="1" showErrorMessage="1" xr:uid="{7125E1D3-2263-4882-9358-0C5D25389F9F}">
          <x14:formula1>
            <xm:f>項目!C$17:$JOY19</xm:f>
          </x14:formula1>
          <xm:sqref>JPG24</xm:sqref>
        </x14:dataValidation>
        <x14:dataValidation type="list" allowBlank="1" showInputMessage="1" showErrorMessage="1" xr:uid="{4BAC8F9E-77D9-45ED-AD06-2F6F63888B73}">
          <x14:formula1>
            <xm:f>項目!C1:$JYU$17</xm:f>
          </x14:formula1>
          <xm:sqref>JZC5:JZC23</xm:sqref>
        </x14:dataValidation>
        <x14:dataValidation type="list" allowBlank="1" showInputMessage="1" showErrorMessage="1" xr:uid="{FBD285CB-7849-4549-BB1E-754D38FD5384}">
          <x14:formula1>
            <xm:f>項目!C$17:$JYU19</xm:f>
          </x14:formula1>
          <xm:sqref>JZC24</xm:sqref>
        </x14:dataValidation>
        <x14:dataValidation type="list" allowBlank="1" showInputMessage="1" showErrorMessage="1" xr:uid="{6B54B2EB-2BC7-443E-84A2-A8B7B5F273A6}">
          <x14:formula1>
            <xm:f>項目!C1:$KIQ$17</xm:f>
          </x14:formula1>
          <xm:sqref>KIY5:KIY23</xm:sqref>
        </x14:dataValidation>
        <x14:dataValidation type="list" allowBlank="1" showInputMessage="1" showErrorMessage="1" xr:uid="{292C9367-E813-4363-B5D8-6C1128AB1EB3}">
          <x14:formula1>
            <xm:f>項目!C$17:$KIQ19</xm:f>
          </x14:formula1>
          <xm:sqref>KIY24</xm:sqref>
        </x14:dataValidation>
        <x14:dataValidation type="list" allowBlank="1" showInputMessage="1" showErrorMessage="1" xr:uid="{098C7F20-1C49-4AF0-9519-0B11C69A7F32}">
          <x14:formula1>
            <xm:f>項目!C1:$KSM$17</xm:f>
          </x14:formula1>
          <xm:sqref>KSU5:KSU23</xm:sqref>
        </x14:dataValidation>
        <x14:dataValidation type="list" allowBlank="1" showInputMessage="1" showErrorMessage="1" xr:uid="{C4A35A96-53E3-44B8-BEB6-76D9E8E53F93}">
          <x14:formula1>
            <xm:f>項目!C$17:$KSM19</xm:f>
          </x14:formula1>
          <xm:sqref>KSU24</xm:sqref>
        </x14:dataValidation>
        <x14:dataValidation type="list" allowBlank="1" showInputMessage="1" showErrorMessage="1" xr:uid="{AA7EFC7A-4D96-43C7-8354-C874A1EE4C16}">
          <x14:formula1>
            <xm:f>項目!C1:$LCI$17</xm:f>
          </x14:formula1>
          <xm:sqref>LCQ5:LCQ23</xm:sqref>
        </x14:dataValidation>
        <x14:dataValidation type="list" allowBlank="1" showInputMessage="1" showErrorMessage="1" xr:uid="{32FDFB1D-C9B9-4C43-A003-5C1088F17387}">
          <x14:formula1>
            <xm:f>項目!C$17:$LCI19</xm:f>
          </x14:formula1>
          <xm:sqref>LCQ24</xm:sqref>
        </x14:dataValidation>
        <x14:dataValidation type="list" allowBlank="1" showInputMessage="1" showErrorMessage="1" xr:uid="{D4FBB1B8-33D1-44A8-96E5-633E802325E1}">
          <x14:formula1>
            <xm:f>項目!C1:$LME$17</xm:f>
          </x14:formula1>
          <xm:sqref>LMM5:LMM23</xm:sqref>
        </x14:dataValidation>
        <x14:dataValidation type="list" allowBlank="1" showInputMessage="1" showErrorMessage="1" xr:uid="{6A7AB652-0151-4083-BAD8-5E6740FF142F}">
          <x14:formula1>
            <xm:f>項目!C$17:$LME19</xm:f>
          </x14:formula1>
          <xm:sqref>LMM24</xm:sqref>
        </x14:dataValidation>
        <x14:dataValidation type="list" allowBlank="1" showInputMessage="1" showErrorMessage="1" xr:uid="{EFD62D93-EF1F-4699-9D64-39C0761E6EB1}">
          <x14:formula1>
            <xm:f>項目!C1:$LWA$17</xm:f>
          </x14:formula1>
          <xm:sqref>LWI5:LWI23</xm:sqref>
        </x14:dataValidation>
        <x14:dataValidation type="list" allowBlank="1" showInputMessage="1" showErrorMessage="1" xr:uid="{8CA874D1-1BB4-4F61-9CBD-6D68E014040A}">
          <x14:formula1>
            <xm:f>項目!C$17:$LWA19</xm:f>
          </x14:formula1>
          <xm:sqref>LWI24</xm:sqref>
        </x14:dataValidation>
        <x14:dataValidation type="list" allowBlank="1" showInputMessage="1" showErrorMessage="1" xr:uid="{7859E9EB-3CF0-472A-BD25-3DA23BE22BC7}">
          <x14:formula1>
            <xm:f>項目!C1:$MFW$17</xm:f>
          </x14:formula1>
          <xm:sqref>MGE5:MGE23</xm:sqref>
        </x14:dataValidation>
        <x14:dataValidation type="list" allowBlank="1" showInputMessage="1" showErrorMessage="1" xr:uid="{50183120-A86F-4818-A3F1-C8D83E4F21E7}">
          <x14:formula1>
            <xm:f>項目!C$17:$MFW19</xm:f>
          </x14:formula1>
          <xm:sqref>MGE24</xm:sqref>
        </x14:dataValidation>
        <x14:dataValidation type="list" allowBlank="1" showInputMessage="1" showErrorMessage="1" xr:uid="{3FEFD53C-EF85-4428-89F6-37708F39F160}">
          <x14:formula1>
            <xm:f>項目!C1:$MPS$17</xm:f>
          </x14:formula1>
          <xm:sqref>MQA5:MQA23</xm:sqref>
        </x14:dataValidation>
        <x14:dataValidation type="list" allowBlank="1" showInputMessage="1" showErrorMessage="1" xr:uid="{879781A3-093D-43B7-B4F2-684DF3BDA09D}">
          <x14:formula1>
            <xm:f>項目!C$17:$MPS19</xm:f>
          </x14:formula1>
          <xm:sqref>MQA24</xm:sqref>
        </x14:dataValidation>
        <x14:dataValidation type="list" allowBlank="1" showInputMessage="1" showErrorMessage="1" xr:uid="{46DCA134-1196-44F0-BA4E-C01B3327D0A4}">
          <x14:formula1>
            <xm:f>項目!C1:$MZO$17</xm:f>
          </x14:formula1>
          <xm:sqref>MZW5:MZW23</xm:sqref>
        </x14:dataValidation>
        <x14:dataValidation type="list" allowBlank="1" showInputMessage="1" showErrorMessage="1" xr:uid="{5741AAA4-193E-4EDC-A0EA-6DC895076D3D}">
          <x14:formula1>
            <xm:f>項目!C$17:$MZO19</xm:f>
          </x14:formula1>
          <xm:sqref>MZW24</xm:sqref>
        </x14:dataValidation>
        <x14:dataValidation type="list" allowBlank="1" showInputMessage="1" showErrorMessage="1" xr:uid="{F9AA8B13-0D97-4EB2-AA26-4334F6687633}">
          <x14:formula1>
            <xm:f>項目!C1:$NJK$17</xm:f>
          </x14:formula1>
          <xm:sqref>NJS5:NJS23</xm:sqref>
        </x14:dataValidation>
        <x14:dataValidation type="list" allowBlank="1" showInputMessage="1" showErrorMessage="1" xr:uid="{1A4854A7-0392-427C-B210-FFC5EFFA8200}">
          <x14:formula1>
            <xm:f>項目!C$17:$NJK19</xm:f>
          </x14:formula1>
          <xm:sqref>NJS24</xm:sqref>
        </x14:dataValidation>
        <x14:dataValidation type="list" allowBlank="1" showInputMessage="1" showErrorMessage="1" xr:uid="{759920D8-BA05-4E1A-8132-A628E17FBF9F}">
          <x14:formula1>
            <xm:f>項目!C1:$NTG$17</xm:f>
          </x14:formula1>
          <xm:sqref>NTO5:NTO23</xm:sqref>
        </x14:dataValidation>
        <x14:dataValidation type="list" allowBlank="1" showInputMessage="1" showErrorMessage="1" xr:uid="{618B2C68-056F-4BBC-AABC-500452F65557}">
          <x14:formula1>
            <xm:f>項目!C$17:$NTG19</xm:f>
          </x14:formula1>
          <xm:sqref>NTO24</xm:sqref>
        </x14:dataValidation>
        <x14:dataValidation type="list" allowBlank="1" showInputMessage="1" showErrorMessage="1" xr:uid="{0897009F-EA09-46E6-8677-15AC78522C61}">
          <x14:formula1>
            <xm:f>項目!C1:$ODC$17</xm:f>
          </x14:formula1>
          <xm:sqref>ODK5:ODK23</xm:sqref>
        </x14:dataValidation>
        <x14:dataValidation type="list" allowBlank="1" showInputMessage="1" showErrorMessage="1" xr:uid="{7A042519-0214-4534-AB32-0C796BB91E0B}">
          <x14:formula1>
            <xm:f>項目!C$17:$ODC19</xm:f>
          </x14:formula1>
          <xm:sqref>ODK24</xm:sqref>
        </x14:dataValidation>
        <x14:dataValidation type="list" allowBlank="1" showInputMessage="1" showErrorMessage="1" xr:uid="{C36C5B3F-F124-48AE-B4F7-7F9496AB343D}">
          <x14:formula1>
            <xm:f>項目!C1:$OMY$17</xm:f>
          </x14:formula1>
          <xm:sqref>ONG5:ONG23</xm:sqref>
        </x14:dataValidation>
        <x14:dataValidation type="list" allowBlank="1" showInputMessage="1" showErrorMessage="1" xr:uid="{A77090C7-2E6E-4AAA-883D-C0EB62D15959}">
          <x14:formula1>
            <xm:f>項目!C$17:$OMY19</xm:f>
          </x14:formula1>
          <xm:sqref>ONG24</xm:sqref>
        </x14:dataValidation>
        <x14:dataValidation type="list" allowBlank="1" showInputMessage="1" showErrorMessage="1" xr:uid="{6B6DA40B-363E-489A-A9F7-3BBC0D5B00CB}">
          <x14:formula1>
            <xm:f>項目!C1:$OWU$17</xm:f>
          </x14:formula1>
          <xm:sqref>OXC5:OXC23</xm:sqref>
        </x14:dataValidation>
        <x14:dataValidation type="list" allowBlank="1" showInputMessage="1" showErrorMessage="1" xr:uid="{C474583C-3CDF-40C8-A914-182DCCB7295E}">
          <x14:formula1>
            <xm:f>項目!C$17:$OWU19</xm:f>
          </x14:formula1>
          <xm:sqref>OXC24</xm:sqref>
        </x14:dataValidation>
        <x14:dataValidation type="list" allowBlank="1" showInputMessage="1" showErrorMessage="1" xr:uid="{C3737E79-1EE9-48F1-9186-4CF03B43AB99}">
          <x14:formula1>
            <xm:f>項目!C1:$PGQ$17</xm:f>
          </x14:formula1>
          <xm:sqref>PGY5:PGY23</xm:sqref>
        </x14:dataValidation>
        <x14:dataValidation type="list" allowBlank="1" showInputMessage="1" showErrorMessage="1" xr:uid="{EBAE991E-36C2-43E7-912B-3E412A1FCDED}">
          <x14:formula1>
            <xm:f>項目!C$17:$PGQ19</xm:f>
          </x14:formula1>
          <xm:sqref>PGY24</xm:sqref>
        </x14:dataValidation>
        <x14:dataValidation type="list" allowBlank="1" showInputMessage="1" showErrorMessage="1" xr:uid="{BE940C91-5FD4-49A7-A46E-F425D3CC877A}">
          <x14:formula1>
            <xm:f>項目!C1:$PQM$17</xm:f>
          </x14:formula1>
          <xm:sqref>PQU5:PQU23</xm:sqref>
        </x14:dataValidation>
        <x14:dataValidation type="list" allowBlank="1" showInputMessage="1" showErrorMessage="1" xr:uid="{50159FD9-156C-4AF6-A2CB-35E54273248B}">
          <x14:formula1>
            <xm:f>項目!C$17:$PQM19</xm:f>
          </x14:formula1>
          <xm:sqref>PQU24</xm:sqref>
        </x14:dataValidation>
        <x14:dataValidation type="list" allowBlank="1" showInputMessage="1" showErrorMessage="1" xr:uid="{4D8779A8-8350-48E2-8B5F-F48D8B1FAD1C}">
          <x14:formula1>
            <xm:f>項目!C1:$QAI$17</xm:f>
          </x14:formula1>
          <xm:sqref>QAQ5:QAQ23</xm:sqref>
        </x14:dataValidation>
        <x14:dataValidation type="list" allowBlank="1" showInputMessage="1" showErrorMessage="1" xr:uid="{D5B93A42-EB52-46C2-85E3-035EACDA70AB}">
          <x14:formula1>
            <xm:f>項目!C$17:$QAI19</xm:f>
          </x14:formula1>
          <xm:sqref>QAQ24</xm:sqref>
        </x14:dataValidation>
        <x14:dataValidation type="list" allowBlank="1" showInputMessage="1" showErrorMessage="1" xr:uid="{84F8B2CD-4B2A-4532-BF7F-E42BF5D93EB2}">
          <x14:formula1>
            <xm:f>項目!C1:$QKE$17</xm:f>
          </x14:formula1>
          <xm:sqref>QKM5:QKM23</xm:sqref>
        </x14:dataValidation>
        <x14:dataValidation type="list" allowBlank="1" showInputMessage="1" showErrorMessage="1" xr:uid="{BE843C7C-7067-4AEE-909C-9DD8ECED252B}">
          <x14:formula1>
            <xm:f>項目!C$17:$QKE19</xm:f>
          </x14:formula1>
          <xm:sqref>QKM24</xm:sqref>
        </x14:dataValidation>
        <x14:dataValidation type="list" allowBlank="1" showInputMessage="1" showErrorMessage="1" xr:uid="{950F88CA-A5D3-4D3F-8970-28EA61D0A4D7}">
          <x14:formula1>
            <xm:f>項目!C1:$QUA$17</xm:f>
          </x14:formula1>
          <xm:sqref>QUI5:QUI23</xm:sqref>
        </x14:dataValidation>
        <x14:dataValidation type="list" allowBlank="1" showInputMessage="1" showErrorMessage="1" xr:uid="{E4E17ECC-1123-416A-AA49-3472E133E720}">
          <x14:formula1>
            <xm:f>項目!C$17:$QUA19</xm:f>
          </x14:formula1>
          <xm:sqref>QUI24</xm:sqref>
        </x14:dataValidation>
        <x14:dataValidation type="list" allowBlank="1" showInputMessage="1" showErrorMessage="1" xr:uid="{A2F40A3B-B3A8-427B-B678-455218B21A77}">
          <x14:formula1>
            <xm:f>項目!C1:$RDW$17</xm:f>
          </x14:formula1>
          <xm:sqref>REE5:REE23</xm:sqref>
        </x14:dataValidation>
        <x14:dataValidation type="list" allowBlank="1" showInputMessage="1" showErrorMessage="1" xr:uid="{83D0F0B8-E720-4AE0-8A41-A0BF0AC253E8}">
          <x14:formula1>
            <xm:f>項目!C$17:$RDW19</xm:f>
          </x14:formula1>
          <xm:sqref>REE24</xm:sqref>
        </x14:dataValidation>
        <x14:dataValidation type="list" allowBlank="1" showInputMessage="1" showErrorMessage="1" xr:uid="{D908F69C-CE28-4AA8-A69C-2C8BAA49A08E}">
          <x14:formula1>
            <xm:f>項目!C1:$RNS$17</xm:f>
          </x14:formula1>
          <xm:sqref>ROA5:ROA23</xm:sqref>
        </x14:dataValidation>
        <x14:dataValidation type="list" allowBlank="1" showInputMessage="1" showErrorMessage="1" xr:uid="{89F7A5B8-C2D3-4602-810F-295311F755E4}">
          <x14:formula1>
            <xm:f>項目!C$17:$RNS19</xm:f>
          </x14:formula1>
          <xm:sqref>ROA24</xm:sqref>
        </x14:dataValidation>
        <x14:dataValidation type="list" allowBlank="1" showInputMessage="1" showErrorMessage="1" xr:uid="{8C1E6D72-7FE3-4EC7-9A74-617029D8A50D}">
          <x14:formula1>
            <xm:f>項目!C1:$RXO$17</xm:f>
          </x14:formula1>
          <xm:sqref>RXW5:RXW23</xm:sqref>
        </x14:dataValidation>
        <x14:dataValidation type="list" allowBlank="1" showInputMessage="1" showErrorMessage="1" xr:uid="{F6F33ED1-8E0A-413C-9716-2AD3F6EAFBDD}">
          <x14:formula1>
            <xm:f>項目!C$17:$RXO19</xm:f>
          </x14:formula1>
          <xm:sqref>RXW24</xm:sqref>
        </x14:dataValidation>
        <x14:dataValidation type="list" allowBlank="1" showInputMessage="1" showErrorMessage="1" xr:uid="{43D6D0BD-E9AE-48B4-993A-9EB851788C72}">
          <x14:formula1>
            <xm:f>項目!C1:$SHK$17</xm:f>
          </x14:formula1>
          <xm:sqref>SHS5:SHS23</xm:sqref>
        </x14:dataValidation>
        <x14:dataValidation type="list" allowBlank="1" showInputMessage="1" showErrorMessage="1" xr:uid="{0AAB1527-F758-4799-8F43-30C516399B1F}">
          <x14:formula1>
            <xm:f>項目!C$17:$SHK19</xm:f>
          </x14:formula1>
          <xm:sqref>SHS24</xm:sqref>
        </x14:dataValidation>
        <x14:dataValidation type="list" allowBlank="1" showInputMessage="1" showErrorMessage="1" xr:uid="{591EEC46-8BBB-4804-A0CC-4F6B891D2A4A}">
          <x14:formula1>
            <xm:f>項目!C1:$SRG$17</xm:f>
          </x14:formula1>
          <xm:sqref>SRO5:SRO23</xm:sqref>
        </x14:dataValidation>
        <x14:dataValidation type="list" allowBlank="1" showInputMessage="1" showErrorMessage="1" xr:uid="{BC916F42-3D11-4A91-B113-5B8074F41244}">
          <x14:formula1>
            <xm:f>項目!C$17:$SRG19</xm:f>
          </x14:formula1>
          <xm:sqref>SRO24</xm:sqref>
        </x14:dataValidation>
        <x14:dataValidation type="list" allowBlank="1" showInputMessage="1" showErrorMessage="1" xr:uid="{7284A7E7-AB98-4CB5-99EF-99E4F1854FFA}">
          <x14:formula1>
            <xm:f>項目!C1:$TBC$17</xm:f>
          </x14:formula1>
          <xm:sqref>TBK5:TBK23</xm:sqref>
        </x14:dataValidation>
        <x14:dataValidation type="list" allowBlank="1" showInputMessage="1" showErrorMessage="1" xr:uid="{A883B45A-ABFB-47FB-92A3-EDE00FF63D3A}">
          <x14:formula1>
            <xm:f>項目!C$17:$TBC19</xm:f>
          </x14:formula1>
          <xm:sqref>TBK24</xm:sqref>
        </x14:dataValidation>
        <x14:dataValidation type="list" allowBlank="1" showInputMessage="1" showErrorMessage="1" xr:uid="{287052F3-2176-4A7A-958E-754AE42F07ED}">
          <x14:formula1>
            <xm:f>項目!C1:$TKY$17</xm:f>
          </x14:formula1>
          <xm:sqref>TLG5:TLG23</xm:sqref>
        </x14:dataValidation>
        <x14:dataValidation type="list" allowBlank="1" showInputMessage="1" showErrorMessage="1" xr:uid="{6BAD9056-A628-4DDC-9402-0EEE2D9C9166}">
          <x14:formula1>
            <xm:f>項目!C$17:$TKY19</xm:f>
          </x14:formula1>
          <xm:sqref>TLG24</xm:sqref>
        </x14:dataValidation>
        <x14:dataValidation type="list" allowBlank="1" showInputMessage="1" showErrorMessage="1" xr:uid="{F2548962-2DF7-44C6-A0C0-7C21D292CD3D}">
          <x14:formula1>
            <xm:f>項目!C1:$TUU$17</xm:f>
          </x14:formula1>
          <xm:sqref>TVC5:TVC23</xm:sqref>
        </x14:dataValidation>
        <x14:dataValidation type="list" allowBlank="1" showInputMessage="1" showErrorMessage="1" xr:uid="{368B4757-85E7-4ABD-9A48-6D3CE566F7FE}">
          <x14:formula1>
            <xm:f>項目!C$17:$TUU19</xm:f>
          </x14:formula1>
          <xm:sqref>TVC24</xm:sqref>
        </x14:dataValidation>
        <x14:dataValidation type="list" allowBlank="1" showInputMessage="1" showErrorMessage="1" xr:uid="{3FDB69B6-E362-41FD-872F-13826BDCE4CC}">
          <x14:formula1>
            <xm:f>項目!C1:$UEQ$17</xm:f>
          </x14:formula1>
          <xm:sqref>UEY5:UEY23</xm:sqref>
        </x14:dataValidation>
        <x14:dataValidation type="list" allowBlank="1" showInputMessage="1" showErrorMessage="1" xr:uid="{8F934085-5B39-4F94-A836-28A9B4276B6F}">
          <x14:formula1>
            <xm:f>項目!C$17:$UEQ19</xm:f>
          </x14:formula1>
          <xm:sqref>UEY24</xm:sqref>
        </x14:dataValidation>
        <x14:dataValidation type="list" allowBlank="1" showInputMessage="1" showErrorMessage="1" xr:uid="{5098FD14-3EDE-461D-B91E-1C7A53A995B3}">
          <x14:formula1>
            <xm:f>項目!C1:$UOM$17</xm:f>
          </x14:formula1>
          <xm:sqref>UOU5:UOU23</xm:sqref>
        </x14:dataValidation>
        <x14:dataValidation type="list" allowBlank="1" showInputMessage="1" showErrorMessage="1" xr:uid="{7EA5F5EC-FDEB-4347-B34E-8974225788ED}">
          <x14:formula1>
            <xm:f>項目!C$17:$UOM19</xm:f>
          </x14:formula1>
          <xm:sqref>UOU24</xm:sqref>
        </x14:dataValidation>
        <x14:dataValidation type="list" allowBlank="1" showInputMessage="1" showErrorMessage="1" xr:uid="{6D33760B-1243-43AC-A8A1-9DCB68CBBE7E}">
          <x14:formula1>
            <xm:f>項目!C1:$UYI$17</xm:f>
          </x14:formula1>
          <xm:sqref>UYQ5:UYQ23</xm:sqref>
        </x14:dataValidation>
        <x14:dataValidation type="list" allowBlank="1" showInputMessage="1" showErrorMessage="1" xr:uid="{6CAEF26F-A073-4AF2-86E4-FD302D1DB9AC}">
          <x14:formula1>
            <xm:f>項目!C$17:$UYI19</xm:f>
          </x14:formula1>
          <xm:sqref>UYQ24</xm:sqref>
        </x14:dataValidation>
        <x14:dataValidation type="list" allowBlank="1" showInputMessage="1" showErrorMessage="1" xr:uid="{A8AA8E21-EFE0-4E42-B07A-E811D6FA74F0}">
          <x14:formula1>
            <xm:f>項目!C1:$VIE$17</xm:f>
          </x14:formula1>
          <xm:sqref>VIM5:VIM23</xm:sqref>
        </x14:dataValidation>
        <x14:dataValidation type="list" allowBlank="1" showInputMessage="1" showErrorMessage="1" xr:uid="{9D850001-FC22-45F9-BCE7-FA9014BBFD5D}">
          <x14:formula1>
            <xm:f>項目!C$17:$VIE19</xm:f>
          </x14:formula1>
          <xm:sqref>VIM24</xm:sqref>
        </x14:dataValidation>
        <x14:dataValidation type="list" allowBlank="1" showInputMessage="1" showErrorMessage="1" xr:uid="{4C3229DF-FD52-4185-B9F0-2E150C2C2708}">
          <x14:formula1>
            <xm:f>項目!C1:$VSA$17</xm:f>
          </x14:formula1>
          <xm:sqref>VSI5:VSI23</xm:sqref>
        </x14:dataValidation>
        <x14:dataValidation type="list" allowBlank="1" showInputMessage="1" showErrorMessage="1" xr:uid="{A64B0FCA-BE8E-4D08-8A86-E60EE7A08A9A}">
          <x14:formula1>
            <xm:f>項目!C$17:$VSA19</xm:f>
          </x14:formula1>
          <xm:sqref>VSI24</xm:sqref>
        </x14:dataValidation>
        <x14:dataValidation type="list" allowBlank="1" showInputMessage="1" showErrorMessage="1" xr:uid="{B1D298E6-56AB-4CCA-8DE6-AC2541641A74}">
          <x14:formula1>
            <xm:f>項目!C1:$WBW$17</xm:f>
          </x14:formula1>
          <xm:sqref>WCE5:WCE23</xm:sqref>
        </x14:dataValidation>
        <x14:dataValidation type="list" allowBlank="1" showInputMessage="1" showErrorMessage="1" xr:uid="{76A98EFA-3BF9-46BA-92B8-985C47959CD8}">
          <x14:formula1>
            <xm:f>項目!C$17:$WBW19</xm:f>
          </x14:formula1>
          <xm:sqref>WCE24</xm:sqref>
        </x14:dataValidation>
        <x14:dataValidation type="list" allowBlank="1" showInputMessage="1" showErrorMessage="1" xr:uid="{35461695-E044-48E3-9E44-2822F65A0453}">
          <x14:formula1>
            <xm:f>項目!C1:$WLS$17</xm:f>
          </x14:formula1>
          <xm:sqref>WMA5:WMA23</xm:sqref>
        </x14:dataValidation>
        <x14:dataValidation type="list" allowBlank="1" showInputMessage="1" showErrorMessage="1" xr:uid="{D592DAA5-552E-4628-8F43-E7B1E1EF5235}">
          <x14:formula1>
            <xm:f>項目!C$17:$WLS19</xm:f>
          </x14:formula1>
          <xm:sqref>WMA24</xm:sqref>
        </x14:dataValidation>
        <x14:dataValidation type="list" allowBlank="1" showInputMessage="1" showErrorMessage="1" xr:uid="{FBED9583-221E-4C93-826D-82E8801A0FF8}">
          <x14:formula1>
            <xm:f>項目!C1:$WVO$17</xm:f>
          </x14:formula1>
          <xm:sqref>WVW5:WVW23</xm:sqref>
        </x14:dataValidation>
        <x14:dataValidation type="list" allowBlank="1" showInputMessage="1" showErrorMessage="1" xr:uid="{A46C16A5-9EAA-4EA7-AC94-36E4122FAE2A}">
          <x14:formula1>
            <xm:f>項目!C$17:$WVO19</xm:f>
          </x14:formula1>
          <xm:sqref>WVW24</xm:sqref>
        </x14:dataValidation>
        <x14:dataValidation type="list" allowBlank="1" showInputMessage="1" showErrorMessage="1" xr:uid="{34AB5647-B0A7-4152-BE4F-864B4ACB1E8F}">
          <x14:formula1>
            <xm:f>項目!C1:$SQ$17</xm:f>
          </x14:formula1>
          <xm:sqref>SY5:SY23</xm:sqref>
        </x14:dataValidation>
        <x14:dataValidation type="list" allowBlank="1" showInputMessage="1" showErrorMessage="1" xr:uid="{F0EFF338-D7BE-436C-BE96-D18A845A5252}">
          <x14:formula1>
            <xm:f>項目!C$17:$SQ19</xm:f>
          </x14:formula1>
          <xm:sqref>SY24</xm:sqref>
        </x14:dataValidation>
        <x14:dataValidation type="list" allowBlank="1" showInputMessage="1" showErrorMessage="1" xr:uid="{537077C1-D884-4A4C-8647-4121ADF2202C}">
          <x14:formula1>
            <xm:f>項目!C1:$JG$17</xm:f>
          </x14:formula1>
          <xm:sqref>JO5:JO23</xm:sqref>
        </x14:dataValidation>
        <x14:dataValidation type="list" allowBlank="1" showInputMessage="1" showErrorMessage="1" xr:uid="{23C95E1C-67E2-480F-9154-7B2C58177F7E}">
          <x14:formula1>
            <xm:f>項目!C$17:$JG19</xm:f>
          </x14:formula1>
          <xm:sqref>JO24</xm:sqref>
        </x14:dataValidation>
        <x14:dataValidation type="list" allowBlank="1" showInputMessage="1" showErrorMessage="1" xr:uid="{57B73C13-18B1-42A4-80BA-CC57619C3B9C}">
          <x14:formula1>
            <xm:f>項目!C1:$TC$17</xm:f>
          </x14:formula1>
          <xm:sqref>TK5:TK23</xm:sqref>
        </x14:dataValidation>
        <x14:dataValidation type="list" allowBlank="1" showInputMessage="1" showErrorMessage="1" xr:uid="{69B01E76-F490-46B8-B95E-ADF10BA0A8AB}">
          <x14:formula1>
            <xm:f>項目!C$17:$TC19</xm:f>
          </x14:formula1>
          <xm:sqref>TK24</xm:sqref>
        </x14:dataValidation>
        <x14:dataValidation type="list" allowBlank="1" showInputMessage="1" showErrorMessage="1" xr:uid="{9F6E2C40-DAAF-41B6-AECD-B0819D79CE48}">
          <x14:formula1>
            <xm:f>項目!C1:$ACY$17</xm:f>
          </x14:formula1>
          <xm:sqref>ADG5:ADG23</xm:sqref>
        </x14:dataValidation>
        <x14:dataValidation type="list" allowBlank="1" showInputMessage="1" showErrorMessage="1" xr:uid="{8CCCDF35-B1CC-4BA9-A756-7E32007BED9B}">
          <x14:formula1>
            <xm:f>項目!C$17:$ACY19</xm:f>
          </x14:formula1>
          <xm:sqref>ADG24</xm:sqref>
        </x14:dataValidation>
        <x14:dataValidation type="list" allowBlank="1" showInputMessage="1" showErrorMessage="1" xr:uid="{15D2ABE7-8D3B-4B62-935E-CC8AB900E342}">
          <x14:formula1>
            <xm:f>項目!C1:$AMU$17</xm:f>
          </x14:formula1>
          <xm:sqref>ANC5:ANC23</xm:sqref>
        </x14:dataValidation>
        <x14:dataValidation type="list" allowBlank="1" showInputMessage="1" showErrorMessage="1" xr:uid="{C10E1F36-6511-4EC9-A624-075B599AF0B8}">
          <x14:formula1>
            <xm:f>項目!C$17:$AMU19</xm:f>
          </x14:formula1>
          <xm:sqref>ANC24</xm:sqref>
        </x14:dataValidation>
        <x14:dataValidation type="list" allowBlank="1" showInputMessage="1" showErrorMessage="1" xr:uid="{E93F54C0-FF4C-425E-993B-A1541313494F}">
          <x14:formula1>
            <xm:f>項目!C1:$AWQ$17</xm:f>
          </x14:formula1>
          <xm:sqref>AWY5:AWY23</xm:sqref>
        </x14:dataValidation>
        <x14:dataValidation type="list" allowBlank="1" showInputMessage="1" showErrorMessage="1" xr:uid="{4ED46144-F992-4A84-93BA-528A470E7DB9}">
          <x14:formula1>
            <xm:f>項目!C$17:$AWQ19</xm:f>
          </x14:formula1>
          <xm:sqref>AWY24</xm:sqref>
        </x14:dataValidation>
        <x14:dataValidation type="list" allowBlank="1" showInputMessage="1" showErrorMessage="1" xr:uid="{CE4A2BD9-CDAB-4C6E-8BF7-13B2F91087BC}">
          <x14:formula1>
            <xm:f>項目!C1:$BGM$17</xm:f>
          </x14:formula1>
          <xm:sqref>BGU5:BGU23</xm:sqref>
        </x14:dataValidation>
        <x14:dataValidation type="list" allowBlank="1" showInputMessage="1" showErrorMessage="1" xr:uid="{16D57BA6-2FAD-4A31-90F3-E3C503CE9E40}">
          <x14:formula1>
            <xm:f>項目!C$17:$BGM19</xm:f>
          </x14:formula1>
          <xm:sqref>BGU24</xm:sqref>
        </x14:dataValidation>
        <x14:dataValidation type="list" allowBlank="1" showInputMessage="1" showErrorMessage="1" xr:uid="{E7D5BAEC-37CF-437D-ABFE-11894352F207}">
          <x14:formula1>
            <xm:f>項目!C1:$BQI$17</xm:f>
          </x14:formula1>
          <xm:sqref>BQQ5:BQQ23</xm:sqref>
        </x14:dataValidation>
        <x14:dataValidation type="list" allowBlank="1" showInputMessage="1" showErrorMessage="1" xr:uid="{215FFF00-66C8-492F-9B61-6A039317E411}">
          <x14:formula1>
            <xm:f>項目!C$17:$BQI19</xm:f>
          </x14:formula1>
          <xm:sqref>BQQ24</xm:sqref>
        </x14:dataValidation>
        <x14:dataValidation type="list" allowBlank="1" showInputMessage="1" showErrorMessage="1" xr:uid="{387C807E-E6FE-4669-AF12-A34D92A10147}">
          <x14:formula1>
            <xm:f>項目!C1:$CAE$17</xm:f>
          </x14:formula1>
          <xm:sqref>CAM5:CAM23</xm:sqref>
        </x14:dataValidation>
        <x14:dataValidation type="list" allowBlank="1" showInputMessage="1" showErrorMessage="1" xr:uid="{1C7C01DE-B86B-40AE-A36D-C13EDA71CFAC}">
          <x14:formula1>
            <xm:f>項目!C$17:$CAE19</xm:f>
          </x14:formula1>
          <xm:sqref>CAM24</xm:sqref>
        </x14:dataValidation>
        <x14:dataValidation type="list" allowBlank="1" showInputMessage="1" showErrorMessage="1" xr:uid="{1FD363D5-CBC9-445E-8C40-7786AE685E47}">
          <x14:formula1>
            <xm:f>項目!C1:$CKA$17</xm:f>
          </x14:formula1>
          <xm:sqref>CKI5:CKI23</xm:sqref>
        </x14:dataValidation>
        <x14:dataValidation type="list" allowBlank="1" showInputMessage="1" showErrorMessage="1" xr:uid="{BA62601B-E2FF-46CF-A587-5593E5FE48D7}">
          <x14:formula1>
            <xm:f>項目!C$17:$CKA19</xm:f>
          </x14:formula1>
          <xm:sqref>CKI24</xm:sqref>
        </x14:dataValidation>
        <x14:dataValidation type="list" allowBlank="1" showInputMessage="1" showErrorMessage="1" xr:uid="{2FAA9E01-9A69-4AC6-BA37-04E36CFBE2F8}">
          <x14:formula1>
            <xm:f>項目!C1:$CTW$17</xm:f>
          </x14:formula1>
          <xm:sqref>CUE5:CUE23</xm:sqref>
        </x14:dataValidation>
        <x14:dataValidation type="list" allowBlank="1" showInputMessage="1" showErrorMessage="1" xr:uid="{413F96FC-E109-4480-BEC9-CD2B66F9AF4F}">
          <x14:formula1>
            <xm:f>項目!C$17:$CTW19</xm:f>
          </x14:formula1>
          <xm:sqref>CUE24</xm:sqref>
        </x14:dataValidation>
        <x14:dataValidation type="list" allowBlank="1" showInputMessage="1" showErrorMessage="1" xr:uid="{0418A928-1C32-4AC3-8EF0-70C4AE8ADC74}">
          <x14:formula1>
            <xm:f>項目!C1:$DDS$17</xm:f>
          </x14:formula1>
          <xm:sqref>DEA5:DEA23</xm:sqref>
        </x14:dataValidation>
        <x14:dataValidation type="list" allowBlank="1" showInputMessage="1" showErrorMessage="1" xr:uid="{B8D5859C-2CE1-48E2-86F7-F77A74DF1C4C}">
          <x14:formula1>
            <xm:f>項目!C$17:$DDS19</xm:f>
          </x14:formula1>
          <xm:sqref>DEA24</xm:sqref>
        </x14:dataValidation>
        <x14:dataValidation type="list" allowBlank="1" showInputMessage="1" showErrorMessage="1" xr:uid="{DBFB2DB4-0C2B-4568-A510-633DF8E0B009}">
          <x14:formula1>
            <xm:f>項目!C1:$DNO$17</xm:f>
          </x14:formula1>
          <xm:sqref>DNW5:DNW23</xm:sqref>
        </x14:dataValidation>
        <x14:dataValidation type="list" allowBlank="1" showInputMessage="1" showErrorMessage="1" xr:uid="{7D7281F3-2385-410D-B41F-E5CB9EE660DF}">
          <x14:formula1>
            <xm:f>項目!C$17:$DNO19</xm:f>
          </x14:formula1>
          <xm:sqref>DNW24</xm:sqref>
        </x14:dataValidation>
        <x14:dataValidation type="list" allowBlank="1" showInputMessage="1" showErrorMessage="1" xr:uid="{6ACB685F-BC30-4E8B-9F38-E46B68846459}">
          <x14:formula1>
            <xm:f>項目!C1:$DXK$17</xm:f>
          </x14:formula1>
          <xm:sqref>DXS5:DXS23</xm:sqref>
        </x14:dataValidation>
        <x14:dataValidation type="list" allowBlank="1" showInputMessage="1" showErrorMessage="1" xr:uid="{AF3902E1-39BF-4338-AC9D-A68E185A0619}">
          <x14:formula1>
            <xm:f>項目!C$17:$DXK19</xm:f>
          </x14:formula1>
          <xm:sqref>DXS24</xm:sqref>
        </x14:dataValidation>
        <x14:dataValidation type="list" allowBlank="1" showInputMessage="1" showErrorMessage="1" xr:uid="{C5CF8F2F-D759-4164-AD9E-D0786C1FFBDE}">
          <x14:formula1>
            <xm:f>項目!C1:$EHG$17</xm:f>
          </x14:formula1>
          <xm:sqref>EHO5:EHO23</xm:sqref>
        </x14:dataValidation>
        <x14:dataValidation type="list" allowBlank="1" showInputMessage="1" showErrorMessage="1" xr:uid="{AEED7CCF-AEA3-45A0-BC99-890A30E4FD59}">
          <x14:formula1>
            <xm:f>項目!C$17:$EHG19</xm:f>
          </x14:formula1>
          <xm:sqref>EHO24</xm:sqref>
        </x14:dataValidation>
        <x14:dataValidation type="list" allowBlank="1" showInputMessage="1" showErrorMessage="1" xr:uid="{0280FA95-9251-43F5-9781-D8C7CC774E70}">
          <x14:formula1>
            <xm:f>項目!C1:$ERC$17</xm:f>
          </x14:formula1>
          <xm:sqref>ERK5:ERK23</xm:sqref>
        </x14:dataValidation>
        <x14:dataValidation type="list" allowBlank="1" showInputMessage="1" showErrorMessage="1" xr:uid="{536A1C2A-B51C-4F55-8997-D36237F32281}">
          <x14:formula1>
            <xm:f>項目!C$17:$ERC19</xm:f>
          </x14:formula1>
          <xm:sqref>ERK24</xm:sqref>
        </x14:dataValidation>
        <x14:dataValidation type="list" allowBlank="1" showInputMessage="1" showErrorMessage="1" xr:uid="{F0753761-7D41-4589-9719-29F6397490E5}">
          <x14:formula1>
            <xm:f>項目!C1:$FAY$17</xm:f>
          </x14:formula1>
          <xm:sqref>FBG5:FBG23</xm:sqref>
        </x14:dataValidation>
        <x14:dataValidation type="list" allowBlank="1" showInputMessage="1" showErrorMessage="1" xr:uid="{9CC5DC6D-FC24-44F8-88E3-293E5DD951BE}">
          <x14:formula1>
            <xm:f>項目!C$17:$FAY19</xm:f>
          </x14:formula1>
          <xm:sqref>FBG24</xm:sqref>
        </x14:dataValidation>
        <x14:dataValidation type="list" allowBlank="1" showInputMessage="1" showErrorMessage="1" xr:uid="{E8FE463F-CE2B-4FBD-8481-37DC8DD274FE}">
          <x14:formula1>
            <xm:f>項目!C1:$FKU$17</xm:f>
          </x14:formula1>
          <xm:sqref>FLC5:FLC23</xm:sqref>
        </x14:dataValidation>
        <x14:dataValidation type="list" allowBlank="1" showInputMessage="1" showErrorMessage="1" xr:uid="{8ABB8692-0F90-4F1F-AAF3-624AA1F8D1EA}">
          <x14:formula1>
            <xm:f>項目!C$17:$FKU19</xm:f>
          </x14:formula1>
          <xm:sqref>FLC24</xm:sqref>
        </x14:dataValidation>
        <x14:dataValidation type="list" allowBlank="1" showInputMessage="1" showErrorMessage="1" xr:uid="{02FBEA91-63D2-41C0-956B-71EF90BAF195}">
          <x14:formula1>
            <xm:f>項目!C1:$FUQ$17</xm:f>
          </x14:formula1>
          <xm:sqref>FUY5:FUY23</xm:sqref>
        </x14:dataValidation>
        <x14:dataValidation type="list" allowBlank="1" showInputMessage="1" showErrorMessage="1" xr:uid="{C416B979-86F3-4DDE-9E87-207A5FBC515E}">
          <x14:formula1>
            <xm:f>項目!C$17:$FUQ19</xm:f>
          </x14:formula1>
          <xm:sqref>FUY24</xm:sqref>
        </x14:dataValidation>
        <x14:dataValidation type="list" allowBlank="1" showInputMessage="1" showErrorMessage="1" xr:uid="{99D36CD3-86B8-4BC9-9408-65BE50017FF6}">
          <x14:formula1>
            <xm:f>項目!C1:$GEM$17</xm:f>
          </x14:formula1>
          <xm:sqref>GEU5:GEU23</xm:sqref>
        </x14:dataValidation>
        <x14:dataValidation type="list" allowBlank="1" showInputMessage="1" showErrorMessage="1" xr:uid="{7D2C16F6-E156-4207-ADF0-26600FFF608C}">
          <x14:formula1>
            <xm:f>項目!C$17:$GEM19</xm:f>
          </x14:formula1>
          <xm:sqref>GEU24</xm:sqref>
        </x14:dataValidation>
        <x14:dataValidation type="list" allowBlank="1" showInputMessage="1" showErrorMessage="1" xr:uid="{340C24C2-B70D-4308-A4DE-65FF60C93E82}">
          <x14:formula1>
            <xm:f>項目!C1:$GOI$17</xm:f>
          </x14:formula1>
          <xm:sqref>GOQ5:GOQ23</xm:sqref>
        </x14:dataValidation>
        <x14:dataValidation type="list" allowBlank="1" showInputMessage="1" showErrorMessage="1" xr:uid="{8851694E-5E15-4A48-9831-56907FB72D53}">
          <x14:formula1>
            <xm:f>項目!C$17:$GOI19</xm:f>
          </x14:formula1>
          <xm:sqref>GOQ24</xm:sqref>
        </x14:dataValidation>
        <x14:dataValidation type="list" allowBlank="1" showInputMessage="1" showErrorMessage="1" xr:uid="{7EF10C99-8963-4BE5-8A3D-8F098F7795D3}">
          <x14:formula1>
            <xm:f>項目!C1:$GYE$17</xm:f>
          </x14:formula1>
          <xm:sqref>GYM5:GYM23</xm:sqref>
        </x14:dataValidation>
        <x14:dataValidation type="list" allowBlank="1" showInputMessage="1" showErrorMessage="1" xr:uid="{344502EB-D9B4-47FD-97FF-0AE8E35D145B}">
          <x14:formula1>
            <xm:f>項目!C$17:$GYE19</xm:f>
          </x14:formula1>
          <xm:sqref>GYM24</xm:sqref>
        </x14:dataValidation>
        <x14:dataValidation type="list" allowBlank="1" showInputMessage="1" showErrorMessage="1" xr:uid="{0D865CE2-BA28-4AB2-B019-AF939CD0CBD9}">
          <x14:formula1>
            <xm:f>項目!C1:$HIA$17</xm:f>
          </x14:formula1>
          <xm:sqref>HII5:HII23</xm:sqref>
        </x14:dataValidation>
        <x14:dataValidation type="list" allowBlank="1" showInputMessage="1" showErrorMessage="1" xr:uid="{B40B9B1A-23B8-4B87-A883-C1E9A066ADB9}">
          <x14:formula1>
            <xm:f>項目!C$17:$HIA19</xm:f>
          </x14:formula1>
          <xm:sqref>HII24</xm:sqref>
        </x14:dataValidation>
        <x14:dataValidation type="list" allowBlank="1" showInputMessage="1" showErrorMessage="1" xr:uid="{387313F5-0819-4AE1-953C-1AFB340A2A61}">
          <x14:formula1>
            <xm:f>項目!C1:$HRW$17</xm:f>
          </x14:formula1>
          <xm:sqref>HSE5:HSE23</xm:sqref>
        </x14:dataValidation>
        <x14:dataValidation type="list" allowBlank="1" showInputMessage="1" showErrorMessage="1" xr:uid="{594C2F4C-1225-4537-BBDE-792679FFB073}">
          <x14:formula1>
            <xm:f>項目!C$17:$HRW19</xm:f>
          </x14:formula1>
          <xm:sqref>HSE24</xm:sqref>
        </x14:dataValidation>
        <x14:dataValidation type="list" allowBlank="1" showInputMessage="1" showErrorMessage="1" xr:uid="{A5F5DA39-E37D-494F-87BC-761DE07F1D79}">
          <x14:formula1>
            <xm:f>項目!C1:$IBS$17</xm:f>
          </x14:formula1>
          <xm:sqref>ICA5:ICA23</xm:sqref>
        </x14:dataValidation>
        <x14:dataValidation type="list" allowBlank="1" showInputMessage="1" showErrorMessage="1" xr:uid="{4EBA3AE2-811E-4668-AA85-3761501E1E01}">
          <x14:formula1>
            <xm:f>項目!C$17:$IBS19</xm:f>
          </x14:formula1>
          <xm:sqref>ICA24</xm:sqref>
        </x14:dataValidation>
        <x14:dataValidation type="list" allowBlank="1" showInputMessage="1" showErrorMessage="1" xr:uid="{D527EF4A-E797-4947-89B8-B7C458D57935}">
          <x14:formula1>
            <xm:f>項目!C1:$ILO$17</xm:f>
          </x14:formula1>
          <xm:sqref>ILW5:ILW23</xm:sqref>
        </x14:dataValidation>
        <x14:dataValidation type="list" allowBlank="1" showInputMessage="1" showErrorMessage="1" xr:uid="{C5FE3F9C-6D28-4356-B0EB-1382B6CF3495}">
          <x14:formula1>
            <xm:f>項目!C$17:$ILO19</xm:f>
          </x14:formula1>
          <xm:sqref>ILW24</xm:sqref>
        </x14:dataValidation>
        <x14:dataValidation type="list" allowBlank="1" showInputMessage="1" showErrorMessage="1" xr:uid="{51CE0366-E93A-417B-A731-0BDE82B8490E}">
          <x14:formula1>
            <xm:f>項目!C1:$IVK$17</xm:f>
          </x14:formula1>
          <xm:sqref>IVS5:IVS23</xm:sqref>
        </x14:dataValidation>
        <x14:dataValidation type="list" allowBlank="1" showInputMessage="1" showErrorMessage="1" xr:uid="{80451AA7-A6F5-4E01-AC9F-46AA07F9AA35}">
          <x14:formula1>
            <xm:f>項目!C$17:$IVK19</xm:f>
          </x14:formula1>
          <xm:sqref>IVS24</xm:sqref>
        </x14:dataValidation>
        <x14:dataValidation type="list" allowBlank="1" showInputMessage="1" showErrorMessage="1" xr:uid="{D7350391-B89E-4812-AC30-3320D9693FB1}">
          <x14:formula1>
            <xm:f>項目!C1:$JFG$17</xm:f>
          </x14:formula1>
          <xm:sqref>JFO5:JFO23</xm:sqref>
        </x14:dataValidation>
        <x14:dataValidation type="list" allowBlank="1" showInputMessage="1" showErrorMessage="1" xr:uid="{F3707321-7944-4FC4-8245-559D77321E02}">
          <x14:formula1>
            <xm:f>項目!C$17:$JFG19</xm:f>
          </x14:formula1>
          <xm:sqref>JFO24</xm:sqref>
        </x14:dataValidation>
        <x14:dataValidation type="list" allowBlank="1" showInputMessage="1" showErrorMessage="1" xr:uid="{30C7AEE2-8586-4E9A-B1D7-0A2B99BBB7FA}">
          <x14:formula1>
            <xm:f>項目!C1:$JPC$17</xm:f>
          </x14:formula1>
          <xm:sqref>JPK5:JPK23</xm:sqref>
        </x14:dataValidation>
        <x14:dataValidation type="list" allowBlank="1" showInputMessage="1" showErrorMessage="1" xr:uid="{772B5445-41B8-4980-8385-54A493192FA7}">
          <x14:formula1>
            <xm:f>項目!C$17:$JPC19</xm:f>
          </x14:formula1>
          <xm:sqref>JPK24</xm:sqref>
        </x14:dataValidation>
        <x14:dataValidation type="list" allowBlank="1" showInputMessage="1" showErrorMessage="1" xr:uid="{9C680F0C-93DE-45DE-94D3-C9020FC38D5D}">
          <x14:formula1>
            <xm:f>項目!C1:$JYY$17</xm:f>
          </x14:formula1>
          <xm:sqref>JZG5:JZG23</xm:sqref>
        </x14:dataValidation>
        <x14:dataValidation type="list" allowBlank="1" showInputMessage="1" showErrorMessage="1" xr:uid="{372ED4AC-62DD-4FAF-A435-816198062811}">
          <x14:formula1>
            <xm:f>項目!C$17:$JYY19</xm:f>
          </x14:formula1>
          <xm:sqref>JZG24</xm:sqref>
        </x14:dataValidation>
        <x14:dataValidation type="list" allowBlank="1" showInputMessage="1" showErrorMessage="1" xr:uid="{832038F2-1DB7-4F3A-9675-56F74A720720}">
          <x14:formula1>
            <xm:f>項目!C1:$KIU$17</xm:f>
          </x14:formula1>
          <xm:sqref>KJC5:KJC23</xm:sqref>
        </x14:dataValidation>
        <x14:dataValidation type="list" allowBlank="1" showInputMessage="1" showErrorMessage="1" xr:uid="{90EE4D58-E4F7-48B4-9838-1D75885787DD}">
          <x14:formula1>
            <xm:f>項目!C$17:$KIU19</xm:f>
          </x14:formula1>
          <xm:sqref>KJC24</xm:sqref>
        </x14:dataValidation>
        <x14:dataValidation type="list" allowBlank="1" showInputMessage="1" showErrorMessage="1" xr:uid="{43062BE4-D7A6-4508-9D78-0684A2FEC985}">
          <x14:formula1>
            <xm:f>項目!C1:$KSQ$17</xm:f>
          </x14:formula1>
          <xm:sqref>KSY5:KSY23</xm:sqref>
        </x14:dataValidation>
        <x14:dataValidation type="list" allowBlank="1" showInputMessage="1" showErrorMessage="1" xr:uid="{70E320F8-9C97-453E-BEE7-02FD4F5F5F82}">
          <x14:formula1>
            <xm:f>項目!C$17:$KSQ19</xm:f>
          </x14:formula1>
          <xm:sqref>KSY24</xm:sqref>
        </x14:dataValidation>
        <x14:dataValidation type="list" allowBlank="1" showInputMessage="1" showErrorMessage="1" xr:uid="{B27A7B69-4269-40AB-8304-D467EA9007EC}">
          <x14:formula1>
            <xm:f>項目!C1:$LCM$17</xm:f>
          </x14:formula1>
          <xm:sqref>LCU5:LCU23</xm:sqref>
        </x14:dataValidation>
        <x14:dataValidation type="list" allowBlank="1" showInputMessage="1" showErrorMessage="1" xr:uid="{41E4988E-EBD5-4F69-976C-7EBCD3FD96FF}">
          <x14:formula1>
            <xm:f>項目!C$17:$LCM19</xm:f>
          </x14:formula1>
          <xm:sqref>LCU24</xm:sqref>
        </x14:dataValidation>
        <x14:dataValidation type="list" allowBlank="1" showInputMessage="1" showErrorMessage="1" xr:uid="{17D9D165-19FE-47F5-B8A5-2E0C41E22A6C}">
          <x14:formula1>
            <xm:f>項目!C1:$LMI$17</xm:f>
          </x14:formula1>
          <xm:sqref>LMQ5:LMQ23</xm:sqref>
        </x14:dataValidation>
        <x14:dataValidation type="list" allowBlank="1" showInputMessage="1" showErrorMessage="1" xr:uid="{22C45AF9-EF1F-4B28-8C3F-0D080EC3244F}">
          <x14:formula1>
            <xm:f>項目!C$17:$LMI19</xm:f>
          </x14:formula1>
          <xm:sqref>LMQ24</xm:sqref>
        </x14:dataValidation>
        <x14:dataValidation type="list" allowBlank="1" showInputMessage="1" showErrorMessage="1" xr:uid="{257446FD-7E83-4F03-B5A2-6ED03DF3A86F}">
          <x14:formula1>
            <xm:f>項目!C1:$LWE$17</xm:f>
          </x14:formula1>
          <xm:sqref>LWM5:LWM23</xm:sqref>
        </x14:dataValidation>
        <x14:dataValidation type="list" allowBlank="1" showInputMessage="1" showErrorMessage="1" xr:uid="{5BA0BEEE-3D73-4499-9277-441A0B5F7237}">
          <x14:formula1>
            <xm:f>項目!C$17:$LWE19</xm:f>
          </x14:formula1>
          <xm:sqref>LWM24</xm:sqref>
        </x14:dataValidation>
        <x14:dataValidation type="list" allowBlank="1" showInputMessage="1" showErrorMessage="1" xr:uid="{185432D2-16E1-40DB-9766-D6546D6F9EB7}">
          <x14:formula1>
            <xm:f>項目!C1:$MGA$17</xm:f>
          </x14:formula1>
          <xm:sqref>MGI5:MGI23</xm:sqref>
        </x14:dataValidation>
        <x14:dataValidation type="list" allowBlank="1" showInputMessage="1" showErrorMessage="1" xr:uid="{F91B500A-2B27-4563-B388-8109B0C44C52}">
          <x14:formula1>
            <xm:f>項目!C$17:$MGA19</xm:f>
          </x14:formula1>
          <xm:sqref>MGI24</xm:sqref>
        </x14:dataValidation>
        <x14:dataValidation type="list" allowBlank="1" showInputMessage="1" showErrorMessage="1" xr:uid="{F35330A2-B467-43C0-9FF0-66275D26086C}">
          <x14:formula1>
            <xm:f>項目!C1:$MPW$17</xm:f>
          </x14:formula1>
          <xm:sqref>MQE5:MQE23</xm:sqref>
        </x14:dataValidation>
        <x14:dataValidation type="list" allowBlank="1" showInputMessage="1" showErrorMessage="1" xr:uid="{8960CE2C-391B-42ED-A6CE-001AA383E9EA}">
          <x14:formula1>
            <xm:f>項目!C$17:$MPW19</xm:f>
          </x14:formula1>
          <xm:sqref>MQE24</xm:sqref>
        </x14:dataValidation>
        <x14:dataValidation type="list" allowBlank="1" showInputMessage="1" showErrorMessage="1" xr:uid="{5495A6F3-67C2-474F-B5A8-59211F1B0AE0}">
          <x14:formula1>
            <xm:f>項目!C1:$MZS$17</xm:f>
          </x14:formula1>
          <xm:sqref>NAA5:NAA23</xm:sqref>
        </x14:dataValidation>
        <x14:dataValidation type="list" allowBlank="1" showInputMessage="1" showErrorMessage="1" xr:uid="{A2BA24DB-EF3A-4EF6-B9B1-525DFA7937A1}">
          <x14:formula1>
            <xm:f>項目!C$17:$MZS19</xm:f>
          </x14:formula1>
          <xm:sqref>NAA24</xm:sqref>
        </x14:dataValidation>
        <x14:dataValidation type="list" allowBlank="1" showInputMessage="1" showErrorMessage="1" xr:uid="{826E1F9E-74FF-419A-B3AF-761BA59BBADB}">
          <x14:formula1>
            <xm:f>項目!C1:$NJO$17</xm:f>
          </x14:formula1>
          <xm:sqref>NJW5:NJW23</xm:sqref>
        </x14:dataValidation>
        <x14:dataValidation type="list" allowBlank="1" showInputMessage="1" showErrorMessage="1" xr:uid="{BF80A157-19DB-4EF5-9A23-B0DF2AB572B0}">
          <x14:formula1>
            <xm:f>項目!C$17:$NJO19</xm:f>
          </x14:formula1>
          <xm:sqref>NJW24</xm:sqref>
        </x14:dataValidation>
        <x14:dataValidation type="list" allowBlank="1" showInputMessage="1" showErrorMessage="1" xr:uid="{5A0AA235-29D5-4E92-8B21-2E27E1239612}">
          <x14:formula1>
            <xm:f>項目!C1:$NTK$17</xm:f>
          </x14:formula1>
          <xm:sqref>NTS5:NTS23</xm:sqref>
        </x14:dataValidation>
        <x14:dataValidation type="list" allowBlank="1" showInputMessage="1" showErrorMessage="1" xr:uid="{0617DBB9-C54F-4166-8263-16FDDEA2156D}">
          <x14:formula1>
            <xm:f>項目!C$17:$NTK19</xm:f>
          </x14:formula1>
          <xm:sqref>NTS24</xm:sqref>
        </x14:dataValidation>
        <x14:dataValidation type="list" allowBlank="1" showInputMessage="1" showErrorMessage="1" xr:uid="{63733727-264D-494E-909F-3356DF73B4AF}">
          <x14:formula1>
            <xm:f>項目!C1:$ODG$17</xm:f>
          </x14:formula1>
          <xm:sqref>ODO5:ODO23</xm:sqref>
        </x14:dataValidation>
        <x14:dataValidation type="list" allowBlank="1" showInputMessage="1" showErrorMessage="1" xr:uid="{C7CF2EB6-36B1-48D6-901C-8B9B19A67E42}">
          <x14:formula1>
            <xm:f>項目!C$17:$ODG19</xm:f>
          </x14:formula1>
          <xm:sqref>ODO24</xm:sqref>
        </x14:dataValidation>
        <x14:dataValidation type="list" allowBlank="1" showInputMessage="1" showErrorMessage="1" xr:uid="{02F58BBD-A69C-4C9E-A350-33A9CC04CFF7}">
          <x14:formula1>
            <xm:f>項目!C1:$ONC$17</xm:f>
          </x14:formula1>
          <xm:sqref>ONK5:ONK23</xm:sqref>
        </x14:dataValidation>
        <x14:dataValidation type="list" allowBlank="1" showInputMessage="1" showErrorMessage="1" xr:uid="{7BA7DAD7-A5F4-40D6-96EB-41D715E1E8BE}">
          <x14:formula1>
            <xm:f>項目!C$17:$ONC19</xm:f>
          </x14:formula1>
          <xm:sqref>ONK24</xm:sqref>
        </x14:dataValidation>
        <x14:dataValidation type="list" allowBlank="1" showInputMessage="1" showErrorMessage="1" xr:uid="{4EBF49CD-86CC-4977-AE45-BD88CB2C5D22}">
          <x14:formula1>
            <xm:f>項目!C1:$OWY$17</xm:f>
          </x14:formula1>
          <xm:sqref>OXG5:OXG23</xm:sqref>
        </x14:dataValidation>
        <x14:dataValidation type="list" allowBlank="1" showInputMessage="1" showErrorMessage="1" xr:uid="{34D16651-0E2C-4F62-9C0C-A86FD745A5F7}">
          <x14:formula1>
            <xm:f>項目!C$17:$OWY19</xm:f>
          </x14:formula1>
          <xm:sqref>OXG24</xm:sqref>
        </x14:dataValidation>
        <x14:dataValidation type="list" allowBlank="1" showInputMessage="1" showErrorMessage="1" xr:uid="{46EB41DE-1AFD-4982-8ADE-497E32905679}">
          <x14:formula1>
            <xm:f>項目!C1:$PGU$17</xm:f>
          </x14:formula1>
          <xm:sqref>PHC5:PHC23</xm:sqref>
        </x14:dataValidation>
        <x14:dataValidation type="list" allowBlank="1" showInputMessage="1" showErrorMessage="1" xr:uid="{AE935BCE-936A-4C85-94D9-BD4857440ADF}">
          <x14:formula1>
            <xm:f>項目!C$17:$PGU19</xm:f>
          </x14:formula1>
          <xm:sqref>PHC24</xm:sqref>
        </x14:dataValidation>
        <x14:dataValidation type="list" allowBlank="1" showInputMessage="1" showErrorMessage="1" xr:uid="{D5AF63DF-DE01-40FD-87DE-9AA21BDD7097}">
          <x14:formula1>
            <xm:f>項目!C1:$PQQ$17</xm:f>
          </x14:formula1>
          <xm:sqref>PQY5:PQY23</xm:sqref>
        </x14:dataValidation>
        <x14:dataValidation type="list" allowBlank="1" showInputMessage="1" showErrorMessage="1" xr:uid="{204AB4E6-C66D-4824-8715-D6D94E4A1CF6}">
          <x14:formula1>
            <xm:f>項目!C$17:$PQQ19</xm:f>
          </x14:formula1>
          <xm:sqref>PQY24</xm:sqref>
        </x14:dataValidation>
        <x14:dataValidation type="list" allowBlank="1" showInputMessage="1" showErrorMessage="1" xr:uid="{2C404AEA-15C3-41BC-B47D-A8FAF42595EB}">
          <x14:formula1>
            <xm:f>項目!C1:$QAM$17</xm:f>
          </x14:formula1>
          <xm:sqref>QAU5:QAU23</xm:sqref>
        </x14:dataValidation>
        <x14:dataValidation type="list" allowBlank="1" showInputMessage="1" showErrorMessage="1" xr:uid="{0AB0278C-FBCD-4691-BB1D-5496640C7EA9}">
          <x14:formula1>
            <xm:f>項目!C$17:$QAM19</xm:f>
          </x14:formula1>
          <xm:sqref>QAU24</xm:sqref>
        </x14:dataValidation>
        <x14:dataValidation type="list" allowBlank="1" showInputMessage="1" showErrorMessage="1" xr:uid="{B921D3A6-0483-489A-8749-1A96DAA562BB}">
          <x14:formula1>
            <xm:f>項目!C1:$QKI$17</xm:f>
          </x14:formula1>
          <xm:sqref>QKQ5:QKQ23</xm:sqref>
        </x14:dataValidation>
        <x14:dataValidation type="list" allowBlank="1" showInputMessage="1" showErrorMessage="1" xr:uid="{841B0F4C-3465-4D51-90DD-21A1667506C8}">
          <x14:formula1>
            <xm:f>項目!C$17:$QKI19</xm:f>
          </x14:formula1>
          <xm:sqref>QKQ24</xm:sqref>
        </x14:dataValidation>
        <x14:dataValidation type="list" allowBlank="1" showInputMessage="1" showErrorMessage="1" xr:uid="{A3ECE1DF-828D-49D7-9154-99DE08B53451}">
          <x14:formula1>
            <xm:f>項目!C1:$QUE$17</xm:f>
          </x14:formula1>
          <xm:sqref>QUM5:QUM23</xm:sqref>
        </x14:dataValidation>
        <x14:dataValidation type="list" allowBlank="1" showInputMessage="1" showErrorMessage="1" xr:uid="{576B4200-6DB1-41CD-BE46-99FA24E455D5}">
          <x14:formula1>
            <xm:f>項目!C$17:$QUE19</xm:f>
          </x14:formula1>
          <xm:sqref>QUM24</xm:sqref>
        </x14:dataValidation>
        <x14:dataValidation type="list" allowBlank="1" showInputMessage="1" showErrorMessage="1" xr:uid="{2613E433-597A-4FAC-B87D-69FEBBDD10AB}">
          <x14:formula1>
            <xm:f>項目!C1:$REA$17</xm:f>
          </x14:formula1>
          <xm:sqref>REI5:REI23</xm:sqref>
        </x14:dataValidation>
        <x14:dataValidation type="list" allowBlank="1" showInputMessage="1" showErrorMessage="1" xr:uid="{16CD4E99-2BAF-4B26-9117-CD015CC0BD8B}">
          <x14:formula1>
            <xm:f>項目!C$17:$REA19</xm:f>
          </x14:formula1>
          <xm:sqref>REI24</xm:sqref>
        </x14:dataValidation>
        <x14:dataValidation type="list" allowBlank="1" showInputMessage="1" showErrorMessage="1" xr:uid="{887C63A9-4C6D-4521-944C-D22F5731D6A6}">
          <x14:formula1>
            <xm:f>項目!C1:$RNW$17</xm:f>
          </x14:formula1>
          <xm:sqref>ROE5:ROE23</xm:sqref>
        </x14:dataValidation>
        <x14:dataValidation type="list" allowBlank="1" showInputMessage="1" showErrorMessage="1" xr:uid="{FDE0E0D8-7772-476F-B847-E5713F3A6A8F}">
          <x14:formula1>
            <xm:f>項目!C$17:$RNW19</xm:f>
          </x14:formula1>
          <xm:sqref>ROE24</xm:sqref>
        </x14:dataValidation>
        <x14:dataValidation type="list" allowBlank="1" showInputMessage="1" showErrorMessage="1" xr:uid="{876CF23E-6CF7-4C16-8222-53110DC14288}">
          <x14:formula1>
            <xm:f>項目!C1:$RXS$17</xm:f>
          </x14:formula1>
          <xm:sqref>RYA5:RYA23</xm:sqref>
        </x14:dataValidation>
        <x14:dataValidation type="list" allowBlank="1" showInputMessage="1" showErrorMessage="1" xr:uid="{BB915438-1291-402C-95F4-9475A6D56647}">
          <x14:formula1>
            <xm:f>項目!C$17:$RXS19</xm:f>
          </x14:formula1>
          <xm:sqref>RYA24</xm:sqref>
        </x14:dataValidation>
        <x14:dataValidation type="list" allowBlank="1" showInputMessage="1" showErrorMessage="1" xr:uid="{10EC8DD7-D16E-43E9-9663-66017C77B51C}">
          <x14:formula1>
            <xm:f>項目!C1:$SHO$17</xm:f>
          </x14:formula1>
          <xm:sqref>SHW5:SHW23</xm:sqref>
        </x14:dataValidation>
        <x14:dataValidation type="list" allowBlank="1" showInputMessage="1" showErrorMessage="1" xr:uid="{9952347E-FDD7-44B7-ACF3-9B0728C516EF}">
          <x14:formula1>
            <xm:f>項目!C$17:$SHO19</xm:f>
          </x14:formula1>
          <xm:sqref>SHW24</xm:sqref>
        </x14:dataValidation>
        <x14:dataValidation type="list" allowBlank="1" showInputMessage="1" showErrorMessage="1" xr:uid="{5341FAC8-0951-476C-952F-5E317C457A88}">
          <x14:formula1>
            <xm:f>項目!C1:$SRK$17</xm:f>
          </x14:formula1>
          <xm:sqref>SRS5:SRS23</xm:sqref>
        </x14:dataValidation>
        <x14:dataValidation type="list" allowBlank="1" showInputMessage="1" showErrorMessage="1" xr:uid="{9E686C96-8555-45FE-A16E-BCEA8E462B9C}">
          <x14:formula1>
            <xm:f>項目!C$17:$SRK19</xm:f>
          </x14:formula1>
          <xm:sqref>SRS24</xm:sqref>
        </x14:dataValidation>
        <x14:dataValidation type="list" allowBlank="1" showInputMessage="1" showErrorMessage="1" xr:uid="{75899F9A-0F35-43BD-88C6-612D5A7947FF}">
          <x14:formula1>
            <xm:f>項目!C1:$TBG$17</xm:f>
          </x14:formula1>
          <xm:sqref>TBO5:TBO23</xm:sqref>
        </x14:dataValidation>
        <x14:dataValidation type="list" allowBlank="1" showInputMessage="1" showErrorMessage="1" xr:uid="{0D8F6147-ACDF-490D-8899-22FB0D1DD0A5}">
          <x14:formula1>
            <xm:f>項目!C$17:$TBG19</xm:f>
          </x14:formula1>
          <xm:sqref>TBO24</xm:sqref>
        </x14:dataValidation>
        <x14:dataValidation type="list" allowBlank="1" showInputMessage="1" showErrorMessage="1" xr:uid="{818A6501-21F2-4359-BC2D-6A2D57BF2E4A}">
          <x14:formula1>
            <xm:f>項目!C1:$TLC$17</xm:f>
          </x14:formula1>
          <xm:sqref>TLK5:TLK23</xm:sqref>
        </x14:dataValidation>
        <x14:dataValidation type="list" allowBlank="1" showInputMessage="1" showErrorMessage="1" xr:uid="{9C16B01B-A2F7-41BA-AF1A-65EB9E17E0C8}">
          <x14:formula1>
            <xm:f>項目!C$17:$TLC19</xm:f>
          </x14:formula1>
          <xm:sqref>TLK24</xm:sqref>
        </x14:dataValidation>
        <x14:dataValidation type="list" allowBlank="1" showInputMessage="1" showErrorMessage="1" xr:uid="{FA69F454-C49E-4402-ACB4-4C1C7BB2993B}">
          <x14:formula1>
            <xm:f>項目!C1:$TUY$17</xm:f>
          </x14:formula1>
          <xm:sqref>TVG5:TVG23</xm:sqref>
        </x14:dataValidation>
        <x14:dataValidation type="list" allowBlank="1" showInputMessage="1" showErrorMessage="1" xr:uid="{FC4CB92B-DFEC-4788-8C48-29676F1D8A3F}">
          <x14:formula1>
            <xm:f>項目!C$17:$TUY19</xm:f>
          </x14:formula1>
          <xm:sqref>TVG24</xm:sqref>
        </x14:dataValidation>
        <x14:dataValidation type="list" allowBlank="1" showInputMessage="1" showErrorMessage="1" xr:uid="{FDF699F2-7E71-4D2B-B27D-CB51982E4B4E}">
          <x14:formula1>
            <xm:f>項目!C1:$UEU$17</xm:f>
          </x14:formula1>
          <xm:sqref>UFC5:UFC23</xm:sqref>
        </x14:dataValidation>
        <x14:dataValidation type="list" allowBlank="1" showInputMessage="1" showErrorMessage="1" xr:uid="{89BA5A9B-3DDF-4A5E-A925-41DB94695261}">
          <x14:formula1>
            <xm:f>項目!C$17:$UEU19</xm:f>
          </x14:formula1>
          <xm:sqref>UFC24</xm:sqref>
        </x14:dataValidation>
        <x14:dataValidation type="list" allowBlank="1" showInputMessage="1" showErrorMessage="1" xr:uid="{B4C4311E-CD97-475B-97FB-91074916887F}">
          <x14:formula1>
            <xm:f>項目!C1:$UOQ$17</xm:f>
          </x14:formula1>
          <xm:sqref>UOY5:UOY23</xm:sqref>
        </x14:dataValidation>
        <x14:dataValidation type="list" allowBlank="1" showInputMessage="1" showErrorMessage="1" xr:uid="{41EB1C82-844D-4645-875C-FAEFA15BA2E7}">
          <x14:formula1>
            <xm:f>項目!C$17:$UOQ19</xm:f>
          </x14:formula1>
          <xm:sqref>UOY24</xm:sqref>
        </x14:dataValidation>
        <x14:dataValidation type="list" allowBlank="1" showInputMessage="1" showErrorMessage="1" xr:uid="{AD0E5D31-3BE3-4AD9-AB2F-9B87C5246FDC}">
          <x14:formula1>
            <xm:f>項目!C1:$UYM$17</xm:f>
          </x14:formula1>
          <xm:sqref>UYU5:UYU23</xm:sqref>
        </x14:dataValidation>
        <x14:dataValidation type="list" allowBlank="1" showInputMessage="1" showErrorMessage="1" xr:uid="{D9F42731-0C22-4375-BA4D-B056E04AC196}">
          <x14:formula1>
            <xm:f>項目!C$17:$UYM19</xm:f>
          </x14:formula1>
          <xm:sqref>UYU24</xm:sqref>
        </x14:dataValidation>
        <x14:dataValidation type="list" allowBlank="1" showInputMessage="1" showErrorMessage="1" xr:uid="{A12D33C6-CDCF-4AE6-9C1F-A1BD1C34EA9B}">
          <x14:formula1>
            <xm:f>項目!C1:$VII$17</xm:f>
          </x14:formula1>
          <xm:sqref>VIQ5:VIQ23</xm:sqref>
        </x14:dataValidation>
        <x14:dataValidation type="list" allowBlank="1" showInputMessage="1" showErrorMessage="1" xr:uid="{6461BE98-7100-406B-AE1C-6911156505B6}">
          <x14:formula1>
            <xm:f>項目!C$17:$VII19</xm:f>
          </x14:formula1>
          <xm:sqref>VIQ24</xm:sqref>
        </x14:dataValidation>
        <x14:dataValidation type="list" allowBlank="1" showInputMessage="1" showErrorMessage="1" xr:uid="{547CE68D-CEE0-42E8-8F60-857AD2E6DDA7}">
          <x14:formula1>
            <xm:f>項目!C1:$VSE$17</xm:f>
          </x14:formula1>
          <xm:sqref>VSM5:VSM23</xm:sqref>
        </x14:dataValidation>
        <x14:dataValidation type="list" allowBlank="1" showInputMessage="1" showErrorMessage="1" xr:uid="{227CA433-32C6-4F4D-8C72-B8F298292BD6}">
          <x14:formula1>
            <xm:f>項目!C$17:$VSE19</xm:f>
          </x14:formula1>
          <xm:sqref>VSM24</xm:sqref>
        </x14:dataValidation>
        <x14:dataValidation type="list" allowBlank="1" showInputMessage="1" showErrorMessage="1" xr:uid="{396F6C2E-853A-4D99-8C75-28701C044FFB}">
          <x14:formula1>
            <xm:f>項目!C1:$WCA$17</xm:f>
          </x14:formula1>
          <xm:sqref>WCI5:WCI23</xm:sqref>
        </x14:dataValidation>
        <x14:dataValidation type="list" allowBlank="1" showInputMessage="1" showErrorMessage="1" xr:uid="{EA01F611-D6E3-45D7-B294-BE316BBD195B}">
          <x14:formula1>
            <xm:f>項目!C$17:$WCA19</xm:f>
          </x14:formula1>
          <xm:sqref>WCI24</xm:sqref>
        </x14:dataValidation>
        <x14:dataValidation type="list" allowBlank="1" showInputMessage="1" showErrorMessage="1" xr:uid="{E0ABBDF3-0EF2-4F77-B9BA-CE0F744CACC4}">
          <x14:formula1>
            <xm:f>項目!C1:$WLW$17</xm:f>
          </x14:formula1>
          <xm:sqref>WME5:WME23</xm:sqref>
        </x14:dataValidation>
        <x14:dataValidation type="list" allowBlank="1" showInputMessage="1" showErrorMessage="1" xr:uid="{A55932AF-6E93-4253-8D89-220D4C346022}">
          <x14:formula1>
            <xm:f>項目!C$17:$WLW19</xm:f>
          </x14:formula1>
          <xm:sqref>WME24</xm:sqref>
        </x14:dataValidation>
        <x14:dataValidation type="list" allowBlank="1" showInputMessage="1" showErrorMessage="1" xr:uid="{A640C22A-8BAA-4F3D-B197-253E1DDE4267}">
          <x14:formula1>
            <xm:f>項目!C1:$WVS$17</xm:f>
          </x14:formula1>
          <xm:sqref>WWA5:WWA23</xm:sqref>
        </x14:dataValidation>
        <x14:dataValidation type="list" allowBlank="1" showInputMessage="1" showErrorMessage="1" xr:uid="{F032084D-D15C-4B0A-B92B-0A652CB0A97A}">
          <x14:formula1>
            <xm:f>項目!C$17:$WVS19</xm:f>
          </x14:formula1>
          <xm:sqref>WWA24</xm:sqref>
        </x14:dataValidation>
        <x14:dataValidation type="list" allowBlank="1" showInputMessage="1" showErrorMessage="1" xr:uid="{76DBC697-7533-424B-AD94-6C2224FBD687}">
          <x14:formula1>
            <xm:f>項目!C1:$ACM$17</xm:f>
          </x14:formula1>
          <xm:sqref>ACU5:ACU23</xm:sqref>
        </x14:dataValidation>
        <x14:dataValidation type="list" allowBlank="1" showInputMessage="1" showErrorMessage="1" xr:uid="{163BA052-2B91-4195-9F99-BE50B52D5138}">
          <x14:formula1>
            <xm:f>項目!C$17:$ACM19</xm:f>
          </x14:formula1>
          <xm:sqref>ACU24</xm:sqref>
        </x14:dataValidation>
        <x14:dataValidation type="list" allowBlank="1" showInputMessage="1" showErrorMessage="1" xr:uid="{4CD56B10-C374-45FA-B607-B495F60BD34D}">
          <x14:formula1>
            <xm:f>項目!C1:$JK$17</xm:f>
          </x14:formula1>
          <xm:sqref>JS5:JS23</xm:sqref>
        </x14:dataValidation>
        <x14:dataValidation type="list" allowBlank="1" showInputMessage="1" showErrorMessage="1" xr:uid="{87CFF146-818B-4BB4-93F7-6AA94E4E3E8D}">
          <x14:formula1>
            <xm:f>項目!C$17:$JK19</xm:f>
          </x14:formula1>
          <xm:sqref>JS24</xm:sqref>
        </x14:dataValidation>
        <x14:dataValidation type="list" allowBlank="1" showInputMessage="1" showErrorMessage="1" xr:uid="{7A70B56D-9CFD-4F84-B7CD-BB98518F6647}">
          <x14:formula1>
            <xm:f>項目!C1:$TG$17</xm:f>
          </x14:formula1>
          <xm:sqref>TO5:TO23</xm:sqref>
        </x14:dataValidation>
        <x14:dataValidation type="list" allowBlank="1" showInputMessage="1" showErrorMessage="1" xr:uid="{3BA025B5-FA10-4D7C-B284-6DD099C95A16}">
          <x14:formula1>
            <xm:f>項目!C$17:$TG19</xm:f>
          </x14:formula1>
          <xm:sqref>TO24</xm:sqref>
        </x14:dataValidation>
        <x14:dataValidation type="list" allowBlank="1" showInputMessage="1" showErrorMessage="1" xr:uid="{067BDFCF-A2B8-4BE0-B369-12FD1B7BBA93}">
          <x14:formula1>
            <xm:f>項目!C1:$ADC$17</xm:f>
          </x14:formula1>
          <xm:sqref>ADK5:ADK23</xm:sqref>
        </x14:dataValidation>
        <x14:dataValidation type="list" allowBlank="1" showInputMessage="1" showErrorMessage="1" xr:uid="{AEF4D0E3-8AA9-4D12-A48E-34278EAD574E}">
          <x14:formula1>
            <xm:f>項目!C$17:$ADC19</xm:f>
          </x14:formula1>
          <xm:sqref>ADK24</xm:sqref>
        </x14:dataValidation>
        <x14:dataValidation type="list" allowBlank="1" showInputMessage="1" showErrorMessage="1" xr:uid="{6B97F70F-033A-42DA-A407-E3E1EC4CB0EE}">
          <x14:formula1>
            <xm:f>項目!C1:$AMY$17</xm:f>
          </x14:formula1>
          <xm:sqref>ANG5:ANG23</xm:sqref>
        </x14:dataValidation>
        <x14:dataValidation type="list" allowBlank="1" showInputMessage="1" showErrorMessage="1" xr:uid="{77ECA899-509A-4044-A034-3E8732982400}">
          <x14:formula1>
            <xm:f>項目!C$17:$AMY19</xm:f>
          </x14:formula1>
          <xm:sqref>ANG24</xm:sqref>
        </x14:dataValidation>
        <x14:dataValidation type="list" allowBlank="1" showInputMessage="1" showErrorMessage="1" xr:uid="{278633A1-CE68-4F3F-A20C-CE6B0C5C1130}">
          <x14:formula1>
            <xm:f>項目!C1:$AWU$17</xm:f>
          </x14:formula1>
          <xm:sqref>AXC5:AXC23</xm:sqref>
        </x14:dataValidation>
        <x14:dataValidation type="list" allowBlank="1" showInputMessage="1" showErrorMessage="1" xr:uid="{A3AF13D4-8A99-44A0-8E00-BAA067946533}">
          <x14:formula1>
            <xm:f>項目!C$17:$AWU19</xm:f>
          </x14:formula1>
          <xm:sqref>AXC24</xm:sqref>
        </x14:dataValidation>
        <x14:dataValidation type="list" allowBlank="1" showInputMessage="1" showErrorMessage="1" xr:uid="{899F6744-6DEB-4F0A-B08C-D4B12E845C54}">
          <x14:formula1>
            <xm:f>項目!C1:$BGQ$17</xm:f>
          </x14:formula1>
          <xm:sqref>BGY5:BGY23</xm:sqref>
        </x14:dataValidation>
        <x14:dataValidation type="list" allowBlank="1" showInputMessage="1" showErrorMessage="1" xr:uid="{79CB79E0-3CC9-4FA1-B9E4-90D2CD3A26AC}">
          <x14:formula1>
            <xm:f>項目!C$17:$BGQ19</xm:f>
          </x14:formula1>
          <xm:sqref>BGY24</xm:sqref>
        </x14:dataValidation>
        <x14:dataValidation type="list" allowBlank="1" showInputMessage="1" showErrorMessage="1" xr:uid="{3ED188ED-A565-451C-A3D3-6769CA624CCD}">
          <x14:formula1>
            <xm:f>項目!C1:$BQM$17</xm:f>
          </x14:formula1>
          <xm:sqref>BQU5:BQU23</xm:sqref>
        </x14:dataValidation>
        <x14:dataValidation type="list" allowBlank="1" showInputMessage="1" showErrorMessage="1" xr:uid="{B2BB0505-7214-4071-A396-D01A6444CE22}">
          <x14:formula1>
            <xm:f>項目!C$17:$BQM19</xm:f>
          </x14:formula1>
          <xm:sqref>BQU24</xm:sqref>
        </x14:dataValidation>
        <x14:dataValidation type="list" allowBlank="1" showInputMessage="1" showErrorMessage="1" xr:uid="{F87CD7D9-0C2C-4C74-9985-DD0D3D271F64}">
          <x14:formula1>
            <xm:f>項目!C1:$CAI$17</xm:f>
          </x14:formula1>
          <xm:sqref>CAQ5:CAQ23</xm:sqref>
        </x14:dataValidation>
        <x14:dataValidation type="list" allowBlank="1" showInputMessage="1" showErrorMessage="1" xr:uid="{2B486129-4867-44C9-9A75-F15935884119}">
          <x14:formula1>
            <xm:f>項目!C$17:$CAI19</xm:f>
          </x14:formula1>
          <xm:sqref>CAQ24</xm:sqref>
        </x14:dataValidation>
        <x14:dataValidation type="list" allowBlank="1" showInputMessage="1" showErrorMessage="1" xr:uid="{781C82E2-7233-4980-9835-607371B4B985}">
          <x14:formula1>
            <xm:f>項目!C1:$CKE$17</xm:f>
          </x14:formula1>
          <xm:sqref>CKM5:CKM23</xm:sqref>
        </x14:dataValidation>
        <x14:dataValidation type="list" allowBlank="1" showInputMessage="1" showErrorMessage="1" xr:uid="{CDE045D4-41BB-47C4-8410-1C001DE3A520}">
          <x14:formula1>
            <xm:f>項目!C$17:$CKE19</xm:f>
          </x14:formula1>
          <xm:sqref>CKM24</xm:sqref>
        </x14:dataValidation>
        <x14:dataValidation type="list" allowBlank="1" showInputMessage="1" showErrorMessage="1" xr:uid="{C655F1BB-9931-4E27-99D8-4362B0DDB785}">
          <x14:formula1>
            <xm:f>項目!C1:$CUA$17</xm:f>
          </x14:formula1>
          <xm:sqref>CUI5:CUI23</xm:sqref>
        </x14:dataValidation>
        <x14:dataValidation type="list" allowBlank="1" showInputMessage="1" showErrorMessage="1" xr:uid="{CF7C982A-3706-4F00-8893-B47D23A915F6}">
          <x14:formula1>
            <xm:f>項目!C$17:$CUA19</xm:f>
          </x14:formula1>
          <xm:sqref>CUI24</xm:sqref>
        </x14:dataValidation>
        <x14:dataValidation type="list" allowBlank="1" showInputMessage="1" showErrorMessage="1" xr:uid="{89CCECF0-5CA5-4707-966F-0DA6644C1551}">
          <x14:formula1>
            <xm:f>項目!C1:$DDW$17</xm:f>
          </x14:formula1>
          <xm:sqref>DEE5:DEE23</xm:sqref>
        </x14:dataValidation>
        <x14:dataValidation type="list" allowBlank="1" showInputMessage="1" showErrorMessage="1" xr:uid="{F2F21D3F-AB32-4885-8C0A-43E2F9708CB1}">
          <x14:formula1>
            <xm:f>項目!C$17:$DDW19</xm:f>
          </x14:formula1>
          <xm:sqref>DEE24</xm:sqref>
        </x14:dataValidation>
        <x14:dataValidation type="list" allowBlank="1" showInputMessage="1" showErrorMessage="1" xr:uid="{007E90FE-5432-4998-806D-3C22063FE750}">
          <x14:formula1>
            <xm:f>項目!C1:$DNS$17</xm:f>
          </x14:formula1>
          <xm:sqref>DOA5:DOA23</xm:sqref>
        </x14:dataValidation>
        <x14:dataValidation type="list" allowBlank="1" showInputMessage="1" showErrorMessage="1" xr:uid="{42320649-7047-4CD6-BBE7-9DAD0F984648}">
          <x14:formula1>
            <xm:f>項目!C$17:$DNS19</xm:f>
          </x14:formula1>
          <xm:sqref>DOA24</xm:sqref>
        </x14:dataValidation>
        <x14:dataValidation type="list" allowBlank="1" showInputMessage="1" showErrorMessage="1" xr:uid="{88246A1F-BA4D-438D-B219-C06938CB1D16}">
          <x14:formula1>
            <xm:f>項目!C1:$DXO$17</xm:f>
          </x14:formula1>
          <xm:sqref>DXW5:DXW23</xm:sqref>
        </x14:dataValidation>
        <x14:dataValidation type="list" allowBlank="1" showInputMessage="1" showErrorMessage="1" xr:uid="{E7AB16AE-A760-4128-89A8-34D92AF9D17A}">
          <x14:formula1>
            <xm:f>項目!C$17:$DXO19</xm:f>
          </x14:formula1>
          <xm:sqref>DXW24</xm:sqref>
        </x14:dataValidation>
        <x14:dataValidation type="list" allowBlank="1" showInputMessage="1" showErrorMessage="1" xr:uid="{1105DB7F-D0AA-4875-B229-C4BF95102932}">
          <x14:formula1>
            <xm:f>項目!C1:$EHK$17</xm:f>
          </x14:formula1>
          <xm:sqref>EHS5:EHS23</xm:sqref>
        </x14:dataValidation>
        <x14:dataValidation type="list" allowBlank="1" showInputMessage="1" showErrorMessage="1" xr:uid="{07E2D6D0-34AA-43C4-AB0B-F5AD2A802D3D}">
          <x14:formula1>
            <xm:f>項目!C$17:$EHK19</xm:f>
          </x14:formula1>
          <xm:sqref>EHS24</xm:sqref>
        </x14:dataValidation>
        <x14:dataValidation type="list" allowBlank="1" showInputMessage="1" showErrorMessage="1" xr:uid="{11E6E2DB-DE87-4416-9FC4-016C1BDE49B5}">
          <x14:formula1>
            <xm:f>項目!C1:$ERG$17</xm:f>
          </x14:formula1>
          <xm:sqref>ERO5:ERO23</xm:sqref>
        </x14:dataValidation>
        <x14:dataValidation type="list" allowBlank="1" showInputMessage="1" showErrorMessage="1" xr:uid="{9E8E307A-9DDD-412F-ADA3-4102DED7D57A}">
          <x14:formula1>
            <xm:f>項目!C$17:$ERG19</xm:f>
          </x14:formula1>
          <xm:sqref>ERO24</xm:sqref>
        </x14:dataValidation>
        <x14:dataValidation type="list" allowBlank="1" showInputMessage="1" showErrorMessage="1" xr:uid="{5D77E7B6-5AFA-49BE-98B9-E65A6E8D6222}">
          <x14:formula1>
            <xm:f>項目!C1:$FBC$17</xm:f>
          </x14:formula1>
          <xm:sqref>FBK5:FBK23</xm:sqref>
        </x14:dataValidation>
        <x14:dataValidation type="list" allowBlank="1" showInputMessage="1" showErrorMessage="1" xr:uid="{296171E0-043E-4A31-9698-B2AE99FD951D}">
          <x14:formula1>
            <xm:f>項目!C$17:$FBC19</xm:f>
          </x14:formula1>
          <xm:sqref>FBK24</xm:sqref>
        </x14:dataValidation>
        <x14:dataValidation type="list" allowBlank="1" showInputMessage="1" showErrorMessage="1" xr:uid="{8F1EE5B3-6CDA-4E77-B55D-1FFC36C268B0}">
          <x14:formula1>
            <xm:f>項目!C1:$FKY$17</xm:f>
          </x14:formula1>
          <xm:sqref>FLG5:FLG23</xm:sqref>
        </x14:dataValidation>
        <x14:dataValidation type="list" allowBlank="1" showInputMessage="1" showErrorMessage="1" xr:uid="{4212ADA5-6E06-4B1E-B676-9CBA440F2E9B}">
          <x14:formula1>
            <xm:f>項目!C$17:$FKY19</xm:f>
          </x14:formula1>
          <xm:sqref>FLG24</xm:sqref>
        </x14:dataValidation>
        <x14:dataValidation type="list" allowBlank="1" showInputMessage="1" showErrorMessage="1" xr:uid="{3B758264-29B6-4550-B904-EE1DDF15A53D}">
          <x14:formula1>
            <xm:f>項目!C1:$FUU$17</xm:f>
          </x14:formula1>
          <xm:sqref>FVC5:FVC23</xm:sqref>
        </x14:dataValidation>
        <x14:dataValidation type="list" allowBlank="1" showInputMessage="1" showErrorMessage="1" xr:uid="{E58E8C3E-12E1-46D4-ACD5-8B394C6CA01A}">
          <x14:formula1>
            <xm:f>項目!C$17:$FUU19</xm:f>
          </x14:formula1>
          <xm:sqref>FVC24</xm:sqref>
        </x14:dataValidation>
        <x14:dataValidation type="list" allowBlank="1" showInputMessage="1" showErrorMessage="1" xr:uid="{1EB0AA21-1235-4F00-8B13-26E96E6A410E}">
          <x14:formula1>
            <xm:f>項目!C1:$GEQ$17</xm:f>
          </x14:formula1>
          <xm:sqref>GEY5:GEY23</xm:sqref>
        </x14:dataValidation>
        <x14:dataValidation type="list" allowBlank="1" showInputMessage="1" showErrorMessage="1" xr:uid="{ED59822A-829C-45E5-A44E-F436497FCAA0}">
          <x14:formula1>
            <xm:f>項目!C$17:$GEQ19</xm:f>
          </x14:formula1>
          <xm:sqref>GEY24</xm:sqref>
        </x14:dataValidation>
        <x14:dataValidation type="list" allowBlank="1" showInputMessage="1" showErrorMessage="1" xr:uid="{844A080D-772E-4D1F-BEC8-0C7A31445E34}">
          <x14:formula1>
            <xm:f>項目!C1:$GOM$17</xm:f>
          </x14:formula1>
          <xm:sqref>GOU5:GOU23</xm:sqref>
        </x14:dataValidation>
        <x14:dataValidation type="list" allowBlank="1" showInputMessage="1" showErrorMessage="1" xr:uid="{8C190D67-FF1D-4487-9A1E-2DB93C3B97F8}">
          <x14:formula1>
            <xm:f>項目!C$17:$GOM19</xm:f>
          </x14:formula1>
          <xm:sqref>GOU24</xm:sqref>
        </x14:dataValidation>
        <x14:dataValidation type="list" allowBlank="1" showInputMessage="1" showErrorMessage="1" xr:uid="{301E36FF-F5FF-4B39-9FA4-CC83EC1B814A}">
          <x14:formula1>
            <xm:f>項目!C1:$GYI$17</xm:f>
          </x14:formula1>
          <xm:sqref>GYQ5:GYQ23</xm:sqref>
        </x14:dataValidation>
        <x14:dataValidation type="list" allowBlank="1" showInputMessage="1" showErrorMessage="1" xr:uid="{DD6C0A56-7597-472B-AD5D-6A3337B207AE}">
          <x14:formula1>
            <xm:f>項目!C$17:$GYI19</xm:f>
          </x14:formula1>
          <xm:sqref>GYQ24</xm:sqref>
        </x14:dataValidation>
        <x14:dataValidation type="list" allowBlank="1" showInputMessage="1" showErrorMessage="1" xr:uid="{4D1FF549-7E64-4949-B685-B9E51E2B07AA}">
          <x14:formula1>
            <xm:f>項目!C1:$HIE$17</xm:f>
          </x14:formula1>
          <xm:sqref>HIM5:HIM23</xm:sqref>
        </x14:dataValidation>
        <x14:dataValidation type="list" allowBlank="1" showInputMessage="1" showErrorMessage="1" xr:uid="{974AEC11-A6E3-4F98-8E9D-8A0AD36DD229}">
          <x14:formula1>
            <xm:f>項目!C$17:$HIE19</xm:f>
          </x14:formula1>
          <xm:sqref>HIM24</xm:sqref>
        </x14:dataValidation>
        <x14:dataValidation type="list" allowBlank="1" showInputMessage="1" showErrorMessage="1" xr:uid="{DBA30B47-E952-4196-98F6-515B6280561F}">
          <x14:formula1>
            <xm:f>項目!C1:$HSA$17</xm:f>
          </x14:formula1>
          <xm:sqref>HSI5:HSI23</xm:sqref>
        </x14:dataValidation>
        <x14:dataValidation type="list" allowBlank="1" showInputMessage="1" showErrorMessage="1" xr:uid="{2141D814-0807-4C7B-90B2-C1A9C9458CE6}">
          <x14:formula1>
            <xm:f>項目!C$17:$HSA19</xm:f>
          </x14:formula1>
          <xm:sqref>HSI24</xm:sqref>
        </x14:dataValidation>
        <x14:dataValidation type="list" allowBlank="1" showInputMessage="1" showErrorMessage="1" xr:uid="{AB491161-35C8-48C3-9E59-52953FD4D54D}">
          <x14:formula1>
            <xm:f>項目!C1:$IBW$17</xm:f>
          </x14:formula1>
          <xm:sqref>ICE5:ICE23</xm:sqref>
        </x14:dataValidation>
        <x14:dataValidation type="list" allowBlank="1" showInputMessage="1" showErrorMessage="1" xr:uid="{03063A0B-70A6-4DDB-8733-97E7E69445DE}">
          <x14:formula1>
            <xm:f>項目!C$17:$IBW19</xm:f>
          </x14:formula1>
          <xm:sqref>ICE24</xm:sqref>
        </x14:dataValidation>
        <x14:dataValidation type="list" allowBlank="1" showInputMessage="1" showErrorMessage="1" xr:uid="{B5CE98A1-8881-4849-863D-C7B680BB8384}">
          <x14:formula1>
            <xm:f>項目!C1:$ILS$17</xm:f>
          </x14:formula1>
          <xm:sqref>IMA5:IMA23</xm:sqref>
        </x14:dataValidation>
        <x14:dataValidation type="list" allowBlank="1" showInputMessage="1" showErrorMessage="1" xr:uid="{C073741B-1ED2-486C-AF53-80C8225BBF99}">
          <x14:formula1>
            <xm:f>項目!C$17:$ILS19</xm:f>
          </x14:formula1>
          <xm:sqref>IMA24</xm:sqref>
        </x14:dataValidation>
        <x14:dataValidation type="list" allowBlank="1" showInputMessage="1" showErrorMessage="1" xr:uid="{985D65E5-BEC5-48FD-B4E8-CE37381D76B5}">
          <x14:formula1>
            <xm:f>項目!C1:$IVO$17</xm:f>
          </x14:formula1>
          <xm:sqref>IVW5:IVW23</xm:sqref>
        </x14:dataValidation>
        <x14:dataValidation type="list" allowBlank="1" showInputMessage="1" showErrorMessage="1" xr:uid="{95D754B5-9884-474A-8AF1-516BAA7BF00B}">
          <x14:formula1>
            <xm:f>項目!C$17:$IVO19</xm:f>
          </x14:formula1>
          <xm:sqref>IVW24</xm:sqref>
        </x14:dataValidation>
        <x14:dataValidation type="list" allowBlank="1" showInputMessage="1" showErrorMessage="1" xr:uid="{C73BD48A-D180-4417-94E2-BB3E058A95F0}">
          <x14:formula1>
            <xm:f>項目!C1:$JFK$17</xm:f>
          </x14:formula1>
          <xm:sqref>JFS5:JFS23</xm:sqref>
        </x14:dataValidation>
        <x14:dataValidation type="list" allowBlank="1" showInputMessage="1" showErrorMessage="1" xr:uid="{7381120E-6E3B-45D2-96CC-ADDE40C6A4C1}">
          <x14:formula1>
            <xm:f>項目!C$17:$JFK19</xm:f>
          </x14:formula1>
          <xm:sqref>JFS24</xm:sqref>
        </x14:dataValidation>
        <x14:dataValidation type="list" allowBlank="1" showInputMessage="1" showErrorMessage="1" xr:uid="{C25F5862-4FA0-4616-B9A4-98C4DE595E9D}">
          <x14:formula1>
            <xm:f>項目!C1:$JPG$17</xm:f>
          </x14:formula1>
          <xm:sqref>JPO5:JPO23</xm:sqref>
        </x14:dataValidation>
        <x14:dataValidation type="list" allowBlank="1" showInputMessage="1" showErrorMessage="1" xr:uid="{15380724-CB31-434D-9AB4-655E28A7692B}">
          <x14:formula1>
            <xm:f>項目!C$17:$JPG19</xm:f>
          </x14:formula1>
          <xm:sqref>JPO24</xm:sqref>
        </x14:dataValidation>
        <x14:dataValidation type="list" allowBlank="1" showInputMessage="1" showErrorMessage="1" xr:uid="{FEA5F749-1CF8-42D9-92BD-B9B258420C49}">
          <x14:formula1>
            <xm:f>項目!C1:$JZC$17</xm:f>
          </x14:formula1>
          <xm:sqref>JZK5:JZK23</xm:sqref>
        </x14:dataValidation>
        <x14:dataValidation type="list" allowBlank="1" showInputMessage="1" showErrorMessage="1" xr:uid="{C239066D-0616-47F1-AEF4-1EAEE5E9374B}">
          <x14:formula1>
            <xm:f>項目!C$17:$JZC19</xm:f>
          </x14:formula1>
          <xm:sqref>JZK24</xm:sqref>
        </x14:dataValidation>
        <x14:dataValidation type="list" allowBlank="1" showInputMessage="1" showErrorMessage="1" xr:uid="{A1698A57-7A12-46B2-B217-2FE4F9772383}">
          <x14:formula1>
            <xm:f>項目!C1:$KIY$17</xm:f>
          </x14:formula1>
          <xm:sqref>KJG5:KJG23</xm:sqref>
        </x14:dataValidation>
        <x14:dataValidation type="list" allowBlank="1" showInputMessage="1" showErrorMessage="1" xr:uid="{955B96A1-86FF-4E43-A61F-5583ED9F3362}">
          <x14:formula1>
            <xm:f>項目!C$17:$KIY19</xm:f>
          </x14:formula1>
          <xm:sqref>KJG24</xm:sqref>
        </x14:dataValidation>
        <x14:dataValidation type="list" allowBlank="1" showInputMessage="1" showErrorMessage="1" xr:uid="{0217F90D-AFE9-4A01-9D3C-7C48AA032CA6}">
          <x14:formula1>
            <xm:f>項目!C1:$KSU$17</xm:f>
          </x14:formula1>
          <xm:sqref>KTC5:KTC23</xm:sqref>
        </x14:dataValidation>
        <x14:dataValidation type="list" allowBlank="1" showInputMessage="1" showErrorMessage="1" xr:uid="{844AA493-64A8-4BC5-8C71-3118CFF8A40E}">
          <x14:formula1>
            <xm:f>項目!C$17:$KSU19</xm:f>
          </x14:formula1>
          <xm:sqref>KTC24</xm:sqref>
        </x14:dataValidation>
        <x14:dataValidation type="list" allowBlank="1" showInputMessage="1" showErrorMessage="1" xr:uid="{9A01E783-DABD-4A59-B200-799E05A0E94F}">
          <x14:formula1>
            <xm:f>項目!C1:$LCQ$17</xm:f>
          </x14:formula1>
          <xm:sqref>LCY5:LCY23</xm:sqref>
        </x14:dataValidation>
        <x14:dataValidation type="list" allowBlank="1" showInputMessage="1" showErrorMessage="1" xr:uid="{B2D36DC7-E5BA-4476-8C2F-AC9E1F9EBD9D}">
          <x14:formula1>
            <xm:f>項目!C$17:$LCQ19</xm:f>
          </x14:formula1>
          <xm:sqref>LCY24</xm:sqref>
        </x14:dataValidation>
        <x14:dataValidation type="list" allowBlank="1" showInputMessage="1" showErrorMessage="1" xr:uid="{96637D7F-4B3F-44BA-AE4C-AB7C52AD5038}">
          <x14:formula1>
            <xm:f>項目!C1:$LMM$17</xm:f>
          </x14:formula1>
          <xm:sqref>LMU5:LMU23</xm:sqref>
        </x14:dataValidation>
        <x14:dataValidation type="list" allowBlank="1" showInputMessage="1" showErrorMessage="1" xr:uid="{00D45B8C-EA95-404C-91FC-74112542D1EE}">
          <x14:formula1>
            <xm:f>項目!C$17:$LMM19</xm:f>
          </x14:formula1>
          <xm:sqref>LMU24</xm:sqref>
        </x14:dataValidation>
        <x14:dataValidation type="list" allowBlank="1" showInputMessage="1" showErrorMessage="1" xr:uid="{A2D7AA09-81FC-4750-B12B-A25009893F88}">
          <x14:formula1>
            <xm:f>項目!C1:$LWI$17</xm:f>
          </x14:formula1>
          <xm:sqref>LWQ5:LWQ23</xm:sqref>
        </x14:dataValidation>
        <x14:dataValidation type="list" allowBlank="1" showInputMessage="1" showErrorMessage="1" xr:uid="{5540DD0C-4F2F-4061-A6C9-5BC5F4D05950}">
          <x14:formula1>
            <xm:f>項目!C$17:$LWI19</xm:f>
          </x14:formula1>
          <xm:sqref>LWQ24</xm:sqref>
        </x14:dataValidation>
        <x14:dataValidation type="list" allowBlank="1" showInputMessage="1" showErrorMessage="1" xr:uid="{AB30E3B3-2579-47CC-887E-23DB85BAF39D}">
          <x14:formula1>
            <xm:f>項目!C1:$MGE$17</xm:f>
          </x14:formula1>
          <xm:sqref>MGM5:MGM23</xm:sqref>
        </x14:dataValidation>
        <x14:dataValidation type="list" allowBlank="1" showInputMessage="1" showErrorMessage="1" xr:uid="{DBD4A334-B225-4A11-AD96-FA39A9AB3F98}">
          <x14:formula1>
            <xm:f>項目!C$17:$MGE19</xm:f>
          </x14:formula1>
          <xm:sqref>MGM24</xm:sqref>
        </x14:dataValidation>
        <x14:dataValidation type="list" allowBlank="1" showInputMessage="1" showErrorMessage="1" xr:uid="{04B377C0-91F1-4073-A599-F16528E9B23F}">
          <x14:formula1>
            <xm:f>項目!C1:$MQA$17</xm:f>
          </x14:formula1>
          <xm:sqref>MQI5:MQI23</xm:sqref>
        </x14:dataValidation>
        <x14:dataValidation type="list" allowBlank="1" showInputMessage="1" showErrorMessage="1" xr:uid="{D327A9B3-F845-4988-B9E4-6655DA638B13}">
          <x14:formula1>
            <xm:f>項目!C$17:$MQA19</xm:f>
          </x14:formula1>
          <xm:sqref>MQI24</xm:sqref>
        </x14:dataValidation>
        <x14:dataValidation type="list" allowBlank="1" showInputMessage="1" showErrorMessage="1" xr:uid="{4E68E5CB-D0B4-4B46-B718-FDD186E44565}">
          <x14:formula1>
            <xm:f>項目!C1:$MZW$17</xm:f>
          </x14:formula1>
          <xm:sqref>NAE5:NAE23</xm:sqref>
        </x14:dataValidation>
        <x14:dataValidation type="list" allowBlank="1" showInputMessage="1" showErrorMessage="1" xr:uid="{ADA4CFA4-18AD-4055-AC17-4CD7294A89D7}">
          <x14:formula1>
            <xm:f>項目!C$17:$MZW19</xm:f>
          </x14:formula1>
          <xm:sqref>NAE24</xm:sqref>
        </x14:dataValidation>
        <x14:dataValidation type="list" allowBlank="1" showInputMessage="1" showErrorMessage="1" xr:uid="{634EA275-3085-4C5C-90E2-D8BB618F4C3B}">
          <x14:formula1>
            <xm:f>項目!C1:$NJS$17</xm:f>
          </x14:formula1>
          <xm:sqref>NKA5:NKA23</xm:sqref>
        </x14:dataValidation>
        <x14:dataValidation type="list" allowBlank="1" showInputMessage="1" showErrorMessage="1" xr:uid="{BF6297F4-9559-40A3-BDC4-6A8950B76D19}">
          <x14:formula1>
            <xm:f>項目!C$17:$NJS19</xm:f>
          </x14:formula1>
          <xm:sqref>NKA24</xm:sqref>
        </x14:dataValidation>
        <x14:dataValidation type="list" allowBlank="1" showInputMessage="1" showErrorMessage="1" xr:uid="{078CD5AE-0E7E-4C9B-9B01-F0CB1819B48F}">
          <x14:formula1>
            <xm:f>項目!C1:$NTO$17</xm:f>
          </x14:formula1>
          <xm:sqref>NTW5:NTW23</xm:sqref>
        </x14:dataValidation>
        <x14:dataValidation type="list" allowBlank="1" showInputMessage="1" showErrorMessage="1" xr:uid="{6CF5D9AD-2651-43C2-A29C-FF19BAC0D877}">
          <x14:formula1>
            <xm:f>項目!C$17:$NTO19</xm:f>
          </x14:formula1>
          <xm:sqref>NTW24</xm:sqref>
        </x14:dataValidation>
        <x14:dataValidation type="list" allowBlank="1" showInputMessage="1" showErrorMessage="1" xr:uid="{C765796E-E26E-4C5B-9FE5-CE1E9DF9B2E6}">
          <x14:formula1>
            <xm:f>項目!C1:$ODK$17</xm:f>
          </x14:formula1>
          <xm:sqref>ODS5:ODS23</xm:sqref>
        </x14:dataValidation>
        <x14:dataValidation type="list" allowBlank="1" showInputMessage="1" showErrorMessage="1" xr:uid="{60509093-0F8A-446A-A161-CD76DA70E873}">
          <x14:formula1>
            <xm:f>項目!C$17:$ODK19</xm:f>
          </x14:formula1>
          <xm:sqref>ODS24</xm:sqref>
        </x14:dataValidation>
        <x14:dataValidation type="list" allowBlank="1" showInputMessage="1" showErrorMessage="1" xr:uid="{E0AFCB5A-9FCA-4149-8694-C2ABBDB4FC78}">
          <x14:formula1>
            <xm:f>項目!C1:$ONG$17</xm:f>
          </x14:formula1>
          <xm:sqref>ONO5:ONO23</xm:sqref>
        </x14:dataValidation>
        <x14:dataValidation type="list" allowBlank="1" showInputMessage="1" showErrorMessage="1" xr:uid="{EC2A6CCD-5BCB-42A9-95A6-EA41ED2F3C58}">
          <x14:formula1>
            <xm:f>項目!C$17:$ONG19</xm:f>
          </x14:formula1>
          <xm:sqref>ONO24</xm:sqref>
        </x14:dataValidation>
        <x14:dataValidation type="list" allowBlank="1" showInputMessage="1" showErrorMessage="1" xr:uid="{A8F6BD21-495C-47BE-9E8A-2310DE202CF0}">
          <x14:formula1>
            <xm:f>項目!C1:$OXC$17</xm:f>
          </x14:formula1>
          <xm:sqref>OXK5:OXK23</xm:sqref>
        </x14:dataValidation>
        <x14:dataValidation type="list" allowBlank="1" showInputMessage="1" showErrorMessage="1" xr:uid="{7603F5A9-E965-4E44-9CA7-DF85184710B5}">
          <x14:formula1>
            <xm:f>項目!C$17:$OXC19</xm:f>
          </x14:formula1>
          <xm:sqref>OXK24</xm:sqref>
        </x14:dataValidation>
        <x14:dataValidation type="list" allowBlank="1" showInputMessage="1" showErrorMessage="1" xr:uid="{B5E0AF87-2BF8-4762-9E43-03D52783773C}">
          <x14:formula1>
            <xm:f>項目!C1:$PGY$17</xm:f>
          </x14:formula1>
          <xm:sqref>PHG5:PHG23</xm:sqref>
        </x14:dataValidation>
        <x14:dataValidation type="list" allowBlank="1" showInputMessage="1" showErrorMessage="1" xr:uid="{F6AA506A-1153-4733-B341-635F1DF48E59}">
          <x14:formula1>
            <xm:f>項目!C$17:$PGY19</xm:f>
          </x14:formula1>
          <xm:sqref>PHG24</xm:sqref>
        </x14:dataValidation>
        <x14:dataValidation type="list" allowBlank="1" showInputMessage="1" showErrorMessage="1" xr:uid="{D4350AFA-D7D2-4C5E-9B38-E0A5B91DF4E8}">
          <x14:formula1>
            <xm:f>項目!C1:$PQU$17</xm:f>
          </x14:formula1>
          <xm:sqref>PRC5:PRC23</xm:sqref>
        </x14:dataValidation>
        <x14:dataValidation type="list" allowBlank="1" showInputMessage="1" showErrorMessage="1" xr:uid="{B7BDB01F-C28E-468D-B50C-B0BCADBC9895}">
          <x14:formula1>
            <xm:f>項目!C$17:$PQU19</xm:f>
          </x14:formula1>
          <xm:sqref>PRC24</xm:sqref>
        </x14:dataValidation>
        <x14:dataValidation type="list" allowBlank="1" showInputMessage="1" showErrorMessage="1" xr:uid="{5A22E77C-D2FC-4EF1-842D-099FD4B56CE2}">
          <x14:formula1>
            <xm:f>項目!C1:$QAQ$17</xm:f>
          </x14:formula1>
          <xm:sqref>QAY5:QAY23</xm:sqref>
        </x14:dataValidation>
        <x14:dataValidation type="list" allowBlank="1" showInputMessage="1" showErrorMessage="1" xr:uid="{A6EFE29D-92D3-4FF5-83C6-56AC8237957D}">
          <x14:formula1>
            <xm:f>項目!C$17:$QAQ19</xm:f>
          </x14:formula1>
          <xm:sqref>QAY24</xm:sqref>
        </x14:dataValidation>
        <x14:dataValidation type="list" allowBlank="1" showInputMessage="1" showErrorMessage="1" xr:uid="{30F29DA3-04FA-4F85-969F-428B30C3DDD7}">
          <x14:formula1>
            <xm:f>項目!C1:$QKM$17</xm:f>
          </x14:formula1>
          <xm:sqref>QKU5:QKU23</xm:sqref>
        </x14:dataValidation>
        <x14:dataValidation type="list" allowBlank="1" showInputMessage="1" showErrorMessage="1" xr:uid="{9E6E617A-D0CD-459F-8F2D-79566ACA1D07}">
          <x14:formula1>
            <xm:f>項目!C$17:$QKM19</xm:f>
          </x14:formula1>
          <xm:sqref>QKU24</xm:sqref>
        </x14:dataValidation>
        <x14:dataValidation type="list" allowBlank="1" showInputMessage="1" showErrorMessage="1" xr:uid="{AD71D7FA-8FA6-400C-803D-84EB89A56BA6}">
          <x14:formula1>
            <xm:f>項目!C1:$QUI$17</xm:f>
          </x14:formula1>
          <xm:sqref>QUQ5:QUQ23</xm:sqref>
        </x14:dataValidation>
        <x14:dataValidation type="list" allowBlank="1" showInputMessage="1" showErrorMessage="1" xr:uid="{76F7E4DF-2B32-4279-9A3C-A54C50183887}">
          <x14:formula1>
            <xm:f>項目!C$17:$QUI19</xm:f>
          </x14:formula1>
          <xm:sqref>QUQ24</xm:sqref>
        </x14:dataValidation>
        <x14:dataValidation type="list" allowBlank="1" showInputMessage="1" showErrorMessage="1" xr:uid="{7CA6DE7F-5E12-44B3-95A0-3D10726EC8AA}">
          <x14:formula1>
            <xm:f>項目!C1:$REE$17</xm:f>
          </x14:formula1>
          <xm:sqref>REM5:REM23</xm:sqref>
        </x14:dataValidation>
        <x14:dataValidation type="list" allowBlank="1" showInputMessage="1" showErrorMessage="1" xr:uid="{15798B43-A82C-4546-9AD7-C1930BC3C7B0}">
          <x14:formula1>
            <xm:f>項目!C$17:$REE19</xm:f>
          </x14:formula1>
          <xm:sqref>REM24</xm:sqref>
        </x14:dataValidation>
        <x14:dataValidation type="list" allowBlank="1" showInputMessage="1" showErrorMessage="1" xr:uid="{ED91C76B-D5D5-41CB-B966-EEDC0A7F5E43}">
          <x14:formula1>
            <xm:f>項目!C1:$ROA$17</xm:f>
          </x14:formula1>
          <xm:sqref>ROI5:ROI23</xm:sqref>
        </x14:dataValidation>
        <x14:dataValidation type="list" allowBlank="1" showInputMessage="1" showErrorMessage="1" xr:uid="{47F3978D-8264-42DD-9337-995FF638D5E3}">
          <x14:formula1>
            <xm:f>項目!C$17:$ROA19</xm:f>
          </x14:formula1>
          <xm:sqref>ROI24</xm:sqref>
        </x14:dataValidation>
        <x14:dataValidation type="list" allowBlank="1" showInputMessage="1" showErrorMessage="1" xr:uid="{40AB3ABC-8CB4-4252-BD94-191CA99CB325}">
          <x14:formula1>
            <xm:f>項目!C1:$RXW$17</xm:f>
          </x14:formula1>
          <xm:sqref>RYE5:RYE23</xm:sqref>
        </x14:dataValidation>
        <x14:dataValidation type="list" allowBlank="1" showInputMessage="1" showErrorMessage="1" xr:uid="{693CFA49-5E41-40FF-AAD6-FF22746B32C9}">
          <x14:formula1>
            <xm:f>項目!C$17:$RXW19</xm:f>
          </x14:formula1>
          <xm:sqref>RYE24</xm:sqref>
        </x14:dataValidation>
        <x14:dataValidation type="list" allowBlank="1" showInputMessage="1" showErrorMessage="1" xr:uid="{22EDEBBD-3138-4E13-B297-9AEDFCB3F16D}">
          <x14:formula1>
            <xm:f>項目!C1:$SHS$17</xm:f>
          </x14:formula1>
          <xm:sqref>SIA5:SIA23</xm:sqref>
        </x14:dataValidation>
        <x14:dataValidation type="list" allowBlank="1" showInputMessage="1" showErrorMessage="1" xr:uid="{DF268FAA-2E11-41EB-8A53-D67CA0E0B349}">
          <x14:formula1>
            <xm:f>項目!C$17:$SHS19</xm:f>
          </x14:formula1>
          <xm:sqref>SIA24</xm:sqref>
        </x14:dataValidation>
        <x14:dataValidation type="list" allowBlank="1" showInputMessage="1" showErrorMessage="1" xr:uid="{06EE9D76-EBA2-4D42-8A6A-54EEB44DFBD6}">
          <x14:formula1>
            <xm:f>項目!C1:$SRO$17</xm:f>
          </x14:formula1>
          <xm:sqref>SRW5:SRW23</xm:sqref>
        </x14:dataValidation>
        <x14:dataValidation type="list" allowBlank="1" showInputMessage="1" showErrorMessage="1" xr:uid="{030AF3BC-D24A-4BE3-8B22-D9A4923A0031}">
          <x14:formula1>
            <xm:f>項目!C$17:$SRO19</xm:f>
          </x14:formula1>
          <xm:sqref>SRW24</xm:sqref>
        </x14:dataValidation>
        <x14:dataValidation type="list" allowBlank="1" showInputMessage="1" showErrorMessage="1" xr:uid="{3A62986C-2310-423C-BDF9-CD5889D4972F}">
          <x14:formula1>
            <xm:f>項目!C1:$TBK$17</xm:f>
          </x14:formula1>
          <xm:sqref>TBS5:TBS23</xm:sqref>
        </x14:dataValidation>
        <x14:dataValidation type="list" allowBlank="1" showInputMessage="1" showErrorMessage="1" xr:uid="{72F0BD29-F431-454F-B1DE-E4D1E8548599}">
          <x14:formula1>
            <xm:f>項目!C$17:$TBK19</xm:f>
          </x14:formula1>
          <xm:sqref>TBS24</xm:sqref>
        </x14:dataValidation>
        <x14:dataValidation type="list" allowBlank="1" showInputMessage="1" showErrorMessage="1" xr:uid="{377F864D-4A29-448B-B49A-4082138B549C}">
          <x14:formula1>
            <xm:f>項目!C1:$TLG$17</xm:f>
          </x14:formula1>
          <xm:sqref>TLO5:TLO23</xm:sqref>
        </x14:dataValidation>
        <x14:dataValidation type="list" allowBlank="1" showInputMessage="1" showErrorMessage="1" xr:uid="{84241417-8DB0-40D0-9738-812E248C2DFB}">
          <x14:formula1>
            <xm:f>項目!C$17:$TLG19</xm:f>
          </x14:formula1>
          <xm:sqref>TLO24</xm:sqref>
        </x14:dataValidation>
        <x14:dataValidation type="list" allowBlank="1" showInputMessage="1" showErrorMessage="1" xr:uid="{A04EFB94-8DC2-4C81-B37F-47B89F355C81}">
          <x14:formula1>
            <xm:f>項目!C1:$TVC$17</xm:f>
          </x14:formula1>
          <xm:sqref>TVK5:TVK23</xm:sqref>
        </x14:dataValidation>
        <x14:dataValidation type="list" allowBlank="1" showInputMessage="1" showErrorMessage="1" xr:uid="{03C6F318-7CF5-442C-B90A-577D1AF39BF7}">
          <x14:formula1>
            <xm:f>項目!C$17:$TVC19</xm:f>
          </x14:formula1>
          <xm:sqref>TVK24</xm:sqref>
        </x14:dataValidation>
        <x14:dataValidation type="list" allowBlank="1" showInputMessage="1" showErrorMessage="1" xr:uid="{3F0F5839-8BD1-4438-AD30-CAEEC01F3A00}">
          <x14:formula1>
            <xm:f>項目!C1:$UEY$17</xm:f>
          </x14:formula1>
          <xm:sqref>UFG5:UFG23</xm:sqref>
        </x14:dataValidation>
        <x14:dataValidation type="list" allowBlank="1" showInputMessage="1" showErrorMessage="1" xr:uid="{3EB23253-C6B0-43E1-A4B5-88067A2C50A3}">
          <x14:formula1>
            <xm:f>項目!C$17:$UEY19</xm:f>
          </x14:formula1>
          <xm:sqref>UFG24</xm:sqref>
        </x14:dataValidation>
        <x14:dataValidation type="list" allowBlank="1" showInputMessage="1" showErrorMessage="1" xr:uid="{B2A297E3-A891-4459-AC05-6D7B5B4DF18E}">
          <x14:formula1>
            <xm:f>項目!C1:$UOU$17</xm:f>
          </x14:formula1>
          <xm:sqref>UPC5:UPC23</xm:sqref>
        </x14:dataValidation>
        <x14:dataValidation type="list" allowBlank="1" showInputMessage="1" showErrorMessage="1" xr:uid="{60489994-B777-4BE4-9BFD-E51E010C014B}">
          <x14:formula1>
            <xm:f>項目!C$17:$UOU19</xm:f>
          </x14:formula1>
          <xm:sqref>UPC24</xm:sqref>
        </x14:dataValidation>
        <x14:dataValidation type="list" allowBlank="1" showInputMessage="1" showErrorMessage="1" xr:uid="{7D5EA9BD-2630-4752-B932-04C41713DFC9}">
          <x14:formula1>
            <xm:f>項目!C1:$UYQ$17</xm:f>
          </x14:formula1>
          <xm:sqref>UYY5:UYY23</xm:sqref>
        </x14:dataValidation>
        <x14:dataValidation type="list" allowBlank="1" showInputMessage="1" showErrorMessage="1" xr:uid="{C21035BE-AC2A-4068-AF78-9F72D050B0FC}">
          <x14:formula1>
            <xm:f>項目!C$17:$UYQ19</xm:f>
          </x14:formula1>
          <xm:sqref>UYY24</xm:sqref>
        </x14:dataValidation>
        <x14:dataValidation type="list" allowBlank="1" showInputMessage="1" showErrorMessage="1" xr:uid="{E746745D-C717-4853-92AB-DC3E3F984508}">
          <x14:formula1>
            <xm:f>項目!C1:$VIM$17</xm:f>
          </x14:formula1>
          <xm:sqref>VIU5:VIU23</xm:sqref>
        </x14:dataValidation>
        <x14:dataValidation type="list" allowBlank="1" showInputMessage="1" showErrorMessage="1" xr:uid="{0EF6B0EE-D84B-4272-AB28-FBC50F28EC90}">
          <x14:formula1>
            <xm:f>項目!C$17:$VIM19</xm:f>
          </x14:formula1>
          <xm:sqref>VIU24</xm:sqref>
        </x14:dataValidation>
        <x14:dataValidation type="list" allowBlank="1" showInputMessage="1" showErrorMessage="1" xr:uid="{AB998F6C-ADE9-4C46-84B7-23BA8D0EB939}">
          <x14:formula1>
            <xm:f>項目!C1:$VSI$17</xm:f>
          </x14:formula1>
          <xm:sqref>VSQ5:VSQ23</xm:sqref>
        </x14:dataValidation>
        <x14:dataValidation type="list" allowBlank="1" showInputMessage="1" showErrorMessage="1" xr:uid="{9485136F-E518-4402-96DF-43A98A606544}">
          <x14:formula1>
            <xm:f>項目!C$17:$VSI19</xm:f>
          </x14:formula1>
          <xm:sqref>VSQ24</xm:sqref>
        </x14:dataValidation>
        <x14:dataValidation type="list" allowBlank="1" showInputMessage="1" showErrorMessage="1" xr:uid="{8F5B2BCD-B807-452D-8546-562A3F25931C}">
          <x14:formula1>
            <xm:f>項目!C1:$WCE$17</xm:f>
          </x14:formula1>
          <xm:sqref>WCM5:WCM23</xm:sqref>
        </x14:dataValidation>
        <x14:dataValidation type="list" allowBlank="1" showInputMessage="1" showErrorMessage="1" xr:uid="{75F6FAA6-61C7-41E9-A1AE-8126F426389A}">
          <x14:formula1>
            <xm:f>項目!C$17:$WCE19</xm:f>
          </x14:formula1>
          <xm:sqref>WCM24</xm:sqref>
        </x14:dataValidation>
        <x14:dataValidation type="list" allowBlank="1" showInputMessage="1" showErrorMessage="1" xr:uid="{78427C76-6603-4E13-8D99-36603D3E882D}">
          <x14:formula1>
            <xm:f>項目!C1:$WMA$17</xm:f>
          </x14:formula1>
          <xm:sqref>WMI5:WMI23</xm:sqref>
        </x14:dataValidation>
        <x14:dataValidation type="list" allowBlank="1" showInputMessage="1" showErrorMessage="1" xr:uid="{578F5141-C436-400A-B98D-626FD4234EAA}">
          <x14:formula1>
            <xm:f>項目!C$17:$WMA19</xm:f>
          </x14:formula1>
          <xm:sqref>WMI24</xm:sqref>
        </x14:dataValidation>
        <x14:dataValidation type="list" allowBlank="1" showInputMessage="1" showErrorMessage="1" xr:uid="{5536A811-8796-4AFF-AC12-E0F53DF00E0D}">
          <x14:formula1>
            <xm:f>項目!C1:$WVW$17</xm:f>
          </x14:formula1>
          <xm:sqref>WWE5:WWE23</xm:sqref>
        </x14:dataValidation>
        <x14:dataValidation type="list" allowBlank="1" showInputMessage="1" showErrorMessage="1" xr:uid="{06DB4F4D-398B-4E12-BB7F-3D1BECE6841C}">
          <x14:formula1>
            <xm:f>項目!C$17:$WVW19</xm:f>
          </x14:formula1>
          <xm:sqref>WWE24</xm:sqref>
        </x14:dataValidation>
        <x14:dataValidation type="list" allowBlank="1" showInputMessage="1" showErrorMessage="1" xr:uid="{1EDBA7A9-47B0-469D-A100-D4BED41C2A2A}">
          <x14:formula1>
            <xm:f>項目!A2:$AMG$4</xm:f>
          </x14:formula1>
          <xm:sqref>AMP5:AMP23</xm:sqref>
        </x14:dataValidation>
        <x14:dataValidation type="list" allowBlank="1" showInputMessage="1" showErrorMessage="1" xr:uid="{48926E19-8718-403D-9B1E-B940CB47B561}">
          <x14:formula1>
            <xm:f>項目!A$4:$AMG20</xm:f>
          </x14:formula1>
          <xm:sqref>AMP24</xm:sqref>
        </x14:dataValidation>
        <x14:dataValidation type="list" allowBlank="1" showInputMessage="1" showErrorMessage="1" xr:uid="{CB5FA9D7-6AA8-4191-94D0-0D562FB25E4E}">
          <x14:formula1>
            <xm:f>項目!A2:$AWC$4</xm:f>
          </x14:formula1>
          <xm:sqref>AWL5:AWL23</xm:sqref>
        </x14:dataValidation>
        <x14:dataValidation type="list" allowBlank="1" showInputMessage="1" showErrorMessage="1" xr:uid="{BF257474-81EC-4AC5-9029-516673862E3C}">
          <x14:formula1>
            <xm:f>項目!A$4:$AWC20</xm:f>
          </x14:formula1>
          <xm:sqref>AWL24</xm:sqref>
        </x14:dataValidation>
        <x14:dataValidation type="list" allowBlank="1" showInputMessage="1" showErrorMessage="1" xr:uid="{D92800C7-5FF3-4407-966A-A8A922EA9E92}">
          <x14:formula1>
            <xm:f>項目!A2:$BFY$4</xm:f>
          </x14:formula1>
          <xm:sqref>BGH5:BGH23</xm:sqref>
        </x14:dataValidation>
        <x14:dataValidation type="list" allowBlank="1" showInputMessage="1" showErrorMessage="1" xr:uid="{93C98F23-E6EC-4D49-961A-D6A84FD0ABFB}">
          <x14:formula1>
            <xm:f>項目!A$4:$BFY20</xm:f>
          </x14:formula1>
          <xm:sqref>BGH24</xm:sqref>
        </x14:dataValidation>
        <x14:dataValidation type="list" allowBlank="1" showInputMessage="1" showErrorMessage="1" xr:uid="{B8D7F4C2-9E0E-445C-A032-0A9E9F296B30}">
          <x14:formula1>
            <xm:f>項目!A2:$BPU$4</xm:f>
          </x14:formula1>
          <xm:sqref>BQD5:BQD23</xm:sqref>
        </x14:dataValidation>
        <x14:dataValidation type="list" allowBlank="1" showInputMessage="1" showErrorMessage="1" xr:uid="{713E9598-0C0A-4963-BF84-92B8E20D8E2A}">
          <x14:formula1>
            <xm:f>項目!A$4:$BPU20</xm:f>
          </x14:formula1>
          <xm:sqref>BQD24</xm:sqref>
        </x14:dataValidation>
        <x14:dataValidation type="list" allowBlank="1" showInputMessage="1" showErrorMessage="1" xr:uid="{942194D0-7180-4F6D-85EC-D9EF1F42128C}">
          <x14:formula1>
            <xm:f>項目!A2:$BZQ$4</xm:f>
          </x14:formula1>
          <xm:sqref>BZZ5:BZZ23</xm:sqref>
        </x14:dataValidation>
        <x14:dataValidation type="list" allowBlank="1" showInputMessage="1" showErrorMessage="1" xr:uid="{61E06B88-EE88-420C-92C1-7A58BC748710}">
          <x14:formula1>
            <xm:f>項目!A$4:$BZQ20</xm:f>
          </x14:formula1>
          <xm:sqref>BZZ24</xm:sqref>
        </x14:dataValidation>
        <x14:dataValidation type="list" allowBlank="1" showInputMessage="1" showErrorMessage="1" xr:uid="{4616A287-C685-43E7-B8C0-A1666E05F0CA}">
          <x14:formula1>
            <xm:f>項目!A2:$CJM$4</xm:f>
          </x14:formula1>
          <xm:sqref>CJV5:CJV23</xm:sqref>
        </x14:dataValidation>
        <x14:dataValidation type="list" allowBlank="1" showInputMessage="1" showErrorMessage="1" xr:uid="{17D4CA09-AE60-4F6E-A187-57F96FA9AE06}">
          <x14:formula1>
            <xm:f>項目!A$4:$CJM20</xm:f>
          </x14:formula1>
          <xm:sqref>CJV24</xm:sqref>
        </x14:dataValidation>
        <x14:dataValidation type="list" allowBlank="1" showInputMessage="1" showErrorMessage="1" xr:uid="{FFFE70DB-9E93-4C41-809F-88BCD73B617A}">
          <x14:formula1>
            <xm:f>項目!A2:$CTI$4</xm:f>
          </x14:formula1>
          <xm:sqref>CTR5:CTR23</xm:sqref>
        </x14:dataValidation>
        <x14:dataValidation type="list" allowBlank="1" showInputMessage="1" showErrorMessage="1" xr:uid="{A8879B13-57F5-4583-9ADD-F2D4E91FE0C3}">
          <x14:formula1>
            <xm:f>項目!A$4:$CTI20</xm:f>
          </x14:formula1>
          <xm:sqref>CTR24</xm:sqref>
        </x14:dataValidation>
        <x14:dataValidation type="list" allowBlank="1" showInputMessage="1" showErrorMessage="1" xr:uid="{A7A61197-F50E-452C-8B0E-FE68BFD164E5}">
          <x14:formula1>
            <xm:f>項目!A2:$DDE$4</xm:f>
          </x14:formula1>
          <xm:sqref>DDN5:DDN23</xm:sqref>
        </x14:dataValidation>
        <x14:dataValidation type="list" allowBlank="1" showInputMessage="1" showErrorMessage="1" xr:uid="{ABB839A6-DD5A-4008-B5E8-9DE069248566}">
          <x14:formula1>
            <xm:f>項目!A$4:$DDE20</xm:f>
          </x14:formula1>
          <xm:sqref>DDN24</xm:sqref>
        </x14:dataValidation>
        <x14:dataValidation type="list" allowBlank="1" showInputMessage="1" showErrorMessage="1" xr:uid="{50627410-35DA-4EA1-B212-DA14B571E3AE}">
          <x14:formula1>
            <xm:f>項目!A2:$DNA$4</xm:f>
          </x14:formula1>
          <xm:sqref>DNJ5:DNJ23</xm:sqref>
        </x14:dataValidation>
        <x14:dataValidation type="list" allowBlank="1" showInputMessage="1" showErrorMessage="1" xr:uid="{3F0F847D-721F-4F9F-8FA2-FC8E544C0286}">
          <x14:formula1>
            <xm:f>項目!A$4:$DNA20</xm:f>
          </x14:formula1>
          <xm:sqref>DNJ24</xm:sqref>
        </x14:dataValidation>
        <x14:dataValidation type="list" allowBlank="1" showInputMessage="1" showErrorMessage="1" xr:uid="{CCF9051C-97D5-4C94-947E-EFCC70FC8DAF}">
          <x14:formula1>
            <xm:f>項目!A2:$DWW$4</xm:f>
          </x14:formula1>
          <xm:sqref>DXF5:DXF23</xm:sqref>
        </x14:dataValidation>
        <x14:dataValidation type="list" allowBlank="1" showInputMessage="1" showErrorMessage="1" xr:uid="{92C34EC6-8501-4CD9-8CEF-E22CEDB9A79A}">
          <x14:formula1>
            <xm:f>項目!A$4:$DWW20</xm:f>
          </x14:formula1>
          <xm:sqref>DXF24</xm:sqref>
        </x14:dataValidation>
        <x14:dataValidation type="list" allowBlank="1" showInputMessage="1" showErrorMessage="1" xr:uid="{DE30516F-5750-4CE5-A2FB-978334B94004}">
          <x14:formula1>
            <xm:f>項目!A2:$EGS$4</xm:f>
          </x14:formula1>
          <xm:sqref>EHB5:EHB23</xm:sqref>
        </x14:dataValidation>
        <x14:dataValidation type="list" allowBlank="1" showInputMessage="1" showErrorMessage="1" xr:uid="{3E54C711-1431-4F6A-ACBF-A413F704BC05}">
          <x14:formula1>
            <xm:f>項目!A$4:$EGS20</xm:f>
          </x14:formula1>
          <xm:sqref>EHB24</xm:sqref>
        </x14:dataValidation>
        <x14:dataValidation type="list" allowBlank="1" showInputMessage="1" showErrorMessage="1" xr:uid="{7BD556AC-7BE1-4ED7-B1A3-9D5582AEA246}">
          <x14:formula1>
            <xm:f>項目!A2:$EQO$4</xm:f>
          </x14:formula1>
          <xm:sqref>EQX5:EQX23</xm:sqref>
        </x14:dataValidation>
        <x14:dataValidation type="list" allowBlank="1" showInputMessage="1" showErrorMessage="1" xr:uid="{072E6BB8-AFCA-4459-B9B8-39CFD097F692}">
          <x14:formula1>
            <xm:f>項目!A$4:$EQO20</xm:f>
          </x14:formula1>
          <xm:sqref>EQX24</xm:sqref>
        </x14:dataValidation>
        <x14:dataValidation type="list" allowBlank="1" showInputMessage="1" showErrorMessage="1" xr:uid="{F4A59A66-D6BC-431B-8215-32DC71A71890}">
          <x14:formula1>
            <xm:f>項目!A2:$FAK$4</xm:f>
          </x14:formula1>
          <xm:sqref>FAT5:FAT23</xm:sqref>
        </x14:dataValidation>
        <x14:dataValidation type="list" allowBlank="1" showInputMessage="1" showErrorMessage="1" xr:uid="{67EF69C7-2D68-445C-A0AA-43231DBA8F10}">
          <x14:formula1>
            <xm:f>項目!A$4:$FAK20</xm:f>
          </x14:formula1>
          <xm:sqref>FAT24</xm:sqref>
        </x14:dataValidation>
        <x14:dataValidation type="list" allowBlank="1" showInputMessage="1" showErrorMessage="1" xr:uid="{7DA533F1-3322-4E81-800C-E4FB43642B2D}">
          <x14:formula1>
            <xm:f>項目!A2:$FKG$4</xm:f>
          </x14:formula1>
          <xm:sqref>FKP5:FKP23</xm:sqref>
        </x14:dataValidation>
        <x14:dataValidation type="list" allowBlank="1" showInputMessage="1" showErrorMessage="1" xr:uid="{85F2197F-768C-4E9C-A7D3-0EC5D024965B}">
          <x14:formula1>
            <xm:f>項目!A$4:$FKG20</xm:f>
          </x14:formula1>
          <xm:sqref>FKP24</xm:sqref>
        </x14:dataValidation>
        <x14:dataValidation type="list" allowBlank="1" showInputMessage="1" showErrorMessage="1" xr:uid="{86529526-47AF-4A3A-A289-7219D76106B4}">
          <x14:formula1>
            <xm:f>項目!A2:$FUC$4</xm:f>
          </x14:formula1>
          <xm:sqref>FUL5:FUL23</xm:sqref>
        </x14:dataValidation>
        <x14:dataValidation type="list" allowBlank="1" showInputMessage="1" showErrorMessage="1" xr:uid="{E2D88EB2-BB35-4DD8-8621-1685CFC90EB6}">
          <x14:formula1>
            <xm:f>項目!A$4:$FUC20</xm:f>
          </x14:formula1>
          <xm:sqref>FUL24</xm:sqref>
        </x14:dataValidation>
        <x14:dataValidation type="list" allowBlank="1" showInputMessage="1" showErrorMessage="1" xr:uid="{E5AE48BE-C1FF-46F2-8964-9EA8E4AD9CA6}">
          <x14:formula1>
            <xm:f>項目!A2:$GDY$4</xm:f>
          </x14:formula1>
          <xm:sqref>GEH5:GEH23</xm:sqref>
        </x14:dataValidation>
        <x14:dataValidation type="list" allowBlank="1" showInputMessage="1" showErrorMessage="1" xr:uid="{FC779C07-AA3A-4E93-AE2B-C277035BBE7A}">
          <x14:formula1>
            <xm:f>項目!A$4:$GDY20</xm:f>
          </x14:formula1>
          <xm:sqref>GEH24</xm:sqref>
        </x14:dataValidation>
        <x14:dataValidation type="list" allowBlank="1" showInputMessage="1" showErrorMessage="1" xr:uid="{E34217BF-1184-4E44-AE17-443F26985B6A}">
          <x14:formula1>
            <xm:f>項目!A2:$GNU$4</xm:f>
          </x14:formula1>
          <xm:sqref>GOD5:GOD23</xm:sqref>
        </x14:dataValidation>
        <x14:dataValidation type="list" allowBlank="1" showInputMessage="1" showErrorMessage="1" xr:uid="{1007E249-E00B-4C8C-8D14-80AE0D9A0799}">
          <x14:formula1>
            <xm:f>項目!A$4:$GNU20</xm:f>
          </x14:formula1>
          <xm:sqref>GOD24</xm:sqref>
        </x14:dataValidation>
        <x14:dataValidation type="list" allowBlank="1" showInputMessage="1" showErrorMessage="1" xr:uid="{47743B3B-C9B7-427F-968D-969996B279E8}">
          <x14:formula1>
            <xm:f>項目!A2:$GXQ$4</xm:f>
          </x14:formula1>
          <xm:sqref>GXZ5:GXZ23</xm:sqref>
        </x14:dataValidation>
        <x14:dataValidation type="list" allowBlank="1" showInputMessage="1" showErrorMessage="1" xr:uid="{22AFCB20-1C73-407C-9C39-31FB1F6E6EA7}">
          <x14:formula1>
            <xm:f>項目!A$4:$GXQ20</xm:f>
          </x14:formula1>
          <xm:sqref>GXZ24</xm:sqref>
        </x14:dataValidation>
        <x14:dataValidation type="list" allowBlank="1" showInputMessage="1" showErrorMessage="1" xr:uid="{B44FBA14-C55F-4192-8F82-735F1CF6E5D8}">
          <x14:formula1>
            <xm:f>項目!A2:$HHM$4</xm:f>
          </x14:formula1>
          <xm:sqref>HHV5:HHV23</xm:sqref>
        </x14:dataValidation>
        <x14:dataValidation type="list" allowBlank="1" showInputMessage="1" showErrorMessage="1" xr:uid="{165BCEB4-653B-4A74-87CB-C1BD93D7E298}">
          <x14:formula1>
            <xm:f>項目!A$4:$HHM20</xm:f>
          </x14:formula1>
          <xm:sqref>HHV24</xm:sqref>
        </x14:dataValidation>
        <x14:dataValidation type="list" allowBlank="1" showInputMessage="1" showErrorMessage="1" xr:uid="{295C7A10-CF48-486F-90D3-EFDC55F43741}">
          <x14:formula1>
            <xm:f>項目!A2:$HRI$4</xm:f>
          </x14:formula1>
          <xm:sqref>HRR5:HRR23</xm:sqref>
        </x14:dataValidation>
        <x14:dataValidation type="list" allowBlank="1" showInputMessage="1" showErrorMessage="1" xr:uid="{64D38A57-7B42-48D0-9A11-DE2A596E4D26}">
          <x14:formula1>
            <xm:f>項目!A$4:$HRI20</xm:f>
          </x14:formula1>
          <xm:sqref>HRR24</xm:sqref>
        </x14:dataValidation>
        <x14:dataValidation type="list" allowBlank="1" showInputMessage="1" showErrorMessage="1" xr:uid="{9EB6B4E7-87B7-479E-829E-A506AD97E8F3}">
          <x14:formula1>
            <xm:f>項目!A2:$IBE$4</xm:f>
          </x14:formula1>
          <xm:sqref>IBN5:IBN23</xm:sqref>
        </x14:dataValidation>
        <x14:dataValidation type="list" allowBlank="1" showInputMessage="1" showErrorMessage="1" xr:uid="{EDA7E0FB-4E9B-47E9-8D4D-E329C992BDD7}">
          <x14:formula1>
            <xm:f>項目!A$4:$IBE20</xm:f>
          </x14:formula1>
          <xm:sqref>IBN24</xm:sqref>
        </x14:dataValidation>
        <x14:dataValidation type="list" allowBlank="1" showInputMessage="1" showErrorMessage="1" xr:uid="{1431D664-8605-41CF-BD6B-615E6AE3D3C3}">
          <x14:formula1>
            <xm:f>項目!A2:$ILA$4</xm:f>
          </x14:formula1>
          <xm:sqref>ILJ5:ILJ23</xm:sqref>
        </x14:dataValidation>
        <x14:dataValidation type="list" allowBlank="1" showInputMessage="1" showErrorMessage="1" xr:uid="{13F73FF7-1F98-4297-AED1-3889082A43FB}">
          <x14:formula1>
            <xm:f>項目!A$4:$ILA20</xm:f>
          </x14:formula1>
          <xm:sqref>ILJ24</xm:sqref>
        </x14:dataValidation>
        <x14:dataValidation type="list" allowBlank="1" showInputMessage="1" showErrorMessage="1" xr:uid="{B59808CC-25F5-4B1D-900C-6DFE96878847}">
          <x14:formula1>
            <xm:f>項目!A2:$IUW$4</xm:f>
          </x14:formula1>
          <xm:sqref>IVF5:IVF23</xm:sqref>
        </x14:dataValidation>
        <x14:dataValidation type="list" allowBlank="1" showInputMessage="1" showErrorMessage="1" xr:uid="{EB92DC47-DF2A-4365-9EFA-3F0C906A8DB1}">
          <x14:formula1>
            <xm:f>項目!A$4:$IUW20</xm:f>
          </x14:formula1>
          <xm:sqref>IVF24</xm:sqref>
        </x14:dataValidation>
        <x14:dataValidation type="list" allowBlank="1" showInputMessage="1" showErrorMessage="1" xr:uid="{6025F178-AFE7-4853-A577-E028CCD2C141}">
          <x14:formula1>
            <xm:f>項目!A2:$JES$4</xm:f>
          </x14:formula1>
          <xm:sqref>JFB5:JFB23</xm:sqref>
        </x14:dataValidation>
        <x14:dataValidation type="list" allowBlank="1" showInputMessage="1" showErrorMessage="1" xr:uid="{7578D00B-5583-4555-9032-1D8983F4DEEF}">
          <x14:formula1>
            <xm:f>項目!A$4:$JES20</xm:f>
          </x14:formula1>
          <xm:sqref>JFB24</xm:sqref>
        </x14:dataValidation>
        <x14:dataValidation type="list" allowBlank="1" showInputMessage="1" showErrorMessage="1" xr:uid="{EDA881F7-2BE7-4FA7-AA79-276090C7A951}">
          <x14:formula1>
            <xm:f>項目!A2:$JOO$4</xm:f>
          </x14:formula1>
          <xm:sqref>JOX5:JOX23</xm:sqref>
        </x14:dataValidation>
        <x14:dataValidation type="list" allowBlank="1" showInputMessage="1" showErrorMessage="1" xr:uid="{694916FD-2295-4E39-8752-7EC69B0541F5}">
          <x14:formula1>
            <xm:f>項目!A$4:$JOO20</xm:f>
          </x14:formula1>
          <xm:sqref>JOX24</xm:sqref>
        </x14:dataValidation>
        <x14:dataValidation type="list" allowBlank="1" showInputMessage="1" showErrorMessage="1" xr:uid="{173B9433-85F5-4C34-B04C-F5107B0AC02E}">
          <x14:formula1>
            <xm:f>項目!A2:$JYK$4</xm:f>
          </x14:formula1>
          <xm:sqref>JYT5:JYT23</xm:sqref>
        </x14:dataValidation>
        <x14:dataValidation type="list" allowBlank="1" showInputMessage="1" showErrorMessage="1" xr:uid="{5EBF9A7C-5F65-4A41-9194-3ABF671A2995}">
          <x14:formula1>
            <xm:f>項目!A$4:$JYK20</xm:f>
          </x14:formula1>
          <xm:sqref>JYT24</xm:sqref>
        </x14:dataValidation>
        <x14:dataValidation type="list" allowBlank="1" showInputMessage="1" showErrorMessage="1" xr:uid="{F47E9EEE-27CA-4691-872C-5851EEBEEBB3}">
          <x14:formula1>
            <xm:f>項目!A2:$KIG$4</xm:f>
          </x14:formula1>
          <xm:sqref>KIP5:KIP23</xm:sqref>
        </x14:dataValidation>
        <x14:dataValidation type="list" allowBlank="1" showInputMessage="1" showErrorMessage="1" xr:uid="{67A39731-8F44-4FDE-8A6F-5608F9257CEB}">
          <x14:formula1>
            <xm:f>項目!A$4:$KIG20</xm:f>
          </x14:formula1>
          <xm:sqref>KIP24</xm:sqref>
        </x14:dataValidation>
        <x14:dataValidation type="list" allowBlank="1" showInputMessage="1" showErrorMessage="1" xr:uid="{BD9F18FA-018F-4F94-A5A0-1B0FA0621B54}">
          <x14:formula1>
            <xm:f>項目!A2:$KSC$4</xm:f>
          </x14:formula1>
          <xm:sqref>KSL5:KSL23</xm:sqref>
        </x14:dataValidation>
        <x14:dataValidation type="list" allowBlank="1" showInputMessage="1" showErrorMessage="1" xr:uid="{D03206B6-516E-4C34-8270-E07150E55A4E}">
          <x14:formula1>
            <xm:f>項目!A$4:$KSC20</xm:f>
          </x14:formula1>
          <xm:sqref>KSL24</xm:sqref>
        </x14:dataValidation>
        <x14:dataValidation type="list" allowBlank="1" showInputMessage="1" showErrorMessage="1" xr:uid="{809907D4-121F-4965-8AB6-3D1DC12F2F2D}">
          <x14:formula1>
            <xm:f>項目!A2:$LBY$4</xm:f>
          </x14:formula1>
          <xm:sqref>LCH5:LCH23</xm:sqref>
        </x14:dataValidation>
        <x14:dataValidation type="list" allowBlank="1" showInputMessage="1" showErrorMessage="1" xr:uid="{F4379D71-0248-4A5D-835D-9F00FF7C3057}">
          <x14:formula1>
            <xm:f>項目!A$4:$LBY20</xm:f>
          </x14:formula1>
          <xm:sqref>LCH24</xm:sqref>
        </x14:dataValidation>
        <x14:dataValidation type="list" allowBlank="1" showInputMessage="1" showErrorMessage="1" xr:uid="{2F3FAAAE-22B5-4EAA-8CD3-B1754B82988E}">
          <x14:formula1>
            <xm:f>項目!A2:$LLU$4</xm:f>
          </x14:formula1>
          <xm:sqref>LMD5:LMD23</xm:sqref>
        </x14:dataValidation>
        <x14:dataValidation type="list" allowBlank="1" showInputMessage="1" showErrorMessage="1" xr:uid="{C870B95E-977F-446B-8147-1070229E221E}">
          <x14:formula1>
            <xm:f>項目!A$4:$LLU20</xm:f>
          </x14:formula1>
          <xm:sqref>LMD24</xm:sqref>
        </x14:dataValidation>
        <x14:dataValidation type="list" allowBlank="1" showInputMessage="1" showErrorMessage="1" xr:uid="{CB7C6BBE-966F-4B9A-B530-45BEFD911F93}">
          <x14:formula1>
            <xm:f>項目!A2:$LVQ$4</xm:f>
          </x14:formula1>
          <xm:sqref>LVZ5:LVZ23</xm:sqref>
        </x14:dataValidation>
        <x14:dataValidation type="list" allowBlank="1" showInputMessage="1" showErrorMessage="1" xr:uid="{7BB8160D-F7AB-4F8F-9EBE-B65BE0B5CF84}">
          <x14:formula1>
            <xm:f>項目!A$4:$LVQ20</xm:f>
          </x14:formula1>
          <xm:sqref>LVZ24</xm:sqref>
        </x14:dataValidation>
        <x14:dataValidation type="list" allowBlank="1" showInputMessage="1" showErrorMessage="1" xr:uid="{5AE702FF-077F-42F3-AB5A-B80286C33439}">
          <x14:formula1>
            <xm:f>項目!A2:$MFM$4</xm:f>
          </x14:formula1>
          <xm:sqref>MFV5:MFV23</xm:sqref>
        </x14:dataValidation>
        <x14:dataValidation type="list" allowBlank="1" showInputMessage="1" showErrorMessage="1" xr:uid="{84F61D3B-3B2B-4D0D-9E7D-96108E1A38E9}">
          <x14:formula1>
            <xm:f>項目!A$4:$MFM20</xm:f>
          </x14:formula1>
          <xm:sqref>MFV24</xm:sqref>
        </x14:dataValidation>
        <x14:dataValidation type="list" allowBlank="1" showInputMessage="1" showErrorMessage="1" xr:uid="{91EE4422-9104-4378-809B-210EC407EDF0}">
          <x14:formula1>
            <xm:f>項目!A2:$MPI$4</xm:f>
          </x14:formula1>
          <xm:sqref>MPR5:MPR23</xm:sqref>
        </x14:dataValidation>
        <x14:dataValidation type="list" allowBlank="1" showInputMessage="1" showErrorMessage="1" xr:uid="{DE47AF13-1338-4627-A162-BBA61BEF2ECC}">
          <x14:formula1>
            <xm:f>項目!A$4:$MPI20</xm:f>
          </x14:formula1>
          <xm:sqref>MPR24</xm:sqref>
        </x14:dataValidation>
        <x14:dataValidation type="list" allowBlank="1" showInputMessage="1" showErrorMessage="1" xr:uid="{8E3D74FF-D696-4CA5-A130-D5AEA00CF7F6}">
          <x14:formula1>
            <xm:f>項目!A2:$MZE$4</xm:f>
          </x14:formula1>
          <xm:sqref>MZN5:MZN23</xm:sqref>
        </x14:dataValidation>
        <x14:dataValidation type="list" allowBlank="1" showInputMessage="1" showErrorMessage="1" xr:uid="{DD8071DB-157B-4666-AC91-8A6D0C37259E}">
          <x14:formula1>
            <xm:f>項目!A$4:$MZE20</xm:f>
          </x14:formula1>
          <xm:sqref>MZN24</xm:sqref>
        </x14:dataValidation>
        <x14:dataValidation type="list" allowBlank="1" showInputMessage="1" showErrorMessage="1" xr:uid="{F298698F-F8C5-4BFD-9592-CDA51912720D}">
          <x14:formula1>
            <xm:f>項目!A2:$NJA$4</xm:f>
          </x14:formula1>
          <xm:sqref>NJJ5:NJJ23</xm:sqref>
        </x14:dataValidation>
        <x14:dataValidation type="list" allowBlank="1" showInputMessage="1" showErrorMessage="1" xr:uid="{566DC780-2988-41F0-B8EC-57DBA33D4FC6}">
          <x14:formula1>
            <xm:f>項目!A$4:$NJA20</xm:f>
          </x14:formula1>
          <xm:sqref>NJJ24</xm:sqref>
        </x14:dataValidation>
        <x14:dataValidation type="list" allowBlank="1" showInputMessage="1" showErrorMessage="1" xr:uid="{592D10A4-E045-4210-80AC-C3BE1CCBD958}">
          <x14:formula1>
            <xm:f>項目!A2:$NSW$4</xm:f>
          </x14:formula1>
          <xm:sqref>NTF5:NTF23</xm:sqref>
        </x14:dataValidation>
        <x14:dataValidation type="list" allowBlank="1" showInputMessage="1" showErrorMessage="1" xr:uid="{0A51CCD3-0727-491B-B617-AF7D89AEF739}">
          <x14:formula1>
            <xm:f>項目!A$4:$NSW20</xm:f>
          </x14:formula1>
          <xm:sqref>NTF24</xm:sqref>
        </x14:dataValidation>
        <x14:dataValidation type="list" allowBlank="1" showInputMessage="1" showErrorMessage="1" xr:uid="{3AAA838D-EAA3-4BC7-8A89-C07998E9AD5E}">
          <x14:formula1>
            <xm:f>項目!A2:$OCS$4</xm:f>
          </x14:formula1>
          <xm:sqref>ODB5:ODB23</xm:sqref>
        </x14:dataValidation>
        <x14:dataValidation type="list" allowBlank="1" showInputMessage="1" showErrorMessage="1" xr:uid="{76C119B2-365B-4EDC-864E-5433B2A1FA80}">
          <x14:formula1>
            <xm:f>項目!A$4:$OCS20</xm:f>
          </x14:formula1>
          <xm:sqref>ODB24</xm:sqref>
        </x14:dataValidation>
        <x14:dataValidation type="list" allowBlank="1" showInputMessage="1" showErrorMessage="1" xr:uid="{DA233218-6C8F-49F1-B600-E07BEDF46D42}">
          <x14:formula1>
            <xm:f>項目!A2:$OMO$4</xm:f>
          </x14:formula1>
          <xm:sqref>OMX5:OMX23</xm:sqref>
        </x14:dataValidation>
        <x14:dataValidation type="list" allowBlank="1" showInputMessage="1" showErrorMessage="1" xr:uid="{360F382C-3011-40C1-B93C-4FB824E3A038}">
          <x14:formula1>
            <xm:f>項目!A$4:$OMO20</xm:f>
          </x14:formula1>
          <xm:sqref>OMX24</xm:sqref>
        </x14:dataValidation>
        <x14:dataValidation type="list" allowBlank="1" showInputMessage="1" showErrorMessage="1" xr:uid="{E1160A97-D839-4E35-BDB8-F03F6841D7C5}">
          <x14:formula1>
            <xm:f>項目!A2:$OWK$4</xm:f>
          </x14:formula1>
          <xm:sqref>OWT5:OWT23</xm:sqref>
        </x14:dataValidation>
        <x14:dataValidation type="list" allowBlank="1" showInputMessage="1" showErrorMessage="1" xr:uid="{E02EEA6B-9EB2-485D-B11B-3EFC4D487D62}">
          <x14:formula1>
            <xm:f>項目!A$4:$OWK20</xm:f>
          </x14:formula1>
          <xm:sqref>OWT24</xm:sqref>
        </x14:dataValidation>
        <x14:dataValidation type="list" allowBlank="1" showInputMessage="1" showErrorMessage="1" xr:uid="{7B31C7FB-6F50-44D0-AC84-70D6C2A7A9D9}">
          <x14:formula1>
            <xm:f>項目!A2:$PGG$4</xm:f>
          </x14:formula1>
          <xm:sqref>PGP5:PGP23</xm:sqref>
        </x14:dataValidation>
        <x14:dataValidation type="list" allowBlank="1" showInputMessage="1" showErrorMessage="1" xr:uid="{AB4A30EE-D14E-49A2-8243-409D6B6664CB}">
          <x14:formula1>
            <xm:f>項目!A$4:$PGG20</xm:f>
          </x14:formula1>
          <xm:sqref>PGP24</xm:sqref>
        </x14:dataValidation>
        <x14:dataValidation type="list" allowBlank="1" showInputMessage="1" showErrorMessage="1" xr:uid="{231AFCD2-42E5-45FC-90BD-D08C548529C8}">
          <x14:formula1>
            <xm:f>項目!A2:$PQC$4</xm:f>
          </x14:formula1>
          <xm:sqref>PQL5:PQL23</xm:sqref>
        </x14:dataValidation>
        <x14:dataValidation type="list" allowBlank="1" showInputMessage="1" showErrorMessage="1" xr:uid="{6307F53F-07F3-4549-A0CA-20F117C93B78}">
          <x14:formula1>
            <xm:f>項目!A$4:$PQC20</xm:f>
          </x14:formula1>
          <xm:sqref>PQL24</xm:sqref>
        </x14:dataValidation>
        <x14:dataValidation type="list" allowBlank="1" showInputMessage="1" showErrorMessage="1" xr:uid="{3C496155-269D-43E6-BC7C-4AC30C3E8C71}">
          <x14:formula1>
            <xm:f>項目!A2:$PZY$4</xm:f>
          </x14:formula1>
          <xm:sqref>QAH5:QAH23</xm:sqref>
        </x14:dataValidation>
        <x14:dataValidation type="list" allowBlank="1" showInputMessage="1" showErrorMessage="1" xr:uid="{0C2E8B9A-DA90-4373-B2DE-BD561EBA45A5}">
          <x14:formula1>
            <xm:f>項目!A$4:$PZY20</xm:f>
          </x14:formula1>
          <xm:sqref>QAH24</xm:sqref>
        </x14:dataValidation>
        <x14:dataValidation type="list" allowBlank="1" showInputMessage="1" showErrorMessage="1" xr:uid="{555D76AB-6560-4E85-8AA5-315C01155F60}">
          <x14:formula1>
            <xm:f>項目!A2:$QJU$4</xm:f>
          </x14:formula1>
          <xm:sqref>QKD5:QKD23</xm:sqref>
        </x14:dataValidation>
        <x14:dataValidation type="list" allowBlank="1" showInputMessage="1" showErrorMessage="1" xr:uid="{BB48FF4A-089D-4155-BDBB-A0984D2CFEFC}">
          <x14:formula1>
            <xm:f>項目!A$4:$QJU20</xm:f>
          </x14:formula1>
          <xm:sqref>QKD24</xm:sqref>
        </x14:dataValidation>
        <x14:dataValidation type="list" allowBlank="1" showInputMessage="1" showErrorMessage="1" xr:uid="{2C0190C3-2FB3-49A1-BCEF-510E8FE15DD8}">
          <x14:formula1>
            <xm:f>項目!A2:$QTQ$4</xm:f>
          </x14:formula1>
          <xm:sqref>QTZ5:QTZ23</xm:sqref>
        </x14:dataValidation>
        <x14:dataValidation type="list" allowBlank="1" showInputMessage="1" showErrorMessage="1" xr:uid="{FE310E5B-D77E-4D4B-A7DA-056637C8E105}">
          <x14:formula1>
            <xm:f>項目!A$4:$QTQ20</xm:f>
          </x14:formula1>
          <xm:sqref>QTZ24</xm:sqref>
        </x14:dataValidation>
        <x14:dataValidation type="list" allowBlank="1" showInputMessage="1" showErrorMessage="1" xr:uid="{E07E98C0-AA94-4656-B75B-313EDFC8E468}">
          <x14:formula1>
            <xm:f>項目!A2:$RDM$4</xm:f>
          </x14:formula1>
          <xm:sqref>RDV5:RDV23</xm:sqref>
        </x14:dataValidation>
        <x14:dataValidation type="list" allowBlank="1" showInputMessage="1" showErrorMessage="1" xr:uid="{12FE43EB-7D68-4076-A110-A724A8D4A7BC}">
          <x14:formula1>
            <xm:f>項目!A$4:$RDM20</xm:f>
          </x14:formula1>
          <xm:sqref>RDV24</xm:sqref>
        </x14:dataValidation>
        <x14:dataValidation type="list" allowBlank="1" showInputMessage="1" showErrorMessage="1" xr:uid="{97A75884-4F27-42D2-AA11-866B4AF1D62B}">
          <x14:formula1>
            <xm:f>項目!A2:$RNI$4</xm:f>
          </x14:formula1>
          <xm:sqref>RNR5:RNR23</xm:sqref>
        </x14:dataValidation>
        <x14:dataValidation type="list" allowBlank="1" showInputMessage="1" showErrorMessage="1" xr:uid="{97F73AAE-4D84-455A-97CE-C1E5E5692477}">
          <x14:formula1>
            <xm:f>項目!A$4:$RNI20</xm:f>
          </x14:formula1>
          <xm:sqref>RNR24</xm:sqref>
        </x14:dataValidation>
        <x14:dataValidation type="list" allowBlank="1" showInputMessage="1" showErrorMessage="1" xr:uid="{3CBCBB18-4C99-44EA-B14D-98E06793DC1E}">
          <x14:formula1>
            <xm:f>項目!A2:$RXE$4</xm:f>
          </x14:formula1>
          <xm:sqref>RXN5:RXN23</xm:sqref>
        </x14:dataValidation>
        <x14:dataValidation type="list" allowBlank="1" showInputMessage="1" showErrorMessage="1" xr:uid="{4F3116EF-4FB3-47FB-8A7C-508DCB64F2BF}">
          <x14:formula1>
            <xm:f>項目!A$4:$RXE20</xm:f>
          </x14:formula1>
          <xm:sqref>RXN24</xm:sqref>
        </x14:dataValidation>
        <x14:dataValidation type="list" allowBlank="1" showInputMessage="1" showErrorMessage="1" xr:uid="{F2247A93-B14A-4707-B3F5-05D6D336720F}">
          <x14:formula1>
            <xm:f>項目!A2:$SHA$4</xm:f>
          </x14:formula1>
          <xm:sqref>SHJ5:SHJ23</xm:sqref>
        </x14:dataValidation>
        <x14:dataValidation type="list" allowBlank="1" showInputMessage="1" showErrorMessage="1" xr:uid="{67782469-5E71-412C-882F-B4BF6ABA8606}">
          <x14:formula1>
            <xm:f>項目!A$4:$SHA20</xm:f>
          </x14:formula1>
          <xm:sqref>SHJ24</xm:sqref>
        </x14:dataValidation>
        <x14:dataValidation type="list" allowBlank="1" showInputMessage="1" showErrorMessage="1" xr:uid="{B0654328-E9F7-4C3F-956C-5214E37C4684}">
          <x14:formula1>
            <xm:f>項目!A2:$SQW$4</xm:f>
          </x14:formula1>
          <xm:sqref>SRF5:SRF23</xm:sqref>
        </x14:dataValidation>
        <x14:dataValidation type="list" allowBlank="1" showInputMessage="1" showErrorMessage="1" xr:uid="{6A3DE01D-F7FB-47F1-B1CE-AC846F5A71A6}">
          <x14:formula1>
            <xm:f>項目!A$4:$SQW20</xm:f>
          </x14:formula1>
          <xm:sqref>SRF24</xm:sqref>
        </x14:dataValidation>
        <x14:dataValidation type="list" allowBlank="1" showInputMessage="1" showErrorMessage="1" xr:uid="{7B49E163-9196-4468-91B9-55A5B1FCEE04}">
          <x14:formula1>
            <xm:f>項目!A2:$TAS$4</xm:f>
          </x14:formula1>
          <xm:sqref>TBB5:TBB23</xm:sqref>
        </x14:dataValidation>
        <x14:dataValidation type="list" allowBlank="1" showInputMessage="1" showErrorMessage="1" xr:uid="{F1081178-4CD5-43C0-93D2-79D08728C164}">
          <x14:formula1>
            <xm:f>項目!A$4:$TAS20</xm:f>
          </x14:formula1>
          <xm:sqref>TBB24</xm:sqref>
        </x14:dataValidation>
        <x14:dataValidation type="list" allowBlank="1" showInputMessage="1" showErrorMessage="1" xr:uid="{59A1DA6B-6DC8-4E1B-84E1-3F6E9CE23008}">
          <x14:formula1>
            <xm:f>項目!A2:$TKO$4</xm:f>
          </x14:formula1>
          <xm:sqref>TKX5:TKX23</xm:sqref>
        </x14:dataValidation>
        <x14:dataValidation type="list" allowBlank="1" showInputMessage="1" showErrorMessage="1" xr:uid="{F222AAD4-1653-4EA9-8312-4EA4929EE6DF}">
          <x14:formula1>
            <xm:f>項目!A$4:$TKO20</xm:f>
          </x14:formula1>
          <xm:sqref>TKX24</xm:sqref>
        </x14:dataValidation>
        <x14:dataValidation type="list" allowBlank="1" showInputMessage="1" showErrorMessage="1" xr:uid="{F86BA8BD-DEF6-4097-B6E2-3A8CA682EAA4}">
          <x14:formula1>
            <xm:f>項目!A2:$TUK$4</xm:f>
          </x14:formula1>
          <xm:sqref>TUT5:TUT23</xm:sqref>
        </x14:dataValidation>
        <x14:dataValidation type="list" allowBlank="1" showInputMessage="1" showErrorMessage="1" xr:uid="{0E9C19A9-B8A2-41AC-A736-658F2C2D0DBF}">
          <x14:formula1>
            <xm:f>項目!A$4:$TUK20</xm:f>
          </x14:formula1>
          <xm:sqref>TUT24</xm:sqref>
        </x14:dataValidation>
        <x14:dataValidation type="list" allowBlank="1" showInputMessage="1" showErrorMessage="1" xr:uid="{5549BB00-BAC4-469D-A3BC-D5920A5E6D86}">
          <x14:formula1>
            <xm:f>項目!A2:$UEG$4</xm:f>
          </x14:formula1>
          <xm:sqref>UEP5:UEP23</xm:sqref>
        </x14:dataValidation>
        <x14:dataValidation type="list" allowBlank="1" showInputMessage="1" showErrorMessage="1" xr:uid="{B8A45A5F-3AD5-427D-B289-B779F2285F3A}">
          <x14:formula1>
            <xm:f>項目!A$4:$UEG20</xm:f>
          </x14:formula1>
          <xm:sqref>UEP24</xm:sqref>
        </x14:dataValidation>
        <x14:dataValidation type="list" allowBlank="1" showInputMessage="1" showErrorMessage="1" xr:uid="{02FC0B1B-CE71-48B7-9379-5B04E7E94A53}">
          <x14:formula1>
            <xm:f>項目!A2:$UOC$4</xm:f>
          </x14:formula1>
          <xm:sqref>UOL5:UOL23</xm:sqref>
        </x14:dataValidation>
        <x14:dataValidation type="list" allowBlank="1" showInputMessage="1" showErrorMessage="1" xr:uid="{66C06E6E-DD10-460C-87D6-0BFC0D422D92}">
          <x14:formula1>
            <xm:f>項目!A$4:$UOC20</xm:f>
          </x14:formula1>
          <xm:sqref>UOL24</xm:sqref>
        </x14:dataValidation>
        <x14:dataValidation type="list" allowBlank="1" showInputMessage="1" showErrorMessage="1" xr:uid="{62461A7B-C266-44E1-A456-9FEDC2A595B2}">
          <x14:formula1>
            <xm:f>項目!A2:$UXY$4</xm:f>
          </x14:formula1>
          <xm:sqref>UYH5:UYH23</xm:sqref>
        </x14:dataValidation>
        <x14:dataValidation type="list" allowBlank="1" showInputMessage="1" showErrorMessage="1" xr:uid="{CAB4A7DF-1895-4ADE-8288-C4C0A2C951EB}">
          <x14:formula1>
            <xm:f>項目!A$4:$UXY20</xm:f>
          </x14:formula1>
          <xm:sqref>UYH24</xm:sqref>
        </x14:dataValidation>
        <x14:dataValidation type="list" allowBlank="1" showInputMessage="1" showErrorMessage="1" xr:uid="{1A7891C2-CE90-4FAE-A17A-1589BEDE3040}">
          <x14:formula1>
            <xm:f>項目!A2:$VHU$4</xm:f>
          </x14:formula1>
          <xm:sqref>VID5:VID23</xm:sqref>
        </x14:dataValidation>
        <x14:dataValidation type="list" allowBlank="1" showInputMessage="1" showErrorMessage="1" xr:uid="{F4A023A3-EAD6-49F8-82FC-D43F6E2CBC78}">
          <x14:formula1>
            <xm:f>項目!A$4:$VHU20</xm:f>
          </x14:formula1>
          <xm:sqref>VID24</xm:sqref>
        </x14:dataValidation>
        <x14:dataValidation type="list" allowBlank="1" showInputMessage="1" showErrorMessage="1" xr:uid="{BB0D0D22-CAE8-407F-9AD0-7A473241D69B}">
          <x14:formula1>
            <xm:f>項目!A2:$VRQ$4</xm:f>
          </x14:formula1>
          <xm:sqref>VRZ5:VRZ23</xm:sqref>
        </x14:dataValidation>
        <x14:dataValidation type="list" allowBlank="1" showInputMessage="1" showErrorMessage="1" xr:uid="{50FE5D22-CD78-43C8-B5FB-572E41BE72BD}">
          <x14:formula1>
            <xm:f>項目!A$4:$VRQ20</xm:f>
          </x14:formula1>
          <xm:sqref>VRZ24</xm:sqref>
        </x14:dataValidation>
        <x14:dataValidation type="list" allowBlank="1" showInputMessage="1" showErrorMessage="1" xr:uid="{43109918-D39A-4414-9BBB-7FE1520A799F}">
          <x14:formula1>
            <xm:f>項目!A2:$WBM$4</xm:f>
          </x14:formula1>
          <xm:sqref>WBV5:WBV23</xm:sqref>
        </x14:dataValidation>
        <x14:dataValidation type="list" allowBlank="1" showInputMessage="1" showErrorMessage="1" xr:uid="{52751824-451B-47B7-9760-90517F3F76D0}">
          <x14:formula1>
            <xm:f>項目!A$4:$WBM20</xm:f>
          </x14:formula1>
          <xm:sqref>WBV24</xm:sqref>
        </x14:dataValidation>
        <x14:dataValidation type="list" allowBlank="1" showInputMessage="1" showErrorMessage="1" xr:uid="{98004D98-D84D-45A8-88C0-08BA36D81424}">
          <x14:formula1>
            <xm:f>項目!A2:$WLI$4</xm:f>
          </x14:formula1>
          <xm:sqref>WLR5:WLR23</xm:sqref>
        </x14:dataValidation>
        <x14:dataValidation type="list" allowBlank="1" showInputMessage="1" showErrorMessage="1" xr:uid="{9A03AE18-C096-42EE-81B0-FE3271C187F2}">
          <x14:formula1>
            <xm:f>項目!A$4:$WLI20</xm:f>
          </x14:formula1>
          <xm:sqref>WLR24</xm:sqref>
        </x14:dataValidation>
        <x14:dataValidation type="list" allowBlank="1" showInputMessage="1" showErrorMessage="1" xr:uid="{9AA66BDB-459B-4FD2-B89F-489A4DCFED6B}">
          <x14:formula1>
            <xm:f>項目!A2:$WVE$4</xm:f>
          </x14:formula1>
          <xm:sqref>WVN5:WVN23</xm:sqref>
        </x14:dataValidation>
        <x14:dataValidation type="list" allowBlank="1" showInputMessage="1" showErrorMessage="1" xr:uid="{9265D8A5-A832-4B78-92F3-E25B2F55E977}">
          <x14:formula1>
            <xm:f>項目!A$4:$WVE20</xm:f>
          </x14:formula1>
          <xm:sqref>WVN24</xm:sqref>
        </x14:dataValidation>
        <x14:dataValidation type="list" allowBlank="1" showInputMessage="1" showErrorMessage="1" xr:uid="{E37024BF-F7D9-445C-AE7C-2CA917206720}">
          <x14:formula1>
            <xm:f>項目!A2:$IW$4</xm:f>
          </x14:formula1>
          <xm:sqref>JF5:JF23</xm:sqref>
        </x14:dataValidation>
        <x14:dataValidation type="list" allowBlank="1" showInputMessage="1" showErrorMessage="1" xr:uid="{56D2FE1D-9265-4BBD-8EA6-06D0B40E1746}">
          <x14:formula1>
            <xm:f>項目!A$4:$IW20</xm:f>
          </x14:formula1>
          <xm:sqref>JF24</xm:sqref>
        </x14:dataValidation>
        <x14:dataValidation type="list" allowBlank="1" showInputMessage="1" showErrorMessage="1" xr:uid="{82B4EFF9-66BE-4D8D-A483-E9FB7837A3B3}">
          <x14:formula1>
            <xm:f>項目!A2:$SS$4</xm:f>
          </x14:formula1>
          <xm:sqref>TB5:TB23</xm:sqref>
        </x14:dataValidation>
        <x14:dataValidation type="list" allowBlank="1" showInputMessage="1" showErrorMessage="1" xr:uid="{EE94B297-008A-4136-9215-EE7AE9660646}">
          <x14:formula1>
            <xm:f>項目!A$4:$SS20</xm:f>
          </x14:formula1>
          <xm:sqref>TB24</xm:sqref>
        </x14:dataValidation>
        <x14:dataValidation type="list" allowBlank="1" showInputMessage="1" showErrorMessage="1" xr:uid="{36FCFECA-019A-4D4E-8B9B-E068228441D1}">
          <x14:formula1>
            <xm:f>項目!A2:$ACO$4</xm:f>
          </x14:formula1>
          <xm:sqref>ACX5:ACX23</xm:sqref>
        </x14:dataValidation>
        <x14:dataValidation type="list" allowBlank="1" showInputMessage="1" showErrorMessage="1" xr:uid="{7711080D-8A7E-45AE-B44B-50C9F3A272BE}">
          <x14:formula1>
            <xm:f>項目!A$4:$ACO20</xm:f>
          </x14:formula1>
          <xm:sqref>ACX24</xm:sqref>
        </x14:dataValidation>
        <x14:dataValidation type="list" allowBlank="1" showInputMessage="1" showErrorMessage="1" xr:uid="{1B4346B4-A374-4BE6-ACF8-09BC9442A6CE}">
          <x14:formula1>
            <xm:f>項目!A2:$AMK$4</xm:f>
          </x14:formula1>
          <xm:sqref>AMT5:AMT23</xm:sqref>
        </x14:dataValidation>
        <x14:dataValidation type="list" allowBlank="1" showInputMessage="1" showErrorMessage="1" xr:uid="{13F62800-829D-4240-8688-88E2FF6A4B48}">
          <x14:formula1>
            <xm:f>項目!A$4:$AMK20</xm:f>
          </x14:formula1>
          <xm:sqref>AMT24</xm:sqref>
        </x14:dataValidation>
        <x14:dataValidation type="list" allowBlank="1" showInputMessage="1" showErrorMessage="1" xr:uid="{2FFF58EE-AF8B-43CE-BF52-B743A3ED0F9E}">
          <x14:formula1>
            <xm:f>項目!A2:$AWG$4</xm:f>
          </x14:formula1>
          <xm:sqref>AWP5:AWP23</xm:sqref>
        </x14:dataValidation>
        <x14:dataValidation type="list" allowBlank="1" showInputMessage="1" showErrorMessage="1" xr:uid="{C3ECE624-617C-4CC9-8539-3397D2E114FE}">
          <x14:formula1>
            <xm:f>項目!A$4:$AWG20</xm:f>
          </x14:formula1>
          <xm:sqref>AWP24</xm:sqref>
        </x14:dataValidation>
        <x14:dataValidation type="list" allowBlank="1" showInputMessage="1" showErrorMessage="1" xr:uid="{AD47979B-7545-4E87-A866-C2777815EF7F}">
          <x14:formula1>
            <xm:f>項目!A2:$BGC$4</xm:f>
          </x14:formula1>
          <xm:sqref>BGL5:BGL23</xm:sqref>
        </x14:dataValidation>
        <x14:dataValidation type="list" allowBlank="1" showInputMessage="1" showErrorMessage="1" xr:uid="{76F18D52-8916-4034-8E33-7334011F1163}">
          <x14:formula1>
            <xm:f>項目!A$4:$BGC20</xm:f>
          </x14:formula1>
          <xm:sqref>BGL24</xm:sqref>
        </x14:dataValidation>
        <x14:dataValidation type="list" allowBlank="1" showInputMessage="1" showErrorMessage="1" xr:uid="{B63595EF-33BC-4F92-98D2-49DEA0121435}">
          <x14:formula1>
            <xm:f>項目!A2:$BPY$4</xm:f>
          </x14:formula1>
          <xm:sqref>BQH5:BQH23</xm:sqref>
        </x14:dataValidation>
        <x14:dataValidation type="list" allowBlank="1" showInputMessage="1" showErrorMessage="1" xr:uid="{78CF5FA6-A6D9-407E-87A9-3F9A2ABE8A01}">
          <x14:formula1>
            <xm:f>項目!A$4:$BPY20</xm:f>
          </x14:formula1>
          <xm:sqref>BQH24</xm:sqref>
        </x14:dataValidation>
        <x14:dataValidation type="list" allowBlank="1" showInputMessage="1" showErrorMessage="1" xr:uid="{8AE54A3B-3A50-4BB5-85F3-1DCC4700D997}">
          <x14:formula1>
            <xm:f>項目!A2:$BZU$4</xm:f>
          </x14:formula1>
          <xm:sqref>CAD5:CAD23</xm:sqref>
        </x14:dataValidation>
        <x14:dataValidation type="list" allowBlank="1" showInputMessage="1" showErrorMessage="1" xr:uid="{5695372B-F361-4708-A903-BB179E80B39B}">
          <x14:formula1>
            <xm:f>項目!A$4:$BZU20</xm:f>
          </x14:formula1>
          <xm:sqref>CAD24</xm:sqref>
        </x14:dataValidation>
        <x14:dataValidation type="list" allowBlank="1" showInputMessage="1" showErrorMessage="1" xr:uid="{9376CD23-F390-4D8D-B8B6-9150B48D009C}">
          <x14:formula1>
            <xm:f>項目!A2:$CJQ$4</xm:f>
          </x14:formula1>
          <xm:sqref>CJZ5:CJZ23</xm:sqref>
        </x14:dataValidation>
        <x14:dataValidation type="list" allowBlank="1" showInputMessage="1" showErrorMessage="1" xr:uid="{D2F5A80D-27FD-4C3B-9B15-2AC23427D73E}">
          <x14:formula1>
            <xm:f>項目!A$4:$CJQ20</xm:f>
          </x14:formula1>
          <xm:sqref>CJZ24</xm:sqref>
        </x14:dataValidation>
        <x14:dataValidation type="list" allowBlank="1" showInputMessage="1" showErrorMessage="1" xr:uid="{84CF8517-4FE9-4086-B370-26BC1FBD9285}">
          <x14:formula1>
            <xm:f>項目!A2:$CTM$4</xm:f>
          </x14:formula1>
          <xm:sqref>CTV5:CTV23</xm:sqref>
        </x14:dataValidation>
        <x14:dataValidation type="list" allowBlank="1" showInputMessage="1" showErrorMessage="1" xr:uid="{0315078B-E4F7-484A-9AD0-BE8393E06ACC}">
          <x14:formula1>
            <xm:f>項目!A$4:$CTM20</xm:f>
          </x14:formula1>
          <xm:sqref>CTV24</xm:sqref>
        </x14:dataValidation>
        <x14:dataValidation type="list" allowBlank="1" showInputMessage="1" showErrorMessage="1" xr:uid="{0D87DC90-D69A-48F6-B352-BFD118EF7DB4}">
          <x14:formula1>
            <xm:f>項目!A2:$DDI$4</xm:f>
          </x14:formula1>
          <xm:sqref>DDR5:DDR23</xm:sqref>
        </x14:dataValidation>
        <x14:dataValidation type="list" allowBlank="1" showInputMessage="1" showErrorMessage="1" xr:uid="{878C5016-1DB5-4E49-B871-374027337647}">
          <x14:formula1>
            <xm:f>項目!A$4:$DDI20</xm:f>
          </x14:formula1>
          <xm:sqref>DDR24</xm:sqref>
        </x14:dataValidation>
        <x14:dataValidation type="list" allowBlank="1" showInputMessage="1" showErrorMessage="1" xr:uid="{B9178C87-C106-4397-81F7-2338E9730F7E}">
          <x14:formula1>
            <xm:f>項目!A2:$DNE$4</xm:f>
          </x14:formula1>
          <xm:sqref>DNN5:DNN23</xm:sqref>
        </x14:dataValidation>
        <x14:dataValidation type="list" allowBlank="1" showInputMessage="1" showErrorMessage="1" xr:uid="{057D0464-C007-45C3-ADB5-E4DC3C77B1E4}">
          <x14:formula1>
            <xm:f>項目!A$4:$DNE20</xm:f>
          </x14:formula1>
          <xm:sqref>DNN24</xm:sqref>
        </x14:dataValidation>
        <x14:dataValidation type="list" allowBlank="1" showInputMessage="1" showErrorMessage="1" xr:uid="{FFBE3959-9443-4F33-9BD9-1B792984031D}">
          <x14:formula1>
            <xm:f>項目!A2:$DXA$4</xm:f>
          </x14:formula1>
          <xm:sqref>DXJ5:DXJ23</xm:sqref>
        </x14:dataValidation>
        <x14:dataValidation type="list" allowBlank="1" showInputMessage="1" showErrorMessage="1" xr:uid="{EE68060E-B91D-43D2-81E3-317268DC56C2}">
          <x14:formula1>
            <xm:f>項目!A$4:$DXA20</xm:f>
          </x14:formula1>
          <xm:sqref>DXJ24</xm:sqref>
        </x14:dataValidation>
        <x14:dataValidation type="list" allowBlank="1" showInputMessage="1" showErrorMessage="1" xr:uid="{09757A2F-EA6D-4F83-9BB3-C2BA4A12DE6B}">
          <x14:formula1>
            <xm:f>項目!A2:$EGW$4</xm:f>
          </x14:formula1>
          <xm:sqref>EHF5:EHF23</xm:sqref>
        </x14:dataValidation>
        <x14:dataValidation type="list" allowBlank="1" showInputMessage="1" showErrorMessage="1" xr:uid="{9F7A8D61-EE79-49B9-B613-A5F3856B3D09}">
          <x14:formula1>
            <xm:f>項目!A$4:$EGW20</xm:f>
          </x14:formula1>
          <xm:sqref>EHF24</xm:sqref>
        </x14:dataValidation>
        <x14:dataValidation type="list" allowBlank="1" showInputMessage="1" showErrorMessage="1" xr:uid="{0AEB33A7-21E5-460B-AC3B-4E51A15AAE6F}">
          <x14:formula1>
            <xm:f>項目!A2:$EQS$4</xm:f>
          </x14:formula1>
          <xm:sqref>ERB5:ERB23</xm:sqref>
        </x14:dataValidation>
        <x14:dataValidation type="list" allowBlank="1" showInputMessage="1" showErrorMessage="1" xr:uid="{A46082FA-1FE0-43DD-A8F0-524EEEB32D89}">
          <x14:formula1>
            <xm:f>項目!A$4:$EQS20</xm:f>
          </x14:formula1>
          <xm:sqref>ERB24</xm:sqref>
        </x14:dataValidation>
        <x14:dataValidation type="list" allowBlank="1" showInputMessage="1" showErrorMessage="1" xr:uid="{BB718254-C14D-4C63-A5C2-07BE0422CD80}">
          <x14:formula1>
            <xm:f>項目!A2:$FAO$4</xm:f>
          </x14:formula1>
          <xm:sqref>FAX5:FAX23</xm:sqref>
        </x14:dataValidation>
        <x14:dataValidation type="list" allowBlank="1" showInputMessage="1" showErrorMessage="1" xr:uid="{6E33418D-86A5-4CA0-BECD-8AE703DE8225}">
          <x14:formula1>
            <xm:f>項目!A$4:$FAO20</xm:f>
          </x14:formula1>
          <xm:sqref>FAX24</xm:sqref>
        </x14:dataValidation>
        <x14:dataValidation type="list" allowBlank="1" showInputMessage="1" showErrorMessage="1" xr:uid="{1BFCF329-B910-4493-B35B-2FEB206D8C07}">
          <x14:formula1>
            <xm:f>項目!A2:$FKK$4</xm:f>
          </x14:formula1>
          <xm:sqref>FKT5:FKT23</xm:sqref>
        </x14:dataValidation>
        <x14:dataValidation type="list" allowBlank="1" showInputMessage="1" showErrorMessage="1" xr:uid="{2936076A-9516-4E46-A158-2AF33F76232B}">
          <x14:formula1>
            <xm:f>項目!A$4:$FKK20</xm:f>
          </x14:formula1>
          <xm:sqref>FKT24</xm:sqref>
        </x14:dataValidation>
        <x14:dataValidation type="list" allowBlank="1" showInputMessage="1" showErrorMessage="1" xr:uid="{4006142E-917B-4944-9289-D705967149C0}">
          <x14:formula1>
            <xm:f>項目!A2:$FUG$4</xm:f>
          </x14:formula1>
          <xm:sqref>FUP5:FUP23</xm:sqref>
        </x14:dataValidation>
        <x14:dataValidation type="list" allowBlank="1" showInputMessage="1" showErrorMessage="1" xr:uid="{1ECA878F-88FC-4D08-9D10-645703853EFB}">
          <x14:formula1>
            <xm:f>項目!A$4:$FUG20</xm:f>
          </x14:formula1>
          <xm:sqref>FUP24</xm:sqref>
        </x14:dataValidation>
        <x14:dataValidation type="list" allowBlank="1" showInputMessage="1" showErrorMessage="1" xr:uid="{C095A2DC-A8CF-4C10-BFE8-ADB4D5059C88}">
          <x14:formula1>
            <xm:f>項目!A2:$GEC$4</xm:f>
          </x14:formula1>
          <xm:sqref>GEL5:GEL23</xm:sqref>
        </x14:dataValidation>
        <x14:dataValidation type="list" allowBlank="1" showInputMessage="1" showErrorMessage="1" xr:uid="{FD9EE0CC-CEF6-41F1-857A-13D87F56CB9A}">
          <x14:formula1>
            <xm:f>項目!A$4:$GEC20</xm:f>
          </x14:formula1>
          <xm:sqref>GEL24</xm:sqref>
        </x14:dataValidation>
        <x14:dataValidation type="list" allowBlank="1" showInputMessage="1" showErrorMessage="1" xr:uid="{BA925BD2-499A-400D-9CBC-3B903C50B835}">
          <x14:formula1>
            <xm:f>項目!A2:$GNY$4</xm:f>
          </x14:formula1>
          <xm:sqref>GOH5:GOH23</xm:sqref>
        </x14:dataValidation>
        <x14:dataValidation type="list" allowBlank="1" showInputMessage="1" showErrorMessage="1" xr:uid="{D5517946-201C-4767-B507-0A9558D4CB0D}">
          <x14:formula1>
            <xm:f>項目!A$4:$GNY20</xm:f>
          </x14:formula1>
          <xm:sqref>GOH24</xm:sqref>
        </x14:dataValidation>
        <x14:dataValidation type="list" allowBlank="1" showInputMessage="1" showErrorMessage="1" xr:uid="{20BB8C61-F943-44EC-B0E2-2211676A56EB}">
          <x14:formula1>
            <xm:f>項目!A2:$GXU$4</xm:f>
          </x14:formula1>
          <xm:sqref>GYD5:GYD23</xm:sqref>
        </x14:dataValidation>
        <x14:dataValidation type="list" allowBlank="1" showInputMessage="1" showErrorMessage="1" xr:uid="{D2D49450-3E09-48E6-A092-19D557E39E2E}">
          <x14:formula1>
            <xm:f>項目!A$4:$GXU20</xm:f>
          </x14:formula1>
          <xm:sqref>GYD24</xm:sqref>
        </x14:dataValidation>
        <x14:dataValidation type="list" allowBlank="1" showInputMessage="1" showErrorMessage="1" xr:uid="{C99FED95-AF2B-416B-99B9-4CA4DAB73082}">
          <x14:formula1>
            <xm:f>項目!A2:$HHQ$4</xm:f>
          </x14:formula1>
          <xm:sqref>HHZ5:HHZ23</xm:sqref>
        </x14:dataValidation>
        <x14:dataValidation type="list" allowBlank="1" showInputMessage="1" showErrorMessage="1" xr:uid="{B8E39A3B-B1EC-45C4-BCC5-29C9147C6318}">
          <x14:formula1>
            <xm:f>項目!A$4:$HHQ20</xm:f>
          </x14:formula1>
          <xm:sqref>HHZ24</xm:sqref>
        </x14:dataValidation>
        <x14:dataValidation type="list" allowBlank="1" showInputMessage="1" showErrorMessage="1" xr:uid="{8B2AD26B-6F8A-424C-9F42-F8F9A0CF0583}">
          <x14:formula1>
            <xm:f>項目!A2:$HRM$4</xm:f>
          </x14:formula1>
          <xm:sqref>HRV5:HRV23</xm:sqref>
        </x14:dataValidation>
        <x14:dataValidation type="list" allowBlank="1" showInputMessage="1" showErrorMessage="1" xr:uid="{BDE8EC33-5167-4FBD-856C-DEA3BF37FBC8}">
          <x14:formula1>
            <xm:f>項目!A$4:$HRM20</xm:f>
          </x14:formula1>
          <xm:sqref>HRV24</xm:sqref>
        </x14:dataValidation>
        <x14:dataValidation type="list" allowBlank="1" showInputMessage="1" showErrorMessage="1" xr:uid="{3B0A985C-BD50-4A52-9F92-2B9BFD777B4B}">
          <x14:formula1>
            <xm:f>項目!A2:$IBI$4</xm:f>
          </x14:formula1>
          <xm:sqref>IBR5:IBR23</xm:sqref>
        </x14:dataValidation>
        <x14:dataValidation type="list" allowBlank="1" showInputMessage="1" showErrorMessage="1" xr:uid="{9682760A-8F55-474C-8C04-1B0C169EF528}">
          <x14:formula1>
            <xm:f>項目!A$4:$IBI20</xm:f>
          </x14:formula1>
          <xm:sqref>IBR24</xm:sqref>
        </x14:dataValidation>
        <x14:dataValidation type="list" allowBlank="1" showInputMessage="1" showErrorMessage="1" xr:uid="{E47AB7BD-D50C-42C3-8F1F-255CD7509CD8}">
          <x14:formula1>
            <xm:f>項目!A2:$ILE$4</xm:f>
          </x14:formula1>
          <xm:sqref>ILN5:ILN23</xm:sqref>
        </x14:dataValidation>
        <x14:dataValidation type="list" allowBlank="1" showInputMessage="1" showErrorMessage="1" xr:uid="{95CC5E0E-9A7E-48B5-B8EC-68136DC30AFB}">
          <x14:formula1>
            <xm:f>項目!A$4:$ILE20</xm:f>
          </x14:formula1>
          <xm:sqref>ILN24</xm:sqref>
        </x14:dataValidation>
        <x14:dataValidation type="list" allowBlank="1" showInputMessage="1" showErrorMessage="1" xr:uid="{CDBCDB33-521D-4895-869A-3F365959B185}">
          <x14:formula1>
            <xm:f>項目!A2:$IVA$4</xm:f>
          </x14:formula1>
          <xm:sqref>IVJ5:IVJ23</xm:sqref>
        </x14:dataValidation>
        <x14:dataValidation type="list" allowBlank="1" showInputMessage="1" showErrorMessage="1" xr:uid="{AE2E9C41-0903-4EE8-AB33-243988030667}">
          <x14:formula1>
            <xm:f>項目!A$4:$IVA20</xm:f>
          </x14:formula1>
          <xm:sqref>IVJ24</xm:sqref>
        </x14:dataValidation>
        <x14:dataValidation type="list" allowBlank="1" showInputMessage="1" showErrorMessage="1" xr:uid="{FA67416A-7EA2-4C5E-9F1C-7CD99E786571}">
          <x14:formula1>
            <xm:f>項目!A2:$JEW$4</xm:f>
          </x14:formula1>
          <xm:sqref>JFF5:JFF23</xm:sqref>
        </x14:dataValidation>
        <x14:dataValidation type="list" allowBlank="1" showInputMessage="1" showErrorMessage="1" xr:uid="{6C8D3C6B-8F3F-44FE-BECA-FBD8021511D1}">
          <x14:formula1>
            <xm:f>項目!A$4:$JEW20</xm:f>
          </x14:formula1>
          <xm:sqref>JFF24</xm:sqref>
        </x14:dataValidation>
        <x14:dataValidation type="list" allowBlank="1" showInputMessage="1" showErrorMessage="1" xr:uid="{13203AD1-3BA3-4B63-9594-3F318EB6E19F}">
          <x14:formula1>
            <xm:f>項目!A2:$JOS$4</xm:f>
          </x14:formula1>
          <xm:sqref>JPB5:JPB23</xm:sqref>
        </x14:dataValidation>
        <x14:dataValidation type="list" allowBlank="1" showInputMessage="1" showErrorMessage="1" xr:uid="{D160AA3B-CF3A-4CDD-B1DC-76DE188747B4}">
          <x14:formula1>
            <xm:f>項目!A$4:$JOS20</xm:f>
          </x14:formula1>
          <xm:sqref>JPB24</xm:sqref>
        </x14:dataValidation>
        <x14:dataValidation type="list" allowBlank="1" showInputMessage="1" showErrorMessage="1" xr:uid="{5509CF26-C4D8-4422-A946-5340394B8492}">
          <x14:formula1>
            <xm:f>項目!A2:$JYO$4</xm:f>
          </x14:formula1>
          <xm:sqref>JYX5:JYX23</xm:sqref>
        </x14:dataValidation>
        <x14:dataValidation type="list" allowBlank="1" showInputMessage="1" showErrorMessage="1" xr:uid="{FD07F1C9-C4E1-4FC0-B6C2-4C08237A0DF1}">
          <x14:formula1>
            <xm:f>項目!A$4:$JYO20</xm:f>
          </x14:formula1>
          <xm:sqref>JYX24</xm:sqref>
        </x14:dataValidation>
        <x14:dataValidation type="list" allowBlank="1" showInputMessage="1" showErrorMessage="1" xr:uid="{BA6ECA73-0752-47D0-AB50-83D0856BB096}">
          <x14:formula1>
            <xm:f>項目!A2:$KIK$4</xm:f>
          </x14:formula1>
          <xm:sqref>KIT5:KIT23</xm:sqref>
        </x14:dataValidation>
        <x14:dataValidation type="list" allowBlank="1" showInputMessage="1" showErrorMessage="1" xr:uid="{0764BE69-69E3-4577-9D08-BAD0BFAE16D2}">
          <x14:formula1>
            <xm:f>項目!A$4:$KIK20</xm:f>
          </x14:formula1>
          <xm:sqref>KIT24</xm:sqref>
        </x14:dataValidation>
        <x14:dataValidation type="list" allowBlank="1" showInputMessage="1" showErrorMessage="1" xr:uid="{55ED5124-EE9E-4323-A175-4BD3A8FE0280}">
          <x14:formula1>
            <xm:f>項目!A2:$KSG$4</xm:f>
          </x14:formula1>
          <xm:sqref>KSP5:KSP23</xm:sqref>
        </x14:dataValidation>
        <x14:dataValidation type="list" allowBlank="1" showInputMessage="1" showErrorMessage="1" xr:uid="{11BD9EBC-2891-4793-B674-51B359149BEC}">
          <x14:formula1>
            <xm:f>項目!A$4:$KSG20</xm:f>
          </x14:formula1>
          <xm:sqref>KSP24</xm:sqref>
        </x14:dataValidation>
        <x14:dataValidation type="list" allowBlank="1" showInputMessage="1" showErrorMessage="1" xr:uid="{09607E19-59C1-48D0-8A30-92971CC7AEEB}">
          <x14:formula1>
            <xm:f>項目!A2:$LCC$4</xm:f>
          </x14:formula1>
          <xm:sqref>LCL5:LCL23</xm:sqref>
        </x14:dataValidation>
        <x14:dataValidation type="list" allowBlank="1" showInputMessage="1" showErrorMessage="1" xr:uid="{925E8519-F032-42DF-A886-C4E82FD78243}">
          <x14:formula1>
            <xm:f>項目!A$4:$LCC20</xm:f>
          </x14:formula1>
          <xm:sqref>LCL24</xm:sqref>
        </x14:dataValidation>
        <x14:dataValidation type="list" allowBlank="1" showInputMessage="1" showErrorMessage="1" xr:uid="{16F8B39B-8B8A-42C1-BB9E-B5C39534D660}">
          <x14:formula1>
            <xm:f>項目!A2:$LLY$4</xm:f>
          </x14:formula1>
          <xm:sqref>LMH5:LMH23</xm:sqref>
        </x14:dataValidation>
        <x14:dataValidation type="list" allowBlank="1" showInputMessage="1" showErrorMessage="1" xr:uid="{83E3C257-DF0F-4777-82A9-03587173FE3A}">
          <x14:formula1>
            <xm:f>項目!A$4:$LLY20</xm:f>
          </x14:formula1>
          <xm:sqref>LMH24</xm:sqref>
        </x14:dataValidation>
        <x14:dataValidation type="list" allowBlank="1" showInputMessage="1" showErrorMessage="1" xr:uid="{58797F42-97A6-4909-B27B-D36C471376A1}">
          <x14:formula1>
            <xm:f>項目!A2:$LVU$4</xm:f>
          </x14:formula1>
          <xm:sqref>LWD5:LWD23</xm:sqref>
        </x14:dataValidation>
        <x14:dataValidation type="list" allowBlank="1" showInputMessage="1" showErrorMessage="1" xr:uid="{96E6FD20-43F8-43E6-A155-FC7AB4B69266}">
          <x14:formula1>
            <xm:f>項目!A$4:$LVU20</xm:f>
          </x14:formula1>
          <xm:sqref>LWD24</xm:sqref>
        </x14:dataValidation>
        <x14:dataValidation type="list" allowBlank="1" showInputMessage="1" showErrorMessage="1" xr:uid="{8F7D9344-B462-4F2D-B0B7-41C4914FC2E5}">
          <x14:formula1>
            <xm:f>項目!A2:$MFQ$4</xm:f>
          </x14:formula1>
          <xm:sqref>MFZ5:MFZ23</xm:sqref>
        </x14:dataValidation>
        <x14:dataValidation type="list" allowBlank="1" showInputMessage="1" showErrorMessage="1" xr:uid="{8FC2CE39-A89D-45C6-BCED-EDB48CA0A697}">
          <x14:formula1>
            <xm:f>項目!A$4:$MFQ20</xm:f>
          </x14:formula1>
          <xm:sqref>MFZ24</xm:sqref>
        </x14:dataValidation>
        <x14:dataValidation type="list" allowBlank="1" showInputMessage="1" showErrorMessage="1" xr:uid="{49F81909-61DC-44E2-8838-06C958063F94}">
          <x14:formula1>
            <xm:f>項目!A2:$MPM$4</xm:f>
          </x14:formula1>
          <xm:sqref>MPV5:MPV23</xm:sqref>
        </x14:dataValidation>
        <x14:dataValidation type="list" allowBlank="1" showInputMessage="1" showErrorMessage="1" xr:uid="{3560105A-8D38-40C5-8EF6-2CB6A29E2FE6}">
          <x14:formula1>
            <xm:f>項目!A$4:$MPM20</xm:f>
          </x14:formula1>
          <xm:sqref>MPV24</xm:sqref>
        </x14:dataValidation>
        <x14:dataValidation type="list" allowBlank="1" showInputMessage="1" showErrorMessage="1" xr:uid="{466EF01C-4BF6-431C-95D8-97080EE1040C}">
          <x14:formula1>
            <xm:f>項目!A2:$MZI$4</xm:f>
          </x14:formula1>
          <xm:sqref>MZR5:MZR23</xm:sqref>
        </x14:dataValidation>
        <x14:dataValidation type="list" allowBlank="1" showInputMessage="1" showErrorMessage="1" xr:uid="{55D8CA0A-E2F9-4C0B-90ED-27A5829D24F6}">
          <x14:formula1>
            <xm:f>項目!A$4:$MZI20</xm:f>
          </x14:formula1>
          <xm:sqref>MZR24</xm:sqref>
        </x14:dataValidation>
        <x14:dataValidation type="list" allowBlank="1" showInputMessage="1" showErrorMessage="1" xr:uid="{1551EEB6-248C-4685-B962-37096FDF2D3B}">
          <x14:formula1>
            <xm:f>項目!A2:$NJE$4</xm:f>
          </x14:formula1>
          <xm:sqref>NJN5:NJN23</xm:sqref>
        </x14:dataValidation>
        <x14:dataValidation type="list" allowBlank="1" showInputMessage="1" showErrorMessage="1" xr:uid="{0BD50551-6CDF-4F28-8901-EC3DE141EF84}">
          <x14:formula1>
            <xm:f>項目!A$4:$NJE20</xm:f>
          </x14:formula1>
          <xm:sqref>NJN24</xm:sqref>
        </x14:dataValidation>
        <x14:dataValidation type="list" allowBlank="1" showInputMessage="1" showErrorMessage="1" xr:uid="{3F0BF548-0A60-4B37-8084-03F091B415A3}">
          <x14:formula1>
            <xm:f>項目!A2:$NTA$4</xm:f>
          </x14:formula1>
          <xm:sqref>NTJ5:NTJ23</xm:sqref>
        </x14:dataValidation>
        <x14:dataValidation type="list" allowBlank="1" showInputMessage="1" showErrorMessage="1" xr:uid="{185B61D2-AEC8-4A61-9192-FE0E71C4D92A}">
          <x14:formula1>
            <xm:f>項目!A$4:$NTA20</xm:f>
          </x14:formula1>
          <xm:sqref>NTJ24</xm:sqref>
        </x14:dataValidation>
        <x14:dataValidation type="list" allowBlank="1" showInputMessage="1" showErrorMessage="1" xr:uid="{66090D4C-F0BF-4AFC-9F43-46C132FC2B0B}">
          <x14:formula1>
            <xm:f>項目!A2:$OCW$4</xm:f>
          </x14:formula1>
          <xm:sqref>ODF5:ODF23</xm:sqref>
        </x14:dataValidation>
        <x14:dataValidation type="list" allowBlank="1" showInputMessage="1" showErrorMessage="1" xr:uid="{ED935721-5E69-4FD3-B0B4-EE731C2B4776}">
          <x14:formula1>
            <xm:f>項目!A$4:$OCW20</xm:f>
          </x14:formula1>
          <xm:sqref>ODF24</xm:sqref>
        </x14:dataValidation>
        <x14:dataValidation type="list" allowBlank="1" showInputMessage="1" showErrorMessage="1" xr:uid="{94416CAA-AC40-47D0-89C5-0E9C486BF2AA}">
          <x14:formula1>
            <xm:f>項目!A2:$OMS$4</xm:f>
          </x14:formula1>
          <xm:sqref>ONB5:ONB23</xm:sqref>
        </x14:dataValidation>
        <x14:dataValidation type="list" allowBlank="1" showInputMessage="1" showErrorMessage="1" xr:uid="{34E4722A-6318-4D46-845C-DB12116D1CF2}">
          <x14:formula1>
            <xm:f>項目!A$4:$OMS20</xm:f>
          </x14:formula1>
          <xm:sqref>ONB24</xm:sqref>
        </x14:dataValidation>
        <x14:dataValidation type="list" allowBlank="1" showInputMessage="1" showErrorMessage="1" xr:uid="{6C3B2C72-9153-4207-89E7-A8EA54D9FF10}">
          <x14:formula1>
            <xm:f>項目!A2:$OWO$4</xm:f>
          </x14:formula1>
          <xm:sqref>OWX5:OWX23</xm:sqref>
        </x14:dataValidation>
        <x14:dataValidation type="list" allowBlank="1" showInputMessage="1" showErrorMessage="1" xr:uid="{B30D9336-D45C-4039-BE03-57351477E647}">
          <x14:formula1>
            <xm:f>項目!A$4:$OWO20</xm:f>
          </x14:formula1>
          <xm:sqref>OWX24</xm:sqref>
        </x14:dataValidation>
        <x14:dataValidation type="list" allowBlank="1" showInputMessage="1" showErrorMessage="1" xr:uid="{AE861D57-6AD7-4B63-91D9-30D2BCD0BEEC}">
          <x14:formula1>
            <xm:f>項目!A2:$PGK$4</xm:f>
          </x14:formula1>
          <xm:sqref>PGT5:PGT23</xm:sqref>
        </x14:dataValidation>
        <x14:dataValidation type="list" allowBlank="1" showInputMessage="1" showErrorMessage="1" xr:uid="{B89C2888-0BDB-4064-B8B4-75B8EC9C3838}">
          <x14:formula1>
            <xm:f>項目!A$4:$PGK20</xm:f>
          </x14:formula1>
          <xm:sqref>PGT24</xm:sqref>
        </x14:dataValidation>
        <x14:dataValidation type="list" allowBlank="1" showInputMessage="1" showErrorMessage="1" xr:uid="{775635E0-4B3D-4A29-988F-2BA73DD54F7A}">
          <x14:formula1>
            <xm:f>項目!A2:$PQG$4</xm:f>
          </x14:formula1>
          <xm:sqref>PQP5:PQP23</xm:sqref>
        </x14:dataValidation>
        <x14:dataValidation type="list" allowBlank="1" showInputMessage="1" showErrorMessage="1" xr:uid="{BFE8343A-8ACD-4B74-8BC4-37175C32F559}">
          <x14:formula1>
            <xm:f>項目!A$4:$PQG20</xm:f>
          </x14:formula1>
          <xm:sqref>PQP24</xm:sqref>
        </x14:dataValidation>
        <x14:dataValidation type="list" allowBlank="1" showInputMessage="1" showErrorMessage="1" xr:uid="{7C6F0E2D-B395-4FAF-BB24-93BE983CD850}">
          <x14:formula1>
            <xm:f>項目!A2:$QAC$4</xm:f>
          </x14:formula1>
          <xm:sqref>QAL5:QAL23</xm:sqref>
        </x14:dataValidation>
        <x14:dataValidation type="list" allowBlank="1" showInputMessage="1" showErrorMessage="1" xr:uid="{72A6B5E7-0F2C-4130-A0AF-61474C4E608C}">
          <x14:formula1>
            <xm:f>項目!A$4:$QAC20</xm:f>
          </x14:formula1>
          <xm:sqref>QAL24</xm:sqref>
        </x14:dataValidation>
        <x14:dataValidation type="list" allowBlank="1" showInputMessage="1" showErrorMessage="1" xr:uid="{81665AA7-C425-470C-A5A5-4A954261F569}">
          <x14:formula1>
            <xm:f>項目!A2:$QJY$4</xm:f>
          </x14:formula1>
          <xm:sqref>QKH5:QKH23</xm:sqref>
        </x14:dataValidation>
        <x14:dataValidation type="list" allowBlank="1" showInputMessage="1" showErrorMessage="1" xr:uid="{6C4BF03E-29AA-4B96-97E6-36D179A86213}">
          <x14:formula1>
            <xm:f>項目!A$4:$QJY20</xm:f>
          </x14:formula1>
          <xm:sqref>QKH24</xm:sqref>
        </x14:dataValidation>
        <x14:dataValidation type="list" allowBlank="1" showInputMessage="1" showErrorMessage="1" xr:uid="{D4854186-1D5C-4EDF-AF4A-B8E2FC9FF961}">
          <x14:formula1>
            <xm:f>項目!A2:$QTU$4</xm:f>
          </x14:formula1>
          <xm:sqref>QUD5:QUD23</xm:sqref>
        </x14:dataValidation>
        <x14:dataValidation type="list" allowBlank="1" showInputMessage="1" showErrorMessage="1" xr:uid="{C6D60904-0DDD-4D63-AAEB-8AA9EC158A18}">
          <x14:formula1>
            <xm:f>項目!A$4:$QTU20</xm:f>
          </x14:formula1>
          <xm:sqref>QUD24</xm:sqref>
        </x14:dataValidation>
        <x14:dataValidation type="list" allowBlank="1" showInputMessage="1" showErrorMessage="1" xr:uid="{46A378A5-D2A0-4091-B808-6A85EEE5D167}">
          <x14:formula1>
            <xm:f>項目!A2:$RDQ$4</xm:f>
          </x14:formula1>
          <xm:sqref>RDZ5:RDZ23</xm:sqref>
        </x14:dataValidation>
        <x14:dataValidation type="list" allowBlank="1" showInputMessage="1" showErrorMessage="1" xr:uid="{37BC5B57-99C5-4A21-994F-EB1F23042052}">
          <x14:formula1>
            <xm:f>項目!A$4:$RDQ20</xm:f>
          </x14:formula1>
          <xm:sqref>RDZ24</xm:sqref>
        </x14:dataValidation>
        <x14:dataValidation type="list" allowBlank="1" showInputMessage="1" showErrorMessage="1" xr:uid="{263A36EB-9205-4DFE-B615-921C7D9A25CA}">
          <x14:formula1>
            <xm:f>項目!A2:$RNM$4</xm:f>
          </x14:formula1>
          <xm:sqref>RNV5:RNV23</xm:sqref>
        </x14:dataValidation>
        <x14:dataValidation type="list" allowBlank="1" showInputMessage="1" showErrorMessage="1" xr:uid="{E1736B48-4B53-4D68-856B-39613A345554}">
          <x14:formula1>
            <xm:f>項目!A$4:$RNM20</xm:f>
          </x14:formula1>
          <xm:sqref>RNV24</xm:sqref>
        </x14:dataValidation>
        <x14:dataValidation type="list" allowBlank="1" showInputMessage="1" showErrorMessage="1" xr:uid="{8A8D30EF-BF3E-47E3-AE5F-B3F159E7D203}">
          <x14:formula1>
            <xm:f>項目!A2:$RXI$4</xm:f>
          </x14:formula1>
          <xm:sqref>RXR5:RXR23</xm:sqref>
        </x14:dataValidation>
        <x14:dataValidation type="list" allowBlank="1" showInputMessage="1" showErrorMessage="1" xr:uid="{2389E690-EE2E-42B6-84F1-ED70570D6C1B}">
          <x14:formula1>
            <xm:f>項目!A$4:$RXI20</xm:f>
          </x14:formula1>
          <xm:sqref>RXR24</xm:sqref>
        </x14:dataValidation>
        <x14:dataValidation type="list" allowBlank="1" showInputMessage="1" showErrorMessage="1" xr:uid="{9CB8DC90-7B9E-4728-B8F3-B26949F25F9D}">
          <x14:formula1>
            <xm:f>項目!A2:$SHE$4</xm:f>
          </x14:formula1>
          <xm:sqref>SHN5:SHN23</xm:sqref>
        </x14:dataValidation>
        <x14:dataValidation type="list" allowBlank="1" showInputMessage="1" showErrorMessage="1" xr:uid="{1983C3FC-CDD1-4BE0-9BB9-8383B4FAFF47}">
          <x14:formula1>
            <xm:f>項目!A$4:$SHE20</xm:f>
          </x14:formula1>
          <xm:sqref>SHN24</xm:sqref>
        </x14:dataValidation>
        <x14:dataValidation type="list" allowBlank="1" showInputMessage="1" showErrorMessage="1" xr:uid="{E0612C27-0A13-4BC0-AFF6-ADE3F2344B29}">
          <x14:formula1>
            <xm:f>項目!A2:$SRA$4</xm:f>
          </x14:formula1>
          <xm:sqref>SRJ5:SRJ23</xm:sqref>
        </x14:dataValidation>
        <x14:dataValidation type="list" allowBlank="1" showInputMessage="1" showErrorMessage="1" xr:uid="{518F57CF-AC34-43CD-986A-A6B159905E8D}">
          <x14:formula1>
            <xm:f>項目!A$4:$SRA20</xm:f>
          </x14:formula1>
          <xm:sqref>SRJ24</xm:sqref>
        </x14:dataValidation>
        <x14:dataValidation type="list" allowBlank="1" showInputMessage="1" showErrorMessage="1" xr:uid="{5CD43AA5-8A4C-4611-90CB-AD79E8C9A8B5}">
          <x14:formula1>
            <xm:f>項目!A2:$TAW$4</xm:f>
          </x14:formula1>
          <xm:sqref>TBF5:TBF23</xm:sqref>
        </x14:dataValidation>
        <x14:dataValidation type="list" allowBlank="1" showInputMessage="1" showErrorMessage="1" xr:uid="{F0959DF0-E809-42E3-95A5-24933B97461D}">
          <x14:formula1>
            <xm:f>項目!A$4:$TAW20</xm:f>
          </x14:formula1>
          <xm:sqref>TBF24</xm:sqref>
        </x14:dataValidation>
        <x14:dataValidation type="list" allowBlank="1" showInputMessage="1" showErrorMessage="1" xr:uid="{A9137809-35C6-42D9-89CF-16F111FEC019}">
          <x14:formula1>
            <xm:f>項目!A2:$TKS$4</xm:f>
          </x14:formula1>
          <xm:sqref>TLB5:TLB23</xm:sqref>
        </x14:dataValidation>
        <x14:dataValidation type="list" allowBlank="1" showInputMessage="1" showErrorMessage="1" xr:uid="{BA085C16-AB2E-4788-9EB7-2C961D625128}">
          <x14:formula1>
            <xm:f>項目!A$4:$TKS20</xm:f>
          </x14:formula1>
          <xm:sqref>TLB24</xm:sqref>
        </x14:dataValidation>
        <x14:dataValidation type="list" allowBlank="1" showInputMessage="1" showErrorMessage="1" xr:uid="{B1591753-8F08-4DFC-81E4-CE5A5B440C6C}">
          <x14:formula1>
            <xm:f>項目!A2:$TUO$4</xm:f>
          </x14:formula1>
          <xm:sqref>TUX5:TUX23</xm:sqref>
        </x14:dataValidation>
        <x14:dataValidation type="list" allowBlank="1" showInputMessage="1" showErrorMessage="1" xr:uid="{D8A671EF-B285-4B64-A88C-7A44E75348A7}">
          <x14:formula1>
            <xm:f>項目!A$4:$TUO20</xm:f>
          </x14:formula1>
          <xm:sqref>TUX24</xm:sqref>
        </x14:dataValidation>
        <x14:dataValidation type="list" allowBlank="1" showInputMessage="1" showErrorMessage="1" xr:uid="{7E07CE65-D2A9-46A2-A06F-C712388E7D68}">
          <x14:formula1>
            <xm:f>項目!A2:$UEK$4</xm:f>
          </x14:formula1>
          <xm:sqref>UET5:UET23</xm:sqref>
        </x14:dataValidation>
        <x14:dataValidation type="list" allowBlank="1" showInputMessage="1" showErrorMessage="1" xr:uid="{40C59996-C952-482D-82D1-F8F94B17414E}">
          <x14:formula1>
            <xm:f>項目!A$4:$UEK20</xm:f>
          </x14:formula1>
          <xm:sqref>UET24</xm:sqref>
        </x14:dataValidation>
        <x14:dataValidation type="list" allowBlank="1" showInputMessage="1" showErrorMessage="1" xr:uid="{D751EDCA-1349-41DF-B492-FA5D4F77C577}">
          <x14:formula1>
            <xm:f>項目!A2:$UOG$4</xm:f>
          </x14:formula1>
          <xm:sqref>UOP5:UOP23</xm:sqref>
        </x14:dataValidation>
        <x14:dataValidation type="list" allowBlank="1" showInputMessage="1" showErrorMessage="1" xr:uid="{D7626A86-0A99-4CE5-A85D-0D9DA959A5CB}">
          <x14:formula1>
            <xm:f>項目!A$4:$UOG20</xm:f>
          </x14:formula1>
          <xm:sqref>UOP24</xm:sqref>
        </x14:dataValidation>
        <x14:dataValidation type="list" allowBlank="1" showInputMessage="1" showErrorMessage="1" xr:uid="{A204A88D-64A9-43F2-8385-520871F6FF7A}">
          <x14:formula1>
            <xm:f>項目!A2:$UYC$4</xm:f>
          </x14:formula1>
          <xm:sqref>UYL5:UYL23</xm:sqref>
        </x14:dataValidation>
        <x14:dataValidation type="list" allowBlank="1" showInputMessage="1" showErrorMessage="1" xr:uid="{66171604-E4E9-497C-89A1-C6DA6C1646E7}">
          <x14:formula1>
            <xm:f>項目!A$4:$UYC20</xm:f>
          </x14:formula1>
          <xm:sqref>UYL24</xm:sqref>
        </x14:dataValidation>
        <x14:dataValidation type="list" allowBlank="1" showInputMessage="1" showErrorMessage="1" xr:uid="{566EC348-C76B-417D-BB8D-33F53F4B4E20}">
          <x14:formula1>
            <xm:f>項目!A2:$VHY$4</xm:f>
          </x14:formula1>
          <xm:sqref>VIH5:VIH23</xm:sqref>
        </x14:dataValidation>
        <x14:dataValidation type="list" allowBlank="1" showInputMessage="1" showErrorMessage="1" xr:uid="{066A98CC-BDFA-47FE-9076-BDA8B10AA329}">
          <x14:formula1>
            <xm:f>項目!A$4:$VHY20</xm:f>
          </x14:formula1>
          <xm:sqref>VIH24</xm:sqref>
        </x14:dataValidation>
        <x14:dataValidation type="list" allowBlank="1" showInputMessage="1" showErrorMessage="1" xr:uid="{06726B7F-1488-496B-9030-73D02563212F}">
          <x14:formula1>
            <xm:f>項目!A2:$VRU$4</xm:f>
          </x14:formula1>
          <xm:sqref>VSD5:VSD23</xm:sqref>
        </x14:dataValidation>
        <x14:dataValidation type="list" allowBlank="1" showInputMessage="1" showErrorMessage="1" xr:uid="{F6BC1F50-3FC5-4F31-B6E9-799DD9306E63}">
          <x14:formula1>
            <xm:f>項目!A$4:$VRU20</xm:f>
          </x14:formula1>
          <xm:sqref>VSD24</xm:sqref>
        </x14:dataValidation>
        <x14:dataValidation type="list" allowBlank="1" showInputMessage="1" showErrorMessage="1" xr:uid="{E64E59D7-3B40-48D0-8370-1064F60F7F27}">
          <x14:formula1>
            <xm:f>項目!A2:$WBQ$4</xm:f>
          </x14:formula1>
          <xm:sqref>WBZ5:WBZ23</xm:sqref>
        </x14:dataValidation>
        <x14:dataValidation type="list" allowBlank="1" showInputMessage="1" showErrorMessage="1" xr:uid="{659B32EF-8220-4668-8D07-A24FB0CB66D1}">
          <x14:formula1>
            <xm:f>項目!A$4:$WBQ20</xm:f>
          </x14:formula1>
          <xm:sqref>WBZ24</xm:sqref>
        </x14:dataValidation>
        <x14:dataValidation type="list" allowBlank="1" showInputMessage="1" showErrorMessage="1" xr:uid="{FEB2A87C-BFD1-4397-BC98-94B6D0FDA0CF}">
          <x14:formula1>
            <xm:f>項目!A2:$WLM$4</xm:f>
          </x14:formula1>
          <xm:sqref>WLV5:WLV23</xm:sqref>
        </x14:dataValidation>
        <x14:dataValidation type="list" allowBlank="1" showInputMessage="1" showErrorMessage="1" xr:uid="{C6407101-A3AE-462F-BD50-A30C4436C767}">
          <x14:formula1>
            <xm:f>項目!A$4:$WLM20</xm:f>
          </x14:formula1>
          <xm:sqref>WLV24</xm:sqref>
        </x14:dataValidation>
        <x14:dataValidation type="list" allowBlank="1" showInputMessage="1" showErrorMessage="1" xr:uid="{54C79198-D454-4A2F-AA6F-B83BB79EBE37}">
          <x14:formula1>
            <xm:f>項目!A2:$WVI$4</xm:f>
          </x14:formula1>
          <xm:sqref>WVR5:WVR23</xm:sqref>
        </x14:dataValidation>
        <x14:dataValidation type="list" allowBlank="1" showInputMessage="1" showErrorMessage="1" xr:uid="{586D05CC-2410-47AD-BB1A-890033D043A8}">
          <x14:formula1>
            <xm:f>項目!A$4:$WVI20</xm:f>
          </x14:formula1>
          <xm:sqref>WVR24</xm:sqref>
        </x14:dataValidation>
        <x14:dataValidation type="list" allowBlank="1" showInputMessage="1" showErrorMessage="1" xr:uid="{D0FE8380-3716-4708-A43B-3726DA458616}">
          <x14:formula1>
            <xm:f>項目!A2:$IS$4</xm:f>
          </x14:formula1>
          <xm:sqref>JB5:JB23</xm:sqref>
        </x14:dataValidation>
        <x14:dataValidation type="list" allowBlank="1" showInputMessage="1" showErrorMessage="1" xr:uid="{191AB088-4E6B-4D55-9B88-2DE93C7AC2F0}">
          <x14:formula1>
            <xm:f>項目!A$4:$IS20</xm:f>
          </x14:formula1>
          <xm:sqref>JB24</xm:sqref>
        </x14:dataValidation>
        <x14:dataValidation type="list" allowBlank="1" showInputMessage="1" showErrorMessage="1" xr:uid="{68668C98-33A3-46EB-9B0C-CD8710DEFABE}">
          <x14:formula1>
            <xm:f>項目!A2:$JA$4</xm:f>
          </x14:formula1>
          <xm:sqref>JJ5:JJ23</xm:sqref>
        </x14:dataValidation>
        <x14:dataValidation type="list" allowBlank="1" showInputMessage="1" showErrorMessage="1" xr:uid="{9048877C-960B-467D-9ADD-B7417C0BBF67}">
          <x14:formula1>
            <xm:f>項目!A$4:$JA20</xm:f>
          </x14:formula1>
          <xm:sqref>JJ24</xm:sqref>
        </x14:dataValidation>
        <x14:dataValidation type="list" allowBlank="1" showInputMessage="1" showErrorMessage="1" xr:uid="{DF17622A-C4A4-4618-98B6-520F86D33019}">
          <x14:formula1>
            <xm:f>項目!A2:$SW$4</xm:f>
          </x14:formula1>
          <xm:sqref>TF5:TF23</xm:sqref>
        </x14:dataValidation>
        <x14:dataValidation type="list" allowBlank="1" showInputMessage="1" showErrorMessage="1" xr:uid="{15DD3F74-D28A-419B-A686-70ACCFDD66B0}">
          <x14:formula1>
            <xm:f>項目!A$4:$SW20</xm:f>
          </x14:formula1>
          <xm:sqref>TF24</xm:sqref>
        </x14:dataValidation>
        <x14:dataValidation type="list" allowBlank="1" showInputMessage="1" showErrorMessage="1" xr:uid="{60081D15-43D5-4055-A157-AF0264034EE1}">
          <x14:formula1>
            <xm:f>項目!A2:$ACS$4</xm:f>
          </x14:formula1>
          <xm:sqref>ADB5:ADB23</xm:sqref>
        </x14:dataValidation>
        <x14:dataValidation type="list" allowBlank="1" showInputMessage="1" showErrorMessage="1" xr:uid="{B76BA0DC-24CC-4199-8EF1-FFB5BB84A379}">
          <x14:formula1>
            <xm:f>項目!A$4:$ACS20</xm:f>
          </x14:formula1>
          <xm:sqref>ADB24</xm:sqref>
        </x14:dataValidation>
        <x14:dataValidation type="list" allowBlank="1" showInputMessage="1" showErrorMessage="1" xr:uid="{9F5D9BD9-3355-4DE5-AED1-D59116E0ED83}">
          <x14:formula1>
            <xm:f>項目!A2:$AMO$4</xm:f>
          </x14:formula1>
          <xm:sqref>AMX5:AMX23</xm:sqref>
        </x14:dataValidation>
        <x14:dataValidation type="list" allowBlank="1" showInputMessage="1" showErrorMessage="1" xr:uid="{86E2E1EA-0FF6-407A-A23E-65AD032C3FF9}">
          <x14:formula1>
            <xm:f>項目!A$4:$AMO20</xm:f>
          </x14:formula1>
          <xm:sqref>AMX24</xm:sqref>
        </x14:dataValidation>
        <x14:dataValidation type="list" allowBlank="1" showInputMessage="1" showErrorMessage="1" xr:uid="{44D212C6-99E6-4D2E-889B-B94DB1660103}">
          <x14:formula1>
            <xm:f>項目!A2:$AWK$4</xm:f>
          </x14:formula1>
          <xm:sqref>AWT5:AWT23</xm:sqref>
        </x14:dataValidation>
        <x14:dataValidation type="list" allowBlank="1" showInputMessage="1" showErrorMessage="1" xr:uid="{F986ACAC-81B9-47A9-8454-B78CDDBC4750}">
          <x14:formula1>
            <xm:f>項目!A$4:$AWK20</xm:f>
          </x14:formula1>
          <xm:sqref>AWT24</xm:sqref>
        </x14:dataValidation>
        <x14:dataValidation type="list" allowBlank="1" showInputMessage="1" showErrorMessage="1" xr:uid="{947C2094-E5EF-4EC2-9B30-91EEC6AE3712}">
          <x14:formula1>
            <xm:f>項目!A2:$BGG$4</xm:f>
          </x14:formula1>
          <xm:sqref>BGP5:BGP23</xm:sqref>
        </x14:dataValidation>
        <x14:dataValidation type="list" allowBlank="1" showInputMessage="1" showErrorMessage="1" xr:uid="{C1DAC04E-226F-4BA4-945D-4EDB8C3E1646}">
          <x14:formula1>
            <xm:f>項目!A$4:$BGG20</xm:f>
          </x14:formula1>
          <xm:sqref>BGP24</xm:sqref>
        </x14:dataValidation>
        <x14:dataValidation type="list" allowBlank="1" showInputMessage="1" showErrorMessage="1" xr:uid="{5C94BADA-1056-445A-8E05-90E4C18AA0F0}">
          <x14:formula1>
            <xm:f>項目!A2:$BQC$4</xm:f>
          </x14:formula1>
          <xm:sqref>BQL5:BQL23</xm:sqref>
        </x14:dataValidation>
        <x14:dataValidation type="list" allowBlank="1" showInputMessage="1" showErrorMessage="1" xr:uid="{4CE685F1-0DBB-40CC-80BD-AFCD51BF8329}">
          <x14:formula1>
            <xm:f>項目!A$4:$BQC20</xm:f>
          </x14:formula1>
          <xm:sqref>BQL24</xm:sqref>
        </x14:dataValidation>
        <x14:dataValidation type="list" allowBlank="1" showInputMessage="1" showErrorMessage="1" xr:uid="{5938B785-FEB5-4B28-B9B5-0ECEF0E57D26}">
          <x14:formula1>
            <xm:f>項目!A2:$BZY$4</xm:f>
          </x14:formula1>
          <xm:sqref>CAH5:CAH23</xm:sqref>
        </x14:dataValidation>
        <x14:dataValidation type="list" allowBlank="1" showInputMessage="1" showErrorMessage="1" xr:uid="{074DAF5D-B146-42B9-A654-9983AA55B638}">
          <x14:formula1>
            <xm:f>項目!A$4:$BZY20</xm:f>
          </x14:formula1>
          <xm:sqref>CAH24</xm:sqref>
        </x14:dataValidation>
        <x14:dataValidation type="list" allowBlank="1" showInputMessage="1" showErrorMessage="1" xr:uid="{7E78CA58-2426-4006-90D7-6D39A48D1B47}">
          <x14:formula1>
            <xm:f>項目!A2:$CJU$4</xm:f>
          </x14:formula1>
          <xm:sqref>CKD5:CKD23</xm:sqref>
        </x14:dataValidation>
        <x14:dataValidation type="list" allowBlank="1" showInputMessage="1" showErrorMessage="1" xr:uid="{1AB9D2AB-7592-4EAA-99FD-71378E9D3ED1}">
          <x14:formula1>
            <xm:f>項目!A$4:$CJU20</xm:f>
          </x14:formula1>
          <xm:sqref>CKD24</xm:sqref>
        </x14:dataValidation>
        <x14:dataValidation type="list" allowBlank="1" showInputMessage="1" showErrorMessage="1" xr:uid="{1C9ECC44-77C8-40C6-9C27-89DC201FABC1}">
          <x14:formula1>
            <xm:f>項目!A2:$CTQ$4</xm:f>
          </x14:formula1>
          <xm:sqref>CTZ5:CTZ23</xm:sqref>
        </x14:dataValidation>
        <x14:dataValidation type="list" allowBlank="1" showInputMessage="1" showErrorMessage="1" xr:uid="{7803F71A-BCFF-4463-8D77-8D3A1183966A}">
          <x14:formula1>
            <xm:f>項目!A$4:$CTQ20</xm:f>
          </x14:formula1>
          <xm:sqref>CTZ24</xm:sqref>
        </x14:dataValidation>
        <x14:dataValidation type="list" allowBlank="1" showInputMessage="1" showErrorMessage="1" xr:uid="{4566DD28-D2FC-4B25-8281-E37DB12C2EF1}">
          <x14:formula1>
            <xm:f>項目!A2:$DDM$4</xm:f>
          </x14:formula1>
          <xm:sqref>DDV5:DDV23</xm:sqref>
        </x14:dataValidation>
        <x14:dataValidation type="list" allowBlank="1" showInputMessage="1" showErrorMessage="1" xr:uid="{BC3739EB-600D-4835-AEDD-7FD27E4789B1}">
          <x14:formula1>
            <xm:f>項目!A$4:$DDM20</xm:f>
          </x14:formula1>
          <xm:sqref>DDV24</xm:sqref>
        </x14:dataValidation>
        <x14:dataValidation type="list" allowBlank="1" showInputMessage="1" showErrorMessage="1" xr:uid="{1886F587-4468-4E0E-890F-88F3F7FFBAAA}">
          <x14:formula1>
            <xm:f>項目!A2:$DNI$4</xm:f>
          </x14:formula1>
          <xm:sqref>DNR5:DNR23</xm:sqref>
        </x14:dataValidation>
        <x14:dataValidation type="list" allowBlank="1" showInputMessage="1" showErrorMessage="1" xr:uid="{AC68B1DB-B2C7-448F-91F3-5B4DFE088B99}">
          <x14:formula1>
            <xm:f>項目!A$4:$DNI20</xm:f>
          </x14:formula1>
          <xm:sqref>DNR24</xm:sqref>
        </x14:dataValidation>
        <x14:dataValidation type="list" allowBlank="1" showInputMessage="1" showErrorMessage="1" xr:uid="{CA38A1E9-B23C-4C4F-B44F-366FF94D39BD}">
          <x14:formula1>
            <xm:f>項目!A2:$DXE$4</xm:f>
          </x14:formula1>
          <xm:sqref>DXN5:DXN23</xm:sqref>
        </x14:dataValidation>
        <x14:dataValidation type="list" allowBlank="1" showInputMessage="1" showErrorMessage="1" xr:uid="{8B703C20-CDE7-4196-B7F1-A12B22BB40ED}">
          <x14:formula1>
            <xm:f>項目!A$4:$DXE20</xm:f>
          </x14:formula1>
          <xm:sqref>DXN24</xm:sqref>
        </x14:dataValidation>
        <x14:dataValidation type="list" allowBlank="1" showInputMessage="1" showErrorMessage="1" xr:uid="{60C0500F-0559-4B27-B79C-8D76216293FE}">
          <x14:formula1>
            <xm:f>項目!A2:$EHA$4</xm:f>
          </x14:formula1>
          <xm:sqref>EHJ5:EHJ23</xm:sqref>
        </x14:dataValidation>
        <x14:dataValidation type="list" allowBlank="1" showInputMessage="1" showErrorMessage="1" xr:uid="{4E02169B-39CC-4458-902D-57E1227E714A}">
          <x14:formula1>
            <xm:f>項目!A$4:$EHA20</xm:f>
          </x14:formula1>
          <xm:sqref>EHJ24</xm:sqref>
        </x14:dataValidation>
        <x14:dataValidation type="list" allowBlank="1" showInputMessage="1" showErrorMessage="1" xr:uid="{0340ACBB-9814-48A2-9025-0D8116B790BE}">
          <x14:formula1>
            <xm:f>項目!A2:$EQW$4</xm:f>
          </x14:formula1>
          <xm:sqref>ERF5:ERF23</xm:sqref>
        </x14:dataValidation>
        <x14:dataValidation type="list" allowBlank="1" showInputMessage="1" showErrorMessage="1" xr:uid="{FFC5123C-3DB2-44FC-A256-6558B13494AB}">
          <x14:formula1>
            <xm:f>項目!A$4:$EQW20</xm:f>
          </x14:formula1>
          <xm:sqref>ERF24</xm:sqref>
        </x14:dataValidation>
        <x14:dataValidation type="list" allowBlank="1" showInputMessage="1" showErrorMessage="1" xr:uid="{06248DB5-ADC2-4587-BC5A-7ECF57181553}">
          <x14:formula1>
            <xm:f>項目!A2:$FAS$4</xm:f>
          </x14:formula1>
          <xm:sqref>FBB5:FBB23</xm:sqref>
        </x14:dataValidation>
        <x14:dataValidation type="list" allowBlank="1" showInputMessage="1" showErrorMessage="1" xr:uid="{5BAAE822-3D83-485E-9D43-BE01823B8225}">
          <x14:formula1>
            <xm:f>項目!A$4:$FAS20</xm:f>
          </x14:formula1>
          <xm:sqref>FBB24</xm:sqref>
        </x14:dataValidation>
        <x14:dataValidation type="list" allowBlank="1" showInputMessage="1" showErrorMessage="1" xr:uid="{0CFECB3D-C884-491A-A9A7-9EEF13286840}">
          <x14:formula1>
            <xm:f>項目!A2:$FKO$4</xm:f>
          </x14:formula1>
          <xm:sqref>FKX5:FKX23</xm:sqref>
        </x14:dataValidation>
        <x14:dataValidation type="list" allowBlank="1" showInputMessage="1" showErrorMessage="1" xr:uid="{1D5BD0BF-1542-4022-A967-C71901BFBE55}">
          <x14:formula1>
            <xm:f>項目!A$4:$FKO20</xm:f>
          </x14:formula1>
          <xm:sqref>FKX24</xm:sqref>
        </x14:dataValidation>
        <x14:dataValidation type="list" allowBlank="1" showInputMessage="1" showErrorMessage="1" xr:uid="{A87662CE-EA74-4685-9046-6380E92C8F81}">
          <x14:formula1>
            <xm:f>項目!A2:$FUK$4</xm:f>
          </x14:formula1>
          <xm:sqref>FUT5:FUT23</xm:sqref>
        </x14:dataValidation>
        <x14:dataValidation type="list" allowBlank="1" showInputMessage="1" showErrorMessage="1" xr:uid="{3001274D-A394-4036-9E74-51E3BA5CF242}">
          <x14:formula1>
            <xm:f>項目!A$4:$FUK20</xm:f>
          </x14:formula1>
          <xm:sqref>FUT24</xm:sqref>
        </x14:dataValidation>
        <x14:dataValidation type="list" allowBlank="1" showInputMessage="1" showErrorMessage="1" xr:uid="{A0FAED75-009F-4016-9CF4-00C3D8235D6E}">
          <x14:formula1>
            <xm:f>項目!A2:$GEG$4</xm:f>
          </x14:formula1>
          <xm:sqref>GEP5:GEP23</xm:sqref>
        </x14:dataValidation>
        <x14:dataValidation type="list" allowBlank="1" showInputMessage="1" showErrorMessage="1" xr:uid="{75EC15DE-8827-4F82-8220-CDD5715846DC}">
          <x14:formula1>
            <xm:f>項目!A$4:$GEG20</xm:f>
          </x14:formula1>
          <xm:sqref>GEP24</xm:sqref>
        </x14:dataValidation>
        <x14:dataValidation type="list" allowBlank="1" showInputMessage="1" showErrorMessage="1" xr:uid="{A736B9F2-CC4A-47EC-B67C-F5082A846FBF}">
          <x14:formula1>
            <xm:f>項目!A2:$GOC$4</xm:f>
          </x14:formula1>
          <xm:sqref>GOL5:GOL23</xm:sqref>
        </x14:dataValidation>
        <x14:dataValidation type="list" allowBlank="1" showInputMessage="1" showErrorMessage="1" xr:uid="{AFE88C4F-2D55-4EB6-8353-16FE962F33AB}">
          <x14:formula1>
            <xm:f>項目!A$4:$GOC20</xm:f>
          </x14:formula1>
          <xm:sqref>GOL24</xm:sqref>
        </x14:dataValidation>
        <x14:dataValidation type="list" allowBlank="1" showInputMessage="1" showErrorMessage="1" xr:uid="{4D707CB2-1358-40BE-BF0E-E99332BA61D4}">
          <x14:formula1>
            <xm:f>項目!A2:$GXY$4</xm:f>
          </x14:formula1>
          <xm:sqref>GYH5:GYH23</xm:sqref>
        </x14:dataValidation>
        <x14:dataValidation type="list" allowBlank="1" showInputMessage="1" showErrorMessage="1" xr:uid="{1E3430EC-3F79-4BD0-A6EC-F35B56D4120A}">
          <x14:formula1>
            <xm:f>項目!A$4:$GXY20</xm:f>
          </x14:formula1>
          <xm:sqref>GYH24</xm:sqref>
        </x14:dataValidation>
        <x14:dataValidation type="list" allowBlank="1" showInputMessage="1" showErrorMessage="1" xr:uid="{788253E1-56A7-4CF0-9485-BEB4FAF8180A}">
          <x14:formula1>
            <xm:f>項目!A2:$HHU$4</xm:f>
          </x14:formula1>
          <xm:sqref>HID5:HID23</xm:sqref>
        </x14:dataValidation>
        <x14:dataValidation type="list" allowBlank="1" showInputMessage="1" showErrorMessage="1" xr:uid="{B3A5CC38-3384-4C02-A744-C96E697B5000}">
          <x14:formula1>
            <xm:f>項目!A$4:$HHU20</xm:f>
          </x14:formula1>
          <xm:sqref>HID24</xm:sqref>
        </x14:dataValidation>
        <x14:dataValidation type="list" allowBlank="1" showInputMessage="1" showErrorMessage="1" xr:uid="{A59CCE3A-BB5F-4877-BBCA-7AF14235997C}">
          <x14:formula1>
            <xm:f>項目!A2:$HRQ$4</xm:f>
          </x14:formula1>
          <xm:sqref>HRZ5:HRZ23</xm:sqref>
        </x14:dataValidation>
        <x14:dataValidation type="list" allowBlank="1" showInputMessage="1" showErrorMessage="1" xr:uid="{88F935CC-AC9A-4B1E-A780-B3BB4D32DC9D}">
          <x14:formula1>
            <xm:f>項目!A$4:$HRQ20</xm:f>
          </x14:formula1>
          <xm:sqref>HRZ24</xm:sqref>
        </x14:dataValidation>
        <x14:dataValidation type="list" allowBlank="1" showInputMessage="1" showErrorMessage="1" xr:uid="{2E251C9E-EF06-44A5-BD1D-6EEB11C5EABC}">
          <x14:formula1>
            <xm:f>項目!A2:$IBM$4</xm:f>
          </x14:formula1>
          <xm:sqref>IBV5:IBV23</xm:sqref>
        </x14:dataValidation>
        <x14:dataValidation type="list" allowBlank="1" showInputMessage="1" showErrorMessage="1" xr:uid="{2AF03EE4-B602-4175-84B5-BA10C7E6EB3C}">
          <x14:formula1>
            <xm:f>項目!A$4:$IBM20</xm:f>
          </x14:formula1>
          <xm:sqref>IBV24</xm:sqref>
        </x14:dataValidation>
        <x14:dataValidation type="list" allowBlank="1" showInputMessage="1" showErrorMessage="1" xr:uid="{46C8EEE6-E600-4C7E-A76C-6628F453C3BA}">
          <x14:formula1>
            <xm:f>項目!A2:$ILI$4</xm:f>
          </x14:formula1>
          <xm:sqref>ILR5:ILR23</xm:sqref>
        </x14:dataValidation>
        <x14:dataValidation type="list" allowBlank="1" showInputMessage="1" showErrorMessage="1" xr:uid="{048D68B0-99CE-49C3-9301-EB8BAD68FB11}">
          <x14:formula1>
            <xm:f>項目!A$4:$ILI20</xm:f>
          </x14:formula1>
          <xm:sqref>ILR24</xm:sqref>
        </x14:dataValidation>
        <x14:dataValidation type="list" allowBlank="1" showInputMessage="1" showErrorMessage="1" xr:uid="{6664E02F-7624-4536-9CD1-ECA29C895382}">
          <x14:formula1>
            <xm:f>項目!A2:$IVE$4</xm:f>
          </x14:formula1>
          <xm:sqref>IVN5:IVN23</xm:sqref>
        </x14:dataValidation>
        <x14:dataValidation type="list" allowBlank="1" showInputMessage="1" showErrorMessage="1" xr:uid="{18CC6D0C-3625-4240-A2EB-3F8E1C319D2A}">
          <x14:formula1>
            <xm:f>項目!A$4:$IVE20</xm:f>
          </x14:formula1>
          <xm:sqref>IVN24</xm:sqref>
        </x14:dataValidation>
        <x14:dataValidation type="list" allowBlank="1" showInputMessage="1" showErrorMessage="1" xr:uid="{5E25FD4C-93AE-4F82-B235-25863B35522D}">
          <x14:formula1>
            <xm:f>項目!A2:$JFA$4</xm:f>
          </x14:formula1>
          <xm:sqref>JFJ5:JFJ23</xm:sqref>
        </x14:dataValidation>
        <x14:dataValidation type="list" allowBlank="1" showInputMessage="1" showErrorMessage="1" xr:uid="{DAFE56CC-C01F-4404-829B-A209FB7F8477}">
          <x14:formula1>
            <xm:f>項目!A$4:$JFA20</xm:f>
          </x14:formula1>
          <xm:sqref>JFJ24</xm:sqref>
        </x14:dataValidation>
        <x14:dataValidation type="list" allowBlank="1" showInputMessage="1" showErrorMessage="1" xr:uid="{DD822A83-2C1D-4493-80AF-F87E8F33B2A3}">
          <x14:formula1>
            <xm:f>項目!A2:$JOW$4</xm:f>
          </x14:formula1>
          <xm:sqref>JPF5:JPF23</xm:sqref>
        </x14:dataValidation>
        <x14:dataValidation type="list" allowBlank="1" showInputMessage="1" showErrorMessage="1" xr:uid="{33FA6012-5345-4881-925A-B9AF3A9F6B60}">
          <x14:formula1>
            <xm:f>項目!A$4:$JOW20</xm:f>
          </x14:formula1>
          <xm:sqref>JPF24</xm:sqref>
        </x14:dataValidation>
        <x14:dataValidation type="list" allowBlank="1" showInputMessage="1" showErrorMessage="1" xr:uid="{7597BC64-22B3-4FD3-8D2E-C76329B0DFA7}">
          <x14:formula1>
            <xm:f>項目!A2:$JYS$4</xm:f>
          </x14:formula1>
          <xm:sqref>JZB5:JZB23</xm:sqref>
        </x14:dataValidation>
        <x14:dataValidation type="list" allowBlank="1" showInputMessage="1" showErrorMessage="1" xr:uid="{C86B96C7-9B6A-4D27-8075-4CB00C510714}">
          <x14:formula1>
            <xm:f>項目!A$4:$JYS20</xm:f>
          </x14:formula1>
          <xm:sqref>JZB24</xm:sqref>
        </x14:dataValidation>
        <x14:dataValidation type="list" allowBlank="1" showInputMessage="1" showErrorMessage="1" xr:uid="{4456D576-5D3F-42AF-8687-B48CBCF713F9}">
          <x14:formula1>
            <xm:f>項目!A2:$KIO$4</xm:f>
          </x14:formula1>
          <xm:sqref>KIX5:KIX23</xm:sqref>
        </x14:dataValidation>
        <x14:dataValidation type="list" allowBlank="1" showInputMessage="1" showErrorMessage="1" xr:uid="{187262FC-D643-4DE8-B5C9-E456BB7E74BE}">
          <x14:formula1>
            <xm:f>項目!A$4:$KIO20</xm:f>
          </x14:formula1>
          <xm:sqref>KIX24</xm:sqref>
        </x14:dataValidation>
        <x14:dataValidation type="list" allowBlank="1" showInputMessage="1" showErrorMessage="1" xr:uid="{CE2C9319-DE1E-434A-B8A0-DD02206F7D69}">
          <x14:formula1>
            <xm:f>項目!A2:$KSK$4</xm:f>
          </x14:formula1>
          <xm:sqref>KST5:KST23</xm:sqref>
        </x14:dataValidation>
        <x14:dataValidation type="list" allowBlank="1" showInputMessage="1" showErrorMessage="1" xr:uid="{AC5A5264-996E-4624-AE58-1200D154BE45}">
          <x14:formula1>
            <xm:f>項目!A$4:$KSK20</xm:f>
          </x14:formula1>
          <xm:sqref>KST24</xm:sqref>
        </x14:dataValidation>
        <x14:dataValidation type="list" allowBlank="1" showInputMessage="1" showErrorMessage="1" xr:uid="{566E0EAE-78A1-4DFF-9A54-E92E48ADD6CA}">
          <x14:formula1>
            <xm:f>項目!A2:$LCG$4</xm:f>
          </x14:formula1>
          <xm:sqref>LCP5:LCP23</xm:sqref>
        </x14:dataValidation>
        <x14:dataValidation type="list" allowBlank="1" showInputMessage="1" showErrorMessage="1" xr:uid="{24E4D704-A200-4C40-BE5A-80792409E011}">
          <x14:formula1>
            <xm:f>項目!A$4:$LCG20</xm:f>
          </x14:formula1>
          <xm:sqref>LCP24</xm:sqref>
        </x14:dataValidation>
        <x14:dataValidation type="list" allowBlank="1" showInputMessage="1" showErrorMessage="1" xr:uid="{141452E4-7889-44CB-9CB9-07CA6C0B6314}">
          <x14:formula1>
            <xm:f>項目!A2:$LMC$4</xm:f>
          </x14:formula1>
          <xm:sqref>LML5:LML23</xm:sqref>
        </x14:dataValidation>
        <x14:dataValidation type="list" allowBlank="1" showInputMessage="1" showErrorMessage="1" xr:uid="{7B224A95-83A1-4650-9F00-AA84DF49974A}">
          <x14:formula1>
            <xm:f>項目!A$4:$LMC20</xm:f>
          </x14:formula1>
          <xm:sqref>LML24</xm:sqref>
        </x14:dataValidation>
        <x14:dataValidation type="list" allowBlank="1" showInputMessage="1" showErrorMessage="1" xr:uid="{767DD59D-A4AE-4B46-A1AC-4B7698FC3C71}">
          <x14:formula1>
            <xm:f>項目!A2:$LVY$4</xm:f>
          </x14:formula1>
          <xm:sqref>LWH5:LWH23</xm:sqref>
        </x14:dataValidation>
        <x14:dataValidation type="list" allowBlank="1" showInputMessage="1" showErrorMessage="1" xr:uid="{278D7EF9-E49C-48A3-BC53-B57BB9A67267}">
          <x14:formula1>
            <xm:f>項目!A$4:$LVY20</xm:f>
          </x14:formula1>
          <xm:sqref>LWH24</xm:sqref>
        </x14:dataValidation>
        <x14:dataValidation type="list" allowBlank="1" showInputMessage="1" showErrorMessage="1" xr:uid="{54ED0C8B-3CE8-4425-B6F7-2F7D9EBE84E8}">
          <x14:formula1>
            <xm:f>項目!A2:$MFU$4</xm:f>
          </x14:formula1>
          <xm:sqref>MGD5:MGD23</xm:sqref>
        </x14:dataValidation>
        <x14:dataValidation type="list" allowBlank="1" showInputMessage="1" showErrorMessage="1" xr:uid="{4D036A9E-1771-4D38-810B-06C59467490A}">
          <x14:formula1>
            <xm:f>項目!A$4:$MFU20</xm:f>
          </x14:formula1>
          <xm:sqref>MGD24</xm:sqref>
        </x14:dataValidation>
        <x14:dataValidation type="list" allowBlank="1" showInputMessage="1" showErrorMessage="1" xr:uid="{A22159FF-AF28-4584-8974-4F486B74FD5A}">
          <x14:formula1>
            <xm:f>項目!A2:$MPQ$4</xm:f>
          </x14:formula1>
          <xm:sqref>MPZ5:MPZ23</xm:sqref>
        </x14:dataValidation>
        <x14:dataValidation type="list" allowBlank="1" showInputMessage="1" showErrorMessage="1" xr:uid="{8D0304FA-B1D2-46BE-A5D1-BC1D4D6D44B8}">
          <x14:formula1>
            <xm:f>項目!A$4:$MPQ20</xm:f>
          </x14:formula1>
          <xm:sqref>MPZ24</xm:sqref>
        </x14:dataValidation>
        <x14:dataValidation type="list" allowBlank="1" showInputMessage="1" showErrorMessage="1" xr:uid="{DB8148C8-49DD-4760-BB95-4D0369098F42}">
          <x14:formula1>
            <xm:f>項目!A2:$MZM$4</xm:f>
          </x14:formula1>
          <xm:sqref>MZV5:MZV23</xm:sqref>
        </x14:dataValidation>
        <x14:dataValidation type="list" allowBlank="1" showInputMessage="1" showErrorMessage="1" xr:uid="{58E2CC19-9821-4D7E-898A-D278C5D695EF}">
          <x14:formula1>
            <xm:f>項目!A$4:$MZM20</xm:f>
          </x14:formula1>
          <xm:sqref>MZV24</xm:sqref>
        </x14:dataValidation>
        <x14:dataValidation type="list" allowBlank="1" showInputMessage="1" showErrorMessage="1" xr:uid="{8BDF089F-36DF-43E6-961C-98513F1CA4D5}">
          <x14:formula1>
            <xm:f>項目!A2:$NJI$4</xm:f>
          </x14:formula1>
          <xm:sqref>NJR5:NJR23</xm:sqref>
        </x14:dataValidation>
        <x14:dataValidation type="list" allowBlank="1" showInputMessage="1" showErrorMessage="1" xr:uid="{B18B399F-8D81-4D36-9AA3-95F01372787D}">
          <x14:formula1>
            <xm:f>項目!A$4:$NJI20</xm:f>
          </x14:formula1>
          <xm:sqref>NJR24</xm:sqref>
        </x14:dataValidation>
        <x14:dataValidation type="list" allowBlank="1" showInputMessage="1" showErrorMessage="1" xr:uid="{948102DE-909E-4543-8170-43165EAE1C16}">
          <x14:formula1>
            <xm:f>項目!A2:$NTE$4</xm:f>
          </x14:formula1>
          <xm:sqref>NTN5:NTN23</xm:sqref>
        </x14:dataValidation>
        <x14:dataValidation type="list" allowBlank="1" showInputMessage="1" showErrorMessage="1" xr:uid="{4650F787-C24C-40A2-86A4-20456969258E}">
          <x14:formula1>
            <xm:f>項目!A$4:$NTE20</xm:f>
          </x14:formula1>
          <xm:sqref>NTN24</xm:sqref>
        </x14:dataValidation>
        <x14:dataValidation type="list" allowBlank="1" showInputMessage="1" showErrorMessage="1" xr:uid="{9FA17A36-22E3-432E-8542-03F5C13C76FD}">
          <x14:formula1>
            <xm:f>項目!A2:$ODA$4</xm:f>
          </x14:formula1>
          <xm:sqref>ODJ5:ODJ23</xm:sqref>
        </x14:dataValidation>
        <x14:dataValidation type="list" allowBlank="1" showInputMessage="1" showErrorMessage="1" xr:uid="{53BC416E-FCC8-48E6-90A5-1BC405D17B07}">
          <x14:formula1>
            <xm:f>項目!A$4:$ODA20</xm:f>
          </x14:formula1>
          <xm:sqref>ODJ24</xm:sqref>
        </x14:dataValidation>
        <x14:dataValidation type="list" allowBlank="1" showInputMessage="1" showErrorMessage="1" xr:uid="{2F16FC5A-F4B6-4356-8C26-0A52BA579069}">
          <x14:formula1>
            <xm:f>項目!A2:$OMW$4</xm:f>
          </x14:formula1>
          <xm:sqref>ONF5:ONF23</xm:sqref>
        </x14:dataValidation>
        <x14:dataValidation type="list" allowBlank="1" showInputMessage="1" showErrorMessage="1" xr:uid="{62FD46FD-F79D-44F2-B1E4-282D34D7A5F7}">
          <x14:formula1>
            <xm:f>項目!A$4:$OMW20</xm:f>
          </x14:formula1>
          <xm:sqref>ONF24</xm:sqref>
        </x14:dataValidation>
        <x14:dataValidation type="list" allowBlank="1" showInputMessage="1" showErrorMessage="1" xr:uid="{1A3F739C-7D99-41CD-88F1-119406FD2BB5}">
          <x14:formula1>
            <xm:f>項目!A2:$OWS$4</xm:f>
          </x14:formula1>
          <xm:sqref>OXB5:OXB23</xm:sqref>
        </x14:dataValidation>
        <x14:dataValidation type="list" allowBlank="1" showInputMessage="1" showErrorMessage="1" xr:uid="{FD290A91-3B50-43AE-B3CE-01D639FD2413}">
          <x14:formula1>
            <xm:f>項目!A$4:$OWS20</xm:f>
          </x14:formula1>
          <xm:sqref>OXB24</xm:sqref>
        </x14:dataValidation>
        <x14:dataValidation type="list" allowBlank="1" showInputMessage="1" showErrorMessage="1" xr:uid="{25773923-661A-4D13-B3E9-3EDFDF95D593}">
          <x14:formula1>
            <xm:f>項目!A2:$PGO$4</xm:f>
          </x14:formula1>
          <xm:sqref>PGX5:PGX23</xm:sqref>
        </x14:dataValidation>
        <x14:dataValidation type="list" allowBlank="1" showInputMessage="1" showErrorMessage="1" xr:uid="{FE3714C7-F826-42D2-9BA0-F36C5C21A366}">
          <x14:formula1>
            <xm:f>項目!A$4:$PGO20</xm:f>
          </x14:formula1>
          <xm:sqref>PGX24</xm:sqref>
        </x14:dataValidation>
        <x14:dataValidation type="list" allowBlank="1" showInputMessage="1" showErrorMessage="1" xr:uid="{BAB2873F-90DF-4CF9-9026-C2347EDB6FA8}">
          <x14:formula1>
            <xm:f>項目!A2:$PQK$4</xm:f>
          </x14:formula1>
          <xm:sqref>PQT5:PQT23</xm:sqref>
        </x14:dataValidation>
        <x14:dataValidation type="list" allowBlank="1" showInputMessage="1" showErrorMessage="1" xr:uid="{9373A6FF-6048-438A-9347-F0F6CC5F47CC}">
          <x14:formula1>
            <xm:f>項目!A$4:$PQK20</xm:f>
          </x14:formula1>
          <xm:sqref>PQT24</xm:sqref>
        </x14:dataValidation>
        <x14:dataValidation type="list" allowBlank="1" showInputMessage="1" showErrorMessage="1" xr:uid="{23DBAD28-2130-4686-8201-5A9AC7F51AFF}">
          <x14:formula1>
            <xm:f>項目!A2:$QAG$4</xm:f>
          </x14:formula1>
          <xm:sqref>QAP5:QAP23</xm:sqref>
        </x14:dataValidation>
        <x14:dataValidation type="list" allowBlank="1" showInputMessage="1" showErrorMessage="1" xr:uid="{83AC7BBD-0F3E-4642-B16F-631D1E0EC1C7}">
          <x14:formula1>
            <xm:f>項目!A$4:$QAG20</xm:f>
          </x14:formula1>
          <xm:sqref>QAP24</xm:sqref>
        </x14:dataValidation>
        <x14:dataValidation type="list" allowBlank="1" showInputMessage="1" showErrorMessage="1" xr:uid="{CC26AB0C-3429-427B-A751-12AD26FD9E09}">
          <x14:formula1>
            <xm:f>項目!A2:$QKC$4</xm:f>
          </x14:formula1>
          <xm:sqref>QKL5:QKL23</xm:sqref>
        </x14:dataValidation>
        <x14:dataValidation type="list" allowBlank="1" showInputMessage="1" showErrorMessage="1" xr:uid="{59DC744D-2DEA-4274-BF5E-DA02EDB94B0F}">
          <x14:formula1>
            <xm:f>項目!A$4:$QKC20</xm:f>
          </x14:formula1>
          <xm:sqref>QKL24</xm:sqref>
        </x14:dataValidation>
        <x14:dataValidation type="list" allowBlank="1" showInputMessage="1" showErrorMessage="1" xr:uid="{1035483A-19BF-42F1-A083-725485AD5FA8}">
          <x14:formula1>
            <xm:f>項目!A2:$QTY$4</xm:f>
          </x14:formula1>
          <xm:sqref>QUH5:QUH23</xm:sqref>
        </x14:dataValidation>
        <x14:dataValidation type="list" allowBlank="1" showInputMessage="1" showErrorMessage="1" xr:uid="{50B4BB41-8429-42E3-B0DA-87D0618981EA}">
          <x14:formula1>
            <xm:f>項目!A$4:$QTY20</xm:f>
          </x14:formula1>
          <xm:sqref>QUH24</xm:sqref>
        </x14:dataValidation>
        <x14:dataValidation type="list" allowBlank="1" showInputMessage="1" showErrorMessage="1" xr:uid="{28ACE73A-06B4-47C1-9A92-B32A6919FBD9}">
          <x14:formula1>
            <xm:f>項目!A2:$RDU$4</xm:f>
          </x14:formula1>
          <xm:sqref>RED5:RED23</xm:sqref>
        </x14:dataValidation>
        <x14:dataValidation type="list" allowBlank="1" showInputMessage="1" showErrorMessage="1" xr:uid="{679D7831-4337-4B65-8FDA-C950A18A3AF2}">
          <x14:formula1>
            <xm:f>項目!A$4:$RDU20</xm:f>
          </x14:formula1>
          <xm:sqref>RED24</xm:sqref>
        </x14:dataValidation>
        <x14:dataValidation type="list" allowBlank="1" showInputMessage="1" showErrorMessage="1" xr:uid="{54F1A523-1E5E-4205-B30B-B58F271301B6}">
          <x14:formula1>
            <xm:f>項目!A2:$RNQ$4</xm:f>
          </x14:formula1>
          <xm:sqref>RNZ5:RNZ23</xm:sqref>
        </x14:dataValidation>
        <x14:dataValidation type="list" allowBlank="1" showInputMessage="1" showErrorMessage="1" xr:uid="{5DDFBC10-8CD3-4413-828C-A007D242C9A5}">
          <x14:formula1>
            <xm:f>項目!A$4:$RNQ20</xm:f>
          </x14:formula1>
          <xm:sqref>RNZ24</xm:sqref>
        </x14:dataValidation>
        <x14:dataValidation type="list" allowBlank="1" showInputMessage="1" showErrorMessage="1" xr:uid="{32E2D714-4405-4782-8AEA-ECB2839B9132}">
          <x14:formula1>
            <xm:f>項目!A2:$RXM$4</xm:f>
          </x14:formula1>
          <xm:sqref>RXV5:RXV23</xm:sqref>
        </x14:dataValidation>
        <x14:dataValidation type="list" allowBlank="1" showInputMessage="1" showErrorMessage="1" xr:uid="{2F3EF702-9CE9-4C46-AF85-753E61D8BB88}">
          <x14:formula1>
            <xm:f>項目!A$4:$RXM20</xm:f>
          </x14:formula1>
          <xm:sqref>RXV24</xm:sqref>
        </x14:dataValidation>
        <x14:dataValidation type="list" allowBlank="1" showInputMessage="1" showErrorMessage="1" xr:uid="{C2E9DD9D-B0AB-4BB2-BC88-9EA1BCA02B32}">
          <x14:formula1>
            <xm:f>項目!A2:$SHI$4</xm:f>
          </x14:formula1>
          <xm:sqref>SHR5:SHR23</xm:sqref>
        </x14:dataValidation>
        <x14:dataValidation type="list" allowBlank="1" showInputMessage="1" showErrorMessage="1" xr:uid="{6FB9839D-39F2-4AF3-BEE5-34AD336A55BE}">
          <x14:formula1>
            <xm:f>項目!A$4:$SHI20</xm:f>
          </x14:formula1>
          <xm:sqref>SHR24</xm:sqref>
        </x14:dataValidation>
        <x14:dataValidation type="list" allowBlank="1" showInputMessage="1" showErrorMessage="1" xr:uid="{9804D51E-4D21-4BBC-B7E8-E805D9CF7DFC}">
          <x14:formula1>
            <xm:f>項目!A2:$SRE$4</xm:f>
          </x14:formula1>
          <xm:sqref>SRN5:SRN23</xm:sqref>
        </x14:dataValidation>
        <x14:dataValidation type="list" allowBlank="1" showInputMessage="1" showErrorMessage="1" xr:uid="{9FF22D9D-0353-46B3-A3B9-816E03777143}">
          <x14:formula1>
            <xm:f>項目!A$4:$SRE20</xm:f>
          </x14:formula1>
          <xm:sqref>SRN24</xm:sqref>
        </x14:dataValidation>
        <x14:dataValidation type="list" allowBlank="1" showInputMessage="1" showErrorMessage="1" xr:uid="{67E34099-CDDF-4B9D-A2E6-27D280A6D1E1}">
          <x14:formula1>
            <xm:f>項目!A2:$TBA$4</xm:f>
          </x14:formula1>
          <xm:sqref>TBJ5:TBJ23</xm:sqref>
        </x14:dataValidation>
        <x14:dataValidation type="list" allowBlank="1" showInputMessage="1" showErrorMessage="1" xr:uid="{673F7B17-9B9F-4F9E-89DA-47609FF200A7}">
          <x14:formula1>
            <xm:f>項目!A$4:$TBA20</xm:f>
          </x14:formula1>
          <xm:sqref>TBJ24</xm:sqref>
        </x14:dataValidation>
        <x14:dataValidation type="list" allowBlank="1" showInputMessage="1" showErrorMessage="1" xr:uid="{135EE5C7-2860-441C-BE53-D21212ABE8E2}">
          <x14:formula1>
            <xm:f>項目!A2:$TKW$4</xm:f>
          </x14:formula1>
          <xm:sqref>TLF5:TLF23</xm:sqref>
        </x14:dataValidation>
        <x14:dataValidation type="list" allowBlank="1" showInputMessage="1" showErrorMessage="1" xr:uid="{9A064EEA-DA6E-4896-B5EA-6D1E235AE7B9}">
          <x14:formula1>
            <xm:f>項目!A$4:$TKW20</xm:f>
          </x14:formula1>
          <xm:sqref>TLF24</xm:sqref>
        </x14:dataValidation>
        <x14:dataValidation type="list" allowBlank="1" showInputMessage="1" showErrorMessage="1" xr:uid="{D8BD0821-14F2-4020-8F91-5BFEE69BCD58}">
          <x14:formula1>
            <xm:f>項目!A2:$TUS$4</xm:f>
          </x14:formula1>
          <xm:sqref>TVB5:TVB23</xm:sqref>
        </x14:dataValidation>
        <x14:dataValidation type="list" allowBlank="1" showInputMessage="1" showErrorMessage="1" xr:uid="{3A61D206-B140-45EC-8D14-9C5A976BF46A}">
          <x14:formula1>
            <xm:f>項目!A$4:$TUS20</xm:f>
          </x14:formula1>
          <xm:sqref>TVB24</xm:sqref>
        </x14:dataValidation>
        <x14:dataValidation type="list" allowBlank="1" showInputMessage="1" showErrorMessage="1" xr:uid="{3C9A8218-7D5F-4DE6-AA3F-71AF462D3316}">
          <x14:formula1>
            <xm:f>項目!A2:$UEO$4</xm:f>
          </x14:formula1>
          <xm:sqref>UEX5:UEX23</xm:sqref>
        </x14:dataValidation>
        <x14:dataValidation type="list" allowBlank="1" showInputMessage="1" showErrorMessage="1" xr:uid="{E45CD1B1-BC9C-4FCB-900B-69D46F809525}">
          <x14:formula1>
            <xm:f>項目!A$4:$UEO20</xm:f>
          </x14:formula1>
          <xm:sqref>UEX24</xm:sqref>
        </x14:dataValidation>
        <x14:dataValidation type="list" allowBlank="1" showInputMessage="1" showErrorMessage="1" xr:uid="{76176611-53C1-47E3-B6FE-E74BDCFAC313}">
          <x14:formula1>
            <xm:f>項目!A2:$UOK$4</xm:f>
          </x14:formula1>
          <xm:sqref>UOT5:UOT23</xm:sqref>
        </x14:dataValidation>
        <x14:dataValidation type="list" allowBlank="1" showInputMessage="1" showErrorMessage="1" xr:uid="{708843F4-0129-40E6-B150-76562AA19AB4}">
          <x14:formula1>
            <xm:f>項目!A$4:$UOK20</xm:f>
          </x14:formula1>
          <xm:sqref>UOT24</xm:sqref>
        </x14:dataValidation>
        <x14:dataValidation type="list" allowBlank="1" showInputMessage="1" showErrorMessage="1" xr:uid="{034B889E-9BB0-42E8-91DC-9768F5168308}">
          <x14:formula1>
            <xm:f>項目!A2:$UYG$4</xm:f>
          </x14:formula1>
          <xm:sqref>UYP5:UYP23</xm:sqref>
        </x14:dataValidation>
        <x14:dataValidation type="list" allowBlank="1" showInputMessage="1" showErrorMessage="1" xr:uid="{E8269654-F11A-4A79-9632-0382A243C73A}">
          <x14:formula1>
            <xm:f>項目!A$4:$UYG20</xm:f>
          </x14:formula1>
          <xm:sqref>UYP24</xm:sqref>
        </x14:dataValidation>
        <x14:dataValidation type="list" allowBlank="1" showInputMessage="1" showErrorMessage="1" xr:uid="{E250EE3F-61EE-4B4D-86D7-0EA60634A709}">
          <x14:formula1>
            <xm:f>項目!A2:$VIC$4</xm:f>
          </x14:formula1>
          <xm:sqref>VIL5:VIL23</xm:sqref>
        </x14:dataValidation>
        <x14:dataValidation type="list" allowBlank="1" showInputMessage="1" showErrorMessage="1" xr:uid="{761187DB-7B1B-4D40-B871-EAA96DD1CF1C}">
          <x14:formula1>
            <xm:f>項目!A$4:$VIC20</xm:f>
          </x14:formula1>
          <xm:sqref>VIL24</xm:sqref>
        </x14:dataValidation>
        <x14:dataValidation type="list" allowBlank="1" showInputMessage="1" showErrorMessage="1" xr:uid="{448A9048-615E-4465-8D5C-C0AF4B67D91E}">
          <x14:formula1>
            <xm:f>項目!A2:$VRY$4</xm:f>
          </x14:formula1>
          <xm:sqref>VSH5:VSH23</xm:sqref>
        </x14:dataValidation>
        <x14:dataValidation type="list" allowBlank="1" showInputMessage="1" showErrorMessage="1" xr:uid="{B88892E8-DEAB-43BD-969F-94CFD3E3BAAC}">
          <x14:formula1>
            <xm:f>項目!A$4:$VRY20</xm:f>
          </x14:formula1>
          <xm:sqref>VSH24</xm:sqref>
        </x14:dataValidation>
        <x14:dataValidation type="list" allowBlank="1" showInputMessage="1" showErrorMessage="1" xr:uid="{7538761A-9FB0-44E0-B6E2-492F90FC28B2}">
          <x14:formula1>
            <xm:f>項目!A2:$WBU$4</xm:f>
          </x14:formula1>
          <xm:sqref>WCD5:WCD23</xm:sqref>
        </x14:dataValidation>
        <x14:dataValidation type="list" allowBlank="1" showInputMessage="1" showErrorMessage="1" xr:uid="{7C84744D-F117-458D-AAC6-1A6B4F7C2C9E}">
          <x14:formula1>
            <xm:f>項目!A$4:$WBU20</xm:f>
          </x14:formula1>
          <xm:sqref>WCD24</xm:sqref>
        </x14:dataValidation>
        <x14:dataValidation type="list" allowBlank="1" showInputMessage="1" showErrorMessage="1" xr:uid="{FA7A33C6-86DE-45C6-B494-3B2DDC436A80}">
          <x14:formula1>
            <xm:f>項目!A2:$WLQ$4</xm:f>
          </x14:formula1>
          <xm:sqref>WLZ5:WLZ23</xm:sqref>
        </x14:dataValidation>
        <x14:dataValidation type="list" allowBlank="1" showInputMessage="1" showErrorMessage="1" xr:uid="{BEBBC61A-DFC0-4486-BE98-389AF7653B16}">
          <x14:formula1>
            <xm:f>項目!A$4:$WLQ20</xm:f>
          </x14:formula1>
          <xm:sqref>WLZ24</xm:sqref>
        </x14:dataValidation>
        <x14:dataValidation type="list" allowBlank="1" showInputMessage="1" showErrorMessage="1" xr:uid="{49C780C6-F1CA-42C4-B900-A677CDBA8387}">
          <x14:formula1>
            <xm:f>項目!A2:$WVM$4</xm:f>
          </x14:formula1>
          <xm:sqref>WVV5:WVV23</xm:sqref>
        </x14:dataValidation>
        <x14:dataValidation type="list" allowBlank="1" showInputMessage="1" showErrorMessage="1" xr:uid="{143152ED-49B3-48AF-AC5E-4233283B12E5}">
          <x14:formula1>
            <xm:f>項目!A$4:$WVM20</xm:f>
          </x14:formula1>
          <xm:sqref>WVV24</xm:sqref>
        </x14:dataValidation>
        <x14:dataValidation type="list" allowBlank="1" showInputMessage="1" showErrorMessage="1" xr:uid="{95B75DB8-196E-40DC-B87B-329E03C7EC6E}">
          <x14:formula1>
            <xm:f>項目!A2:$SO$4</xm:f>
          </x14:formula1>
          <xm:sqref>SX5:SX23</xm:sqref>
        </x14:dataValidation>
        <x14:dataValidation type="list" allowBlank="1" showInputMessage="1" showErrorMessage="1" xr:uid="{06B3235A-D5F8-4502-8A63-319EFAEC7547}">
          <x14:formula1>
            <xm:f>項目!A$4:$SO20</xm:f>
          </x14:formula1>
          <xm:sqref>SX24</xm:sqref>
        </x14:dataValidation>
        <x14:dataValidation type="list" allowBlank="1" showInputMessage="1" showErrorMessage="1" xr:uid="{FCC488FB-AE0E-4934-B8D3-54A162DE9BED}">
          <x14:formula1>
            <xm:f>項目!A2:$JE$4</xm:f>
          </x14:formula1>
          <xm:sqref>JN5:JN23</xm:sqref>
        </x14:dataValidation>
        <x14:dataValidation type="list" allowBlank="1" showInputMessage="1" showErrorMessage="1" xr:uid="{BCBA99A8-B330-4164-95E8-503CEA1C5167}">
          <x14:formula1>
            <xm:f>項目!A$4:$JE20</xm:f>
          </x14:formula1>
          <xm:sqref>JN24</xm:sqref>
        </x14:dataValidation>
        <x14:dataValidation type="list" allowBlank="1" showInputMessage="1" showErrorMessage="1" xr:uid="{F82AA525-BB20-4493-A0CA-905C191FA854}">
          <x14:formula1>
            <xm:f>項目!A2:$TA$4</xm:f>
          </x14:formula1>
          <xm:sqref>TJ5:TJ23</xm:sqref>
        </x14:dataValidation>
        <x14:dataValidation type="list" allowBlank="1" showInputMessage="1" showErrorMessage="1" xr:uid="{C9BFBF37-E54A-40E5-AB8A-CB44176876C7}">
          <x14:formula1>
            <xm:f>項目!A$4:$TA20</xm:f>
          </x14:formula1>
          <xm:sqref>TJ24</xm:sqref>
        </x14:dataValidation>
        <x14:dataValidation type="list" allowBlank="1" showInputMessage="1" showErrorMessage="1" xr:uid="{8344A075-A1FC-4B21-9A1C-4A049DB91CBC}">
          <x14:formula1>
            <xm:f>項目!A2:$ACW$4</xm:f>
          </x14:formula1>
          <xm:sqref>ADF5:ADF23</xm:sqref>
        </x14:dataValidation>
        <x14:dataValidation type="list" allowBlank="1" showInputMessage="1" showErrorMessage="1" xr:uid="{CFD5FB9C-B15F-461C-9230-279E250C7423}">
          <x14:formula1>
            <xm:f>項目!A$4:$ACW20</xm:f>
          </x14:formula1>
          <xm:sqref>ADF24</xm:sqref>
        </x14:dataValidation>
        <x14:dataValidation type="list" allowBlank="1" showInputMessage="1" showErrorMessage="1" xr:uid="{359CC019-00AD-4395-959E-FC0A64EAD3E7}">
          <x14:formula1>
            <xm:f>項目!A2:$AMS$4</xm:f>
          </x14:formula1>
          <xm:sqref>ANB5:ANB23</xm:sqref>
        </x14:dataValidation>
        <x14:dataValidation type="list" allowBlank="1" showInputMessage="1" showErrorMessage="1" xr:uid="{AE2CDCB7-0568-4606-B4F6-AED4F45125D9}">
          <x14:formula1>
            <xm:f>項目!A$4:$AMS20</xm:f>
          </x14:formula1>
          <xm:sqref>ANB24</xm:sqref>
        </x14:dataValidation>
        <x14:dataValidation type="list" allowBlank="1" showInputMessage="1" showErrorMessage="1" xr:uid="{928748AA-4E34-47EA-95B4-083BE6866EB7}">
          <x14:formula1>
            <xm:f>項目!A2:$AWO$4</xm:f>
          </x14:formula1>
          <xm:sqref>AWX5:AWX23</xm:sqref>
        </x14:dataValidation>
        <x14:dataValidation type="list" allowBlank="1" showInputMessage="1" showErrorMessage="1" xr:uid="{D8564A39-BC3F-4BDB-B509-97A0C4FC5103}">
          <x14:formula1>
            <xm:f>項目!A$4:$AWO20</xm:f>
          </x14:formula1>
          <xm:sqref>AWX24</xm:sqref>
        </x14:dataValidation>
        <x14:dataValidation type="list" allowBlank="1" showInputMessage="1" showErrorMessage="1" xr:uid="{F1B7E4A2-29FF-44CA-882A-469BF1E70ECE}">
          <x14:formula1>
            <xm:f>項目!A2:$BGK$4</xm:f>
          </x14:formula1>
          <xm:sqref>BGT5:BGT23</xm:sqref>
        </x14:dataValidation>
        <x14:dataValidation type="list" allowBlank="1" showInputMessage="1" showErrorMessage="1" xr:uid="{5BFAE636-4674-4683-A071-ACEADE70E794}">
          <x14:formula1>
            <xm:f>項目!A$4:$BGK20</xm:f>
          </x14:formula1>
          <xm:sqref>BGT24</xm:sqref>
        </x14:dataValidation>
        <x14:dataValidation type="list" allowBlank="1" showInputMessage="1" showErrorMessage="1" xr:uid="{FB9FEB6B-602E-4DE0-92F6-DE1C6C967D0F}">
          <x14:formula1>
            <xm:f>項目!A2:$BQG$4</xm:f>
          </x14:formula1>
          <xm:sqref>BQP5:BQP23</xm:sqref>
        </x14:dataValidation>
        <x14:dataValidation type="list" allowBlank="1" showInputMessage="1" showErrorMessage="1" xr:uid="{E005E210-10DC-4E58-A027-92A35615D005}">
          <x14:formula1>
            <xm:f>項目!A$4:$BQG20</xm:f>
          </x14:formula1>
          <xm:sqref>BQP24</xm:sqref>
        </x14:dataValidation>
        <x14:dataValidation type="list" allowBlank="1" showInputMessage="1" showErrorMessage="1" xr:uid="{7673DEF8-9354-497C-BB74-90A592FFC95C}">
          <x14:formula1>
            <xm:f>項目!A2:$CAC$4</xm:f>
          </x14:formula1>
          <xm:sqref>CAL5:CAL23</xm:sqref>
        </x14:dataValidation>
        <x14:dataValidation type="list" allowBlank="1" showInputMessage="1" showErrorMessage="1" xr:uid="{39CA1E18-9E89-4C82-A135-EC53E307AF39}">
          <x14:formula1>
            <xm:f>項目!A$4:$CAC20</xm:f>
          </x14:formula1>
          <xm:sqref>CAL24</xm:sqref>
        </x14:dataValidation>
        <x14:dataValidation type="list" allowBlank="1" showInputMessage="1" showErrorMessage="1" xr:uid="{5C2503A7-011F-49C7-9F0B-E7CA0CC49186}">
          <x14:formula1>
            <xm:f>項目!A2:$CJY$4</xm:f>
          </x14:formula1>
          <xm:sqref>CKH5:CKH23</xm:sqref>
        </x14:dataValidation>
        <x14:dataValidation type="list" allowBlank="1" showInputMessage="1" showErrorMessage="1" xr:uid="{E95E1245-5F7D-4151-8210-75C72375C4A1}">
          <x14:formula1>
            <xm:f>項目!A$4:$CJY20</xm:f>
          </x14:formula1>
          <xm:sqref>CKH24</xm:sqref>
        </x14:dataValidation>
        <x14:dataValidation type="list" allowBlank="1" showInputMessage="1" showErrorMessage="1" xr:uid="{15A6EBC9-AA35-437F-A74B-F4A45C5C89C9}">
          <x14:formula1>
            <xm:f>項目!A2:$CTU$4</xm:f>
          </x14:formula1>
          <xm:sqref>CUD5:CUD23</xm:sqref>
        </x14:dataValidation>
        <x14:dataValidation type="list" allowBlank="1" showInputMessage="1" showErrorMessage="1" xr:uid="{65B6ADBF-C4A5-49E9-BD56-2109434C6DCF}">
          <x14:formula1>
            <xm:f>項目!A$4:$CTU20</xm:f>
          </x14:formula1>
          <xm:sqref>CUD24</xm:sqref>
        </x14:dataValidation>
        <x14:dataValidation type="list" allowBlank="1" showInputMessage="1" showErrorMessage="1" xr:uid="{989C1B79-7BBF-4319-BB83-4737DA98441C}">
          <x14:formula1>
            <xm:f>項目!A2:$DDQ$4</xm:f>
          </x14:formula1>
          <xm:sqref>DDZ5:DDZ23</xm:sqref>
        </x14:dataValidation>
        <x14:dataValidation type="list" allowBlank="1" showInputMessage="1" showErrorMessage="1" xr:uid="{0F1184C6-633E-4A6F-9D0B-5C9753CB30A9}">
          <x14:formula1>
            <xm:f>項目!A$4:$DDQ20</xm:f>
          </x14:formula1>
          <xm:sqref>DDZ24</xm:sqref>
        </x14:dataValidation>
        <x14:dataValidation type="list" allowBlank="1" showInputMessage="1" showErrorMessage="1" xr:uid="{5E3EBD61-2619-4AAA-8F3F-F5F7F8FA9D55}">
          <x14:formula1>
            <xm:f>項目!A2:$DNM$4</xm:f>
          </x14:formula1>
          <xm:sqref>DNV5:DNV23</xm:sqref>
        </x14:dataValidation>
        <x14:dataValidation type="list" allowBlank="1" showInputMessage="1" showErrorMessage="1" xr:uid="{5CE247EA-EFF5-4275-AB45-379150664A14}">
          <x14:formula1>
            <xm:f>項目!A$4:$DNM20</xm:f>
          </x14:formula1>
          <xm:sqref>DNV24</xm:sqref>
        </x14:dataValidation>
        <x14:dataValidation type="list" allowBlank="1" showInputMessage="1" showErrorMessage="1" xr:uid="{2B3E3C12-6211-4887-9A07-93BCF892BB4E}">
          <x14:formula1>
            <xm:f>項目!A2:$DXI$4</xm:f>
          </x14:formula1>
          <xm:sqref>DXR5:DXR23</xm:sqref>
        </x14:dataValidation>
        <x14:dataValidation type="list" allowBlank="1" showInputMessage="1" showErrorMessage="1" xr:uid="{9EF95E10-6909-4AD0-B151-B7A8040661FE}">
          <x14:formula1>
            <xm:f>項目!A$4:$DXI20</xm:f>
          </x14:formula1>
          <xm:sqref>DXR24</xm:sqref>
        </x14:dataValidation>
        <x14:dataValidation type="list" allowBlank="1" showInputMessage="1" showErrorMessage="1" xr:uid="{332BEA8D-BEA7-44BA-BC8B-106C451CD870}">
          <x14:formula1>
            <xm:f>項目!A2:$EHE$4</xm:f>
          </x14:formula1>
          <xm:sqref>EHN5:EHN23</xm:sqref>
        </x14:dataValidation>
        <x14:dataValidation type="list" allowBlank="1" showInputMessage="1" showErrorMessage="1" xr:uid="{99D1EBC2-E5D6-4145-A345-2FFA7F7D2BCE}">
          <x14:formula1>
            <xm:f>項目!A$4:$EHE20</xm:f>
          </x14:formula1>
          <xm:sqref>EHN24</xm:sqref>
        </x14:dataValidation>
        <x14:dataValidation type="list" allowBlank="1" showInputMessage="1" showErrorMessage="1" xr:uid="{6407D613-74C8-4963-BE89-F574F8830A6A}">
          <x14:formula1>
            <xm:f>項目!A2:$ERA$4</xm:f>
          </x14:formula1>
          <xm:sqref>ERJ5:ERJ23</xm:sqref>
        </x14:dataValidation>
        <x14:dataValidation type="list" allowBlank="1" showInputMessage="1" showErrorMessage="1" xr:uid="{1DAE554C-D489-4AF2-B9C6-EAF15F4D0F96}">
          <x14:formula1>
            <xm:f>項目!A$4:$ERA20</xm:f>
          </x14:formula1>
          <xm:sqref>ERJ24</xm:sqref>
        </x14:dataValidation>
        <x14:dataValidation type="list" allowBlank="1" showInputMessage="1" showErrorMessage="1" xr:uid="{CA007E16-4F53-47F3-A565-74E19AA539B0}">
          <x14:formula1>
            <xm:f>項目!A2:$FAW$4</xm:f>
          </x14:formula1>
          <xm:sqref>FBF5:FBF23</xm:sqref>
        </x14:dataValidation>
        <x14:dataValidation type="list" allowBlank="1" showInputMessage="1" showErrorMessage="1" xr:uid="{F26911C2-ACF5-4C2C-8BB8-2B5AB6645DB8}">
          <x14:formula1>
            <xm:f>項目!A$4:$FAW20</xm:f>
          </x14:formula1>
          <xm:sqref>FBF24</xm:sqref>
        </x14:dataValidation>
        <x14:dataValidation type="list" allowBlank="1" showInputMessage="1" showErrorMessage="1" xr:uid="{8ECAEF7E-185B-4203-9CE3-EF970B0A94E6}">
          <x14:formula1>
            <xm:f>項目!A2:$FKS$4</xm:f>
          </x14:formula1>
          <xm:sqref>FLB5:FLB23</xm:sqref>
        </x14:dataValidation>
        <x14:dataValidation type="list" allowBlank="1" showInputMessage="1" showErrorMessage="1" xr:uid="{987F0F97-6566-4907-BF15-2CF5E32488E9}">
          <x14:formula1>
            <xm:f>項目!A$4:$FKS20</xm:f>
          </x14:formula1>
          <xm:sqref>FLB24</xm:sqref>
        </x14:dataValidation>
        <x14:dataValidation type="list" allowBlank="1" showInputMessage="1" showErrorMessage="1" xr:uid="{289E3733-5DAC-4BBF-9AED-A8B3590FCE3B}">
          <x14:formula1>
            <xm:f>項目!A2:$FUO$4</xm:f>
          </x14:formula1>
          <xm:sqref>FUX5:FUX23</xm:sqref>
        </x14:dataValidation>
        <x14:dataValidation type="list" allowBlank="1" showInputMessage="1" showErrorMessage="1" xr:uid="{47D1AF50-5EB6-4FA1-B413-0CB56752206C}">
          <x14:formula1>
            <xm:f>項目!A$4:$FUO20</xm:f>
          </x14:formula1>
          <xm:sqref>FUX24</xm:sqref>
        </x14:dataValidation>
        <x14:dataValidation type="list" allowBlank="1" showInputMessage="1" showErrorMessage="1" xr:uid="{AD3E27F9-4708-415F-8F5C-2B2C3B41CC4F}">
          <x14:formula1>
            <xm:f>項目!A2:$GEK$4</xm:f>
          </x14:formula1>
          <xm:sqref>GET5:GET23</xm:sqref>
        </x14:dataValidation>
        <x14:dataValidation type="list" allowBlank="1" showInputMessage="1" showErrorMessage="1" xr:uid="{3A1BB4B1-4D40-419E-B15A-20A325B35C11}">
          <x14:formula1>
            <xm:f>項目!A$4:$GEK20</xm:f>
          </x14:formula1>
          <xm:sqref>GET24</xm:sqref>
        </x14:dataValidation>
        <x14:dataValidation type="list" allowBlank="1" showInputMessage="1" showErrorMessage="1" xr:uid="{284EC529-7EBD-4888-89C9-37F8B00954BA}">
          <x14:formula1>
            <xm:f>項目!A2:$GOG$4</xm:f>
          </x14:formula1>
          <xm:sqref>GOP5:GOP23</xm:sqref>
        </x14:dataValidation>
        <x14:dataValidation type="list" allowBlank="1" showInputMessage="1" showErrorMessage="1" xr:uid="{BFD889E9-1AE7-40C7-AA1A-1CB83BED5DAF}">
          <x14:formula1>
            <xm:f>項目!A$4:$GOG20</xm:f>
          </x14:formula1>
          <xm:sqref>GOP24</xm:sqref>
        </x14:dataValidation>
        <x14:dataValidation type="list" allowBlank="1" showInputMessage="1" showErrorMessage="1" xr:uid="{199C2764-3E0B-4811-86C5-A9014D9E5F3C}">
          <x14:formula1>
            <xm:f>項目!A2:$GYC$4</xm:f>
          </x14:formula1>
          <xm:sqref>GYL5:GYL23</xm:sqref>
        </x14:dataValidation>
        <x14:dataValidation type="list" allowBlank="1" showInputMessage="1" showErrorMessage="1" xr:uid="{1628CFF1-C2D6-402D-A229-8C8B15DF7DF1}">
          <x14:formula1>
            <xm:f>項目!A$4:$GYC20</xm:f>
          </x14:formula1>
          <xm:sqref>GYL24</xm:sqref>
        </x14:dataValidation>
        <x14:dataValidation type="list" allowBlank="1" showInputMessage="1" showErrorMessage="1" xr:uid="{201E2E35-133A-460E-BEFA-C166AB2746E3}">
          <x14:formula1>
            <xm:f>項目!A2:$HHY$4</xm:f>
          </x14:formula1>
          <xm:sqref>HIH5:HIH23</xm:sqref>
        </x14:dataValidation>
        <x14:dataValidation type="list" allowBlank="1" showInputMessage="1" showErrorMessage="1" xr:uid="{F29431B1-5A7A-45DB-932C-17F92E277C1F}">
          <x14:formula1>
            <xm:f>項目!A$4:$HHY20</xm:f>
          </x14:formula1>
          <xm:sqref>HIH24</xm:sqref>
        </x14:dataValidation>
        <x14:dataValidation type="list" allowBlank="1" showInputMessage="1" showErrorMessage="1" xr:uid="{7DA04BC8-6969-4356-B1BE-B2E5411F3A6A}">
          <x14:formula1>
            <xm:f>項目!A2:$HRU$4</xm:f>
          </x14:formula1>
          <xm:sqref>HSD5:HSD23</xm:sqref>
        </x14:dataValidation>
        <x14:dataValidation type="list" allowBlank="1" showInputMessage="1" showErrorMessage="1" xr:uid="{BE6929A1-C524-46D6-AC59-84D76C4F7F49}">
          <x14:formula1>
            <xm:f>項目!A$4:$HRU20</xm:f>
          </x14:formula1>
          <xm:sqref>HSD24</xm:sqref>
        </x14:dataValidation>
        <x14:dataValidation type="list" allowBlank="1" showInputMessage="1" showErrorMessage="1" xr:uid="{A9A8DF51-32A5-4265-9CBC-A135B2284C9C}">
          <x14:formula1>
            <xm:f>項目!A2:$IBQ$4</xm:f>
          </x14:formula1>
          <xm:sqref>IBZ5:IBZ23</xm:sqref>
        </x14:dataValidation>
        <x14:dataValidation type="list" allowBlank="1" showInputMessage="1" showErrorMessage="1" xr:uid="{3545AB26-2BD6-42CA-99FD-1588D60464B6}">
          <x14:formula1>
            <xm:f>項目!A$4:$IBQ20</xm:f>
          </x14:formula1>
          <xm:sqref>IBZ24</xm:sqref>
        </x14:dataValidation>
        <x14:dataValidation type="list" allowBlank="1" showInputMessage="1" showErrorMessage="1" xr:uid="{6ECD959E-270C-46C3-BDFB-B366F3ABA2FF}">
          <x14:formula1>
            <xm:f>項目!A2:$ILM$4</xm:f>
          </x14:formula1>
          <xm:sqref>ILV5:ILV23</xm:sqref>
        </x14:dataValidation>
        <x14:dataValidation type="list" allowBlank="1" showInputMessage="1" showErrorMessage="1" xr:uid="{6C424F6F-268F-4FE5-BCC3-35924BE065DB}">
          <x14:formula1>
            <xm:f>項目!A$4:$ILM20</xm:f>
          </x14:formula1>
          <xm:sqref>ILV24</xm:sqref>
        </x14:dataValidation>
        <x14:dataValidation type="list" allowBlank="1" showInputMessage="1" showErrorMessage="1" xr:uid="{AE45CB1B-55A1-48BA-9E65-7FEDB7C6904D}">
          <x14:formula1>
            <xm:f>項目!A2:$IVI$4</xm:f>
          </x14:formula1>
          <xm:sqref>IVR5:IVR23</xm:sqref>
        </x14:dataValidation>
        <x14:dataValidation type="list" allowBlank="1" showInputMessage="1" showErrorMessage="1" xr:uid="{EA1431BA-793F-4C04-A966-A816AC52063C}">
          <x14:formula1>
            <xm:f>項目!A$4:$IVI20</xm:f>
          </x14:formula1>
          <xm:sqref>IVR24</xm:sqref>
        </x14:dataValidation>
        <x14:dataValidation type="list" allowBlank="1" showInputMessage="1" showErrorMessage="1" xr:uid="{EBBD4072-92F7-400E-81A2-429B2CD4DFDD}">
          <x14:formula1>
            <xm:f>項目!A2:$JFE$4</xm:f>
          </x14:formula1>
          <xm:sqref>JFN5:JFN23</xm:sqref>
        </x14:dataValidation>
        <x14:dataValidation type="list" allowBlank="1" showInputMessage="1" showErrorMessage="1" xr:uid="{2F0651C1-0A9F-40A2-B448-0FAC445E80EE}">
          <x14:formula1>
            <xm:f>項目!A$4:$JFE20</xm:f>
          </x14:formula1>
          <xm:sqref>JFN24</xm:sqref>
        </x14:dataValidation>
        <x14:dataValidation type="list" allowBlank="1" showInputMessage="1" showErrorMessage="1" xr:uid="{375B73E6-7BFF-4389-B216-5FFAE007B777}">
          <x14:formula1>
            <xm:f>項目!A2:$JPA$4</xm:f>
          </x14:formula1>
          <xm:sqref>JPJ5:JPJ23</xm:sqref>
        </x14:dataValidation>
        <x14:dataValidation type="list" allowBlank="1" showInputMessage="1" showErrorMessage="1" xr:uid="{69CF2BE7-5E49-49B6-AAB1-829BF6DC0BFE}">
          <x14:formula1>
            <xm:f>項目!A$4:$JPA20</xm:f>
          </x14:formula1>
          <xm:sqref>JPJ24</xm:sqref>
        </x14:dataValidation>
        <x14:dataValidation type="list" allowBlank="1" showInputMessage="1" showErrorMessage="1" xr:uid="{C749B2D2-701C-4610-948E-90978D8DC17E}">
          <x14:formula1>
            <xm:f>項目!A2:$JYW$4</xm:f>
          </x14:formula1>
          <xm:sqref>JZF5:JZF23</xm:sqref>
        </x14:dataValidation>
        <x14:dataValidation type="list" allowBlank="1" showInputMessage="1" showErrorMessage="1" xr:uid="{5A5EC5EF-CA91-4DA5-98D8-375498579266}">
          <x14:formula1>
            <xm:f>項目!A$4:$JYW20</xm:f>
          </x14:formula1>
          <xm:sqref>JZF24</xm:sqref>
        </x14:dataValidation>
        <x14:dataValidation type="list" allowBlank="1" showInputMessage="1" showErrorMessage="1" xr:uid="{4A8258CE-35A9-4280-9190-4450E88A2A13}">
          <x14:formula1>
            <xm:f>項目!A2:$KIS$4</xm:f>
          </x14:formula1>
          <xm:sqref>KJB5:KJB23</xm:sqref>
        </x14:dataValidation>
        <x14:dataValidation type="list" allowBlank="1" showInputMessage="1" showErrorMessage="1" xr:uid="{9E0772D5-3AD8-4926-BD98-3E8AFE07A9B3}">
          <x14:formula1>
            <xm:f>項目!A$4:$KIS20</xm:f>
          </x14:formula1>
          <xm:sqref>KJB24</xm:sqref>
        </x14:dataValidation>
        <x14:dataValidation type="list" allowBlank="1" showInputMessage="1" showErrorMessage="1" xr:uid="{5C1E3DB5-D757-47CE-953F-612CFA5522F9}">
          <x14:formula1>
            <xm:f>項目!A2:$KSO$4</xm:f>
          </x14:formula1>
          <xm:sqref>KSX5:KSX23</xm:sqref>
        </x14:dataValidation>
        <x14:dataValidation type="list" allowBlank="1" showInputMessage="1" showErrorMessage="1" xr:uid="{31996DEB-B471-4FB1-8B88-FFA66DA4C11A}">
          <x14:formula1>
            <xm:f>項目!A$4:$KSO20</xm:f>
          </x14:formula1>
          <xm:sqref>KSX24</xm:sqref>
        </x14:dataValidation>
        <x14:dataValidation type="list" allowBlank="1" showInputMessage="1" showErrorMessage="1" xr:uid="{13A23CF9-AFD8-4993-900E-44D2BBC923BE}">
          <x14:formula1>
            <xm:f>項目!A2:$LCK$4</xm:f>
          </x14:formula1>
          <xm:sqref>LCT5:LCT23</xm:sqref>
        </x14:dataValidation>
        <x14:dataValidation type="list" allowBlank="1" showInputMessage="1" showErrorMessage="1" xr:uid="{CE6FE0B9-0E0C-47E3-81A7-17482A589013}">
          <x14:formula1>
            <xm:f>項目!A$4:$LCK20</xm:f>
          </x14:formula1>
          <xm:sqref>LCT24</xm:sqref>
        </x14:dataValidation>
        <x14:dataValidation type="list" allowBlank="1" showInputMessage="1" showErrorMessage="1" xr:uid="{861E1E6A-B00F-4B2C-BF8E-36DF89338C8D}">
          <x14:formula1>
            <xm:f>項目!A2:$LMG$4</xm:f>
          </x14:formula1>
          <xm:sqref>LMP5:LMP23</xm:sqref>
        </x14:dataValidation>
        <x14:dataValidation type="list" allowBlank="1" showInputMessage="1" showErrorMessage="1" xr:uid="{DED12C5B-3C1E-44E4-B54B-91B18E10CEC4}">
          <x14:formula1>
            <xm:f>項目!A$4:$LMG20</xm:f>
          </x14:formula1>
          <xm:sqref>LMP24</xm:sqref>
        </x14:dataValidation>
        <x14:dataValidation type="list" allowBlank="1" showInputMessage="1" showErrorMessage="1" xr:uid="{3E4BDD92-9C68-49BA-9DB5-77DD3220705B}">
          <x14:formula1>
            <xm:f>項目!A2:$LWC$4</xm:f>
          </x14:formula1>
          <xm:sqref>LWL5:LWL23</xm:sqref>
        </x14:dataValidation>
        <x14:dataValidation type="list" allowBlank="1" showInputMessage="1" showErrorMessage="1" xr:uid="{26B137D3-022A-4DEC-B126-553108C768C6}">
          <x14:formula1>
            <xm:f>項目!A$4:$LWC20</xm:f>
          </x14:formula1>
          <xm:sqref>LWL24</xm:sqref>
        </x14:dataValidation>
        <x14:dataValidation type="list" allowBlank="1" showInputMessage="1" showErrorMessage="1" xr:uid="{C2D76071-0C0B-4704-9A4B-4C087EFAD47F}">
          <x14:formula1>
            <xm:f>項目!A2:$MFY$4</xm:f>
          </x14:formula1>
          <xm:sqref>MGH5:MGH23</xm:sqref>
        </x14:dataValidation>
        <x14:dataValidation type="list" allowBlank="1" showInputMessage="1" showErrorMessage="1" xr:uid="{8DBE4E12-6E53-4094-B81D-84FB5E601575}">
          <x14:formula1>
            <xm:f>項目!A$4:$MFY20</xm:f>
          </x14:formula1>
          <xm:sqref>MGH24</xm:sqref>
        </x14:dataValidation>
        <x14:dataValidation type="list" allowBlank="1" showInputMessage="1" showErrorMessage="1" xr:uid="{E69EF27A-5440-45DA-A364-AEC13DC15AF4}">
          <x14:formula1>
            <xm:f>項目!A2:$MPU$4</xm:f>
          </x14:formula1>
          <xm:sqref>MQD5:MQD23</xm:sqref>
        </x14:dataValidation>
        <x14:dataValidation type="list" allowBlank="1" showInputMessage="1" showErrorMessage="1" xr:uid="{CD77FF0A-2161-43F5-8794-EF6F41BFF647}">
          <x14:formula1>
            <xm:f>項目!A$4:$MPU20</xm:f>
          </x14:formula1>
          <xm:sqref>MQD24</xm:sqref>
        </x14:dataValidation>
        <x14:dataValidation type="list" allowBlank="1" showInputMessage="1" showErrorMessage="1" xr:uid="{1B6D231F-5CD3-4B93-9913-6FAE0B5CE857}">
          <x14:formula1>
            <xm:f>項目!A2:$MZQ$4</xm:f>
          </x14:formula1>
          <xm:sqref>MZZ5:MZZ23</xm:sqref>
        </x14:dataValidation>
        <x14:dataValidation type="list" allowBlank="1" showInputMessage="1" showErrorMessage="1" xr:uid="{6F86D27C-1BA6-43B3-BEEE-4E1C52385B58}">
          <x14:formula1>
            <xm:f>項目!A$4:$MZQ20</xm:f>
          </x14:formula1>
          <xm:sqref>MZZ24</xm:sqref>
        </x14:dataValidation>
        <x14:dataValidation type="list" allowBlank="1" showInputMessage="1" showErrorMessage="1" xr:uid="{D104F018-C646-4A5B-A67F-F9DCBBA0F1D4}">
          <x14:formula1>
            <xm:f>項目!A2:$NJM$4</xm:f>
          </x14:formula1>
          <xm:sqref>NJV5:NJV23</xm:sqref>
        </x14:dataValidation>
        <x14:dataValidation type="list" allowBlank="1" showInputMessage="1" showErrorMessage="1" xr:uid="{17727789-1F6E-4447-B8A1-65D01E83E36E}">
          <x14:formula1>
            <xm:f>項目!A$4:$NJM20</xm:f>
          </x14:formula1>
          <xm:sqref>NJV24</xm:sqref>
        </x14:dataValidation>
        <x14:dataValidation type="list" allowBlank="1" showInputMessage="1" showErrorMessage="1" xr:uid="{C75C7AE9-BD0D-4920-9106-C2FD5DEFE60C}">
          <x14:formula1>
            <xm:f>項目!A2:$NTI$4</xm:f>
          </x14:formula1>
          <xm:sqref>NTR5:NTR23</xm:sqref>
        </x14:dataValidation>
        <x14:dataValidation type="list" allowBlank="1" showInputMessage="1" showErrorMessage="1" xr:uid="{03C8E3F3-0AD8-415C-A4EE-1B7A57ECB80E}">
          <x14:formula1>
            <xm:f>項目!A$4:$NTI20</xm:f>
          </x14:formula1>
          <xm:sqref>NTR24</xm:sqref>
        </x14:dataValidation>
        <x14:dataValidation type="list" allowBlank="1" showInputMessage="1" showErrorMessage="1" xr:uid="{62B61D6D-C372-42B4-BED9-42131CE7AD0F}">
          <x14:formula1>
            <xm:f>項目!A2:$ODE$4</xm:f>
          </x14:formula1>
          <xm:sqref>ODN5:ODN23</xm:sqref>
        </x14:dataValidation>
        <x14:dataValidation type="list" allowBlank="1" showInputMessage="1" showErrorMessage="1" xr:uid="{E6B8398A-1DA5-4A72-8CD3-449C6050E0FD}">
          <x14:formula1>
            <xm:f>項目!A$4:$ODE20</xm:f>
          </x14:formula1>
          <xm:sqref>ODN24</xm:sqref>
        </x14:dataValidation>
        <x14:dataValidation type="list" allowBlank="1" showInputMessage="1" showErrorMessage="1" xr:uid="{62474B8F-32DA-422E-BF29-B2B1FE010EED}">
          <x14:formula1>
            <xm:f>項目!A2:$ONA$4</xm:f>
          </x14:formula1>
          <xm:sqref>ONJ5:ONJ23</xm:sqref>
        </x14:dataValidation>
        <x14:dataValidation type="list" allowBlank="1" showInputMessage="1" showErrorMessage="1" xr:uid="{7894C6F8-26ED-4B1F-A681-FC0B5B8646F8}">
          <x14:formula1>
            <xm:f>項目!A$4:$ONA20</xm:f>
          </x14:formula1>
          <xm:sqref>ONJ24</xm:sqref>
        </x14:dataValidation>
        <x14:dataValidation type="list" allowBlank="1" showInputMessage="1" showErrorMessage="1" xr:uid="{E7DA517A-2DAD-41BD-A234-06440F260028}">
          <x14:formula1>
            <xm:f>項目!A2:$OWW$4</xm:f>
          </x14:formula1>
          <xm:sqref>OXF5:OXF23</xm:sqref>
        </x14:dataValidation>
        <x14:dataValidation type="list" allowBlank="1" showInputMessage="1" showErrorMessage="1" xr:uid="{992E1981-A96E-4592-B7C2-605581257402}">
          <x14:formula1>
            <xm:f>項目!A$4:$OWW20</xm:f>
          </x14:formula1>
          <xm:sqref>OXF24</xm:sqref>
        </x14:dataValidation>
        <x14:dataValidation type="list" allowBlank="1" showInputMessage="1" showErrorMessage="1" xr:uid="{60D069B3-6E09-49FC-8FFC-BCDC52E44B2D}">
          <x14:formula1>
            <xm:f>項目!A2:$PGS$4</xm:f>
          </x14:formula1>
          <xm:sqref>PHB5:PHB23</xm:sqref>
        </x14:dataValidation>
        <x14:dataValidation type="list" allowBlank="1" showInputMessage="1" showErrorMessage="1" xr:uid="{9C6CEAB8-C79A-4314-8F23-89A77E283AFA}">
          <x14:formula1>
            <xm:f>項目!A$4:$PGS20</xm:f>
          </x14:formula1>
          <xm:sqref>PHB24</xm:sqref>
        </x14:dataValidation>
        <x14:dataValidation type="list" allowBlank="1" showInputMessage="1" showErrorMessage="1" xr:uid="{C1FC555B-167D-43F4-812B-F12C4195BC5C}">
          <x14:formula1>
            <xm:f>項目!A2:$PQO$4</xm:f>
          </x14:formula1>
          <xm:sqref>PQX5:PQX23</xm:sqref>
        </x14:dataValidation>
        <x14:dataValidation type="list" allowBlank="1" showInputMessage="1" showErrorMessage="1" xr:uid="{530C2601-685B-4F34-B4FA-90C3D63A2C8A}">
          <x14:formula1>
            <xm:f>項目!A$4:$PQO20</xm:f>
          </x14:formula1>
          <xm:sqref>PQX24</xm:sqref>
        </x14:dataValidation>
        <x14:dataValidation type="list" allowBlank="1" showInputMessage="1" showErrorMessage="1" xr:uid="{430FFBAA-A744-4837-91FE-2CE678108377}">
          <x14:formula1>
            <xm:f>項目!A2:$QAK$4</xm:f>
          </x14:formula1>
          <xm:sqref>QAT5:QAT23</xm:sqref>
        </x14:dataValidation>
        <x14:dataValidation type="list" allowBlank="1" showInputMessage="1" showErrorMessage="1" xr:uid="{55E64F79-0E68-4DAC-8B9D-DF19A58149CC}">
          <x14:formula1>
            <xm:f>項目!A$4:$QAK20</xm:f>
          </x14:formula1>
          <xm:sqref>QAT24</xm:sqref>
        </x14:dataValidation>
        <x14:dataValidation type="list" allowBlank="1" showInputMessage="1" showErrorMessage="1" xr:uid="{DFB36D1E-C823-4C77-A06C-97A1E6813115}">
          <x14:formula1>
            <xm:f>項目!A2:$QKG$4</xm:f>
          </x14:formula1>
          <xm:sqref>QKP5:QKP23</xm:sqref>
        </x14:dataValidation>
        <x14:dataValidation type="list" allowBlank="1" showInputMessage="1" showErrorMessage="1" xr:uid="{0D30EEDC-A436-436F-B455-81A8459119F5}">
          <x14:formula1>
            <xm:f>項目!A$4:$QKG20</xm:f>
          </x14:formula1>
          <xm:sqref>QKP24</xm:sqref>
        </x14:dataValidation>
        <x14:dataValidation type="list" allowBlank="1" showInputMessage="1" showErrorMessage="1" xr:uid="{9319A32A-1CA1-45A4-916C-4EB69A3C705E}">
          <x14:formula1>
            <xm:f>項目!A2:$QUC$4</xm:f>
          </x14:formula1>
          <xm:sqref>QUL5:QUL23</xm:sqref>
        </x14:dataValidation>
        <x14:dataValidation type="list" allowBlank="1" showInputMessage="1" showErrorMessage="1" xr:uid="{C206F5F2-262F-4DBF-A955-D98D11206A98}">
          <x14:formula1>
            <xm:f>項目!A$4:$QUC20</xm:f>
          </x14:formula1>
          <xm:sqref>QUL24</xm:sqref>
        </x14:dataValidation>
        <x14:dataValidation type="list" allowBlank="1" showInputMessage="1" showErrorMessage="1" xr:uid="{AA1673B4-BE61-4BA1-9F71-65CF6BC864F6}">
          <x14:formula1>
            <xm:f>項目!A2:$RDY$4</xm:f>
          </x14:formula1>
          <xm:sqref>REH5:REH23</xm:sqref>
        </x14:dataValidation>
        <x14:dataValidation type="list" allowBlank="1" showInputMessage="1" showErrorMessage="1" xr:uid="{405BD4E1-F6FB-4614-9F34-F5614FF1B05F}">
          <x14:formula1>
            <xm:f>項目!A$4:$RDY20</xm:f>
          </x14:formula1>
          <xm:sqref>REH24</xm:sqref>
        </x14:dataValidation>
        <x14:dataValidation type="list" allowBlank="1" showInputMessage="1" showErrorMessage="1" xr:uid="{F1ADF173-B646-4DD2-A9CD-EB0CDEFD0AE7}">
          <x14:formula1>
            <xm:f>項目!A2:$RNU$4</xm:f>
          </x14:formula1>
          <xm:sqref>ROD5:ROD23</xm:sqref>
        </x14:dataValidation>
        <x14:dataValidation type="list" allowBlank="1" showInputMessage="1" showErrorMessage="1" xr:uid="{4804E3DD-BC65-4B12-AB22-35B4712847F5}">
          <x14:formula1>
            <xm:f>項目!A$4:$RNU20</xm:f>
          </x14:formula1>
          <xm:sqref>ROD24</xm:sqref>
        </x14:dataValidation>
        <x14:dataValidation type="list" allowBlank="1" showInputMessage="1" showErrorMessage="1" xr:uid="{1ED38CF0-9B6E-4609-B05A-26C16127A576}">
          <x14:formula1>
            <xm:f>項目!A2:$RXQ$4</xm:f>
          </x14:formula1>
          <xm:sqref>RXZ5:RXZ23</xm:sqref>
        </x14:dataValidation>
        <x14:dataValidation type="list" allowBlank="1" showInputMessage="1" showErrorMessage="1" xr:uid="{1CADC18C-EA69-41BB-907F-B194A37D6551}">
          <x14:formula1>
            <xm:f>項目!A$4:$RXQ20</xm:f>
          </x14:formula1>
          <xm:sqref>RXZ24</xm:sqref>
        </x14:dataValidation>
        <x14:dataValidation type="list" allowBlank="1" showInputMessage="1" showErrorMessage="1" xr:uid="{F907EE2D-4913-4A75-93A8-883108843D5C}">
          <x14:formula1>
            <xm:f>項目!A2:$SHM$4</xm:f>
          </x14:formula1>
          <xm:sqref>SHV5:SHV23</xm:sqref>
        </x14:dataValidation>
        <x14:dataValidation type="list" allowBlank="1" showInputMessage="1" showErrorMessage="1" xr:uid="{54DBF9B7-89E8-47F1-9C03-C1F2700A9926}">
          <x14:formula1>
            <xm:f>項目!A$4:$SHM20</xm:f>
          </x14:formula1>
          <xm:sqref>SHV24</xm:sqref>
        </x14:dataValidation>
        <x14:dataValidation type="list" allowBlank="1" showInputMessage="1" showErrorMessage="1" xr:uid="{4D1BCBD5-4698-469D-8BC7-9A413121A97A}">
          <x14:formula1>
            <xm:f>項目!A2:$SRI$4</xm:f>
          </x14:formula1>
          <xm:sqref>SRR5:SRR23</xm:sqref>
        </x14:dataValidation>
        <x14:dataValidation type="list" allowBlank="1" showInputMessage="1" showErrorMessage="1" xr:uid="{6121C0E6-BF7C-4E0A-838C-FFE0F159D349}">
          <x14:formula1>
            <xm:f>項目!A$4:$SRI20</xm:f>
          </x14:formula1>
          <xm:sqref>SRR24</xm:sqref>
        </x14:dataValidation>
        <x14:dataValidation type="list" allowBlank="1" showInputMessage="1" showErrorMessage="1" xr:uid="{6E663091-D85D-4D73-8056-AEA94706FAEC}">
          <x14:formula1>
            <xm:f>項目!A2:$TBE$4</xm:f>
          </x14:formula1>
          <xm:sqref>TBN5:TBN23</xm:sqref>
        </x14:dataValidation>
        <x14:dataValidation type="list" allowBlank="1" showInputMessage="1" showErrorMessage="1" xr:uid="{7F56CDC6-EC90-4E41-BA3E-0F26B6CD6CC0}">
          <x14:formula1>
            <xm:f>項目!A$4:$TBE20</xm:f>
          </x14:formula1>
          <xm:sqref>TBN24</xm:sqref>
        </x14:dataValidation>
        <x14:dataValidation type="list" allowBlank="1" showInputMessage="1" showErrorMessage="1" xr:uid="{BE9DCF10-CB76-4375-AE29-84303D86E37D}">
          <x14:formula1>
            <xm:f>項目!A2:$TLA$4</xm:f>
          </x14:formula1>
          <xm:sqref>TLJ5:TLJ23</xm:sqref>
        </x14:dataValidation>
        <x14:dataValidation type="list" allowBlank="1" showInputMessage="1" showErrorMessage="1" xr:uid="{2F2D38CB-4809-42F7-B587-7BB1310E7A1A}">
          <x14:formula1>
            <xm:f>項目!A$4:$TLA20</xm:f>
          </x14:formula1>
          <xm:sqref>TLJ24</xm:sqref>
        </x14:dataValidation>
        <x14:dataValidation type="list" allowBlank="1" showInputMessage="1" showErrorMessage="1" xr:uid="{AE936B57-CF24-4C48-A1D2-F511E0A3C0CC}">
          <x14:formula1>
            <xm:f>項目!A2:$TUW$4</xm:f>
          </x14:formula1>
          <xm:sqref>TVF5:TVF23</xm:sqref>
        </x14:dataValidation>
        <x14:dataValidation type="list" allowBlank="1" showInputMessage="1" showErrorMessage="1" xr:uid="{EF9CB54F-2775-4EFA-84AC-29370B14B153}">
          <x14:formula1>
            <xm:f>項目!A$4:$TUW20</xm:f>
          </x14:formula1>
          <xm:sqref>TVF24</xm:sqref>
        </x14:dataValidation>
        <x14:dataValidation type="list" allowBlank="1" showInputMessage="1" showErrorMessage="1" xr:uid="{D6AD81B2-90A6-4D1A-8178-B3B7BE65D087}">
          <x14:formula1>
            <xm:f>項目!A2:$UES$4</xm:f>
          </x14:formula1>
          <xm:sqref>UFB5:UFB23</xm:sqref>
        </x14:dataValidation>
        <x14:dataValidation type="list" allowBlank="1" showInputMessage="1" showErrorMessage="1" xr:uid="{2937A0EC-F2BB-429A-A2C3-854898956F35}">
          <x14:formula1>
            <xm:f>項目!A$4:$UES20</xm:f>
          </x14:formula1>
          <xm:sqref>UFB24</xm:sqref>
        </x14:dataValidation>
        <x14:dataValidation type="list" allowBlank="1" showInputMessage="1" showErrorMessage="1" xr:uid="{590417A3-B3AE-4B19-B4BB-17954C3A6C21}">
          <x14:formula1>
            <xm:f>項目!A2:$UOO$4</xm:f>
          </x14:formula1>
          <xm:sqref>UOX5:UOX23</xm:sqref>
        </x14:dataValidation>
        <x14:dataValidation type="list" allowBlank="1" showInputMessage="1" showErrorMessage="1" xr:uid="{ABB06864-F029-4B4F-87F4-305710049E6F}">
          <x14:formula1>
            <xm:f>項目!A$4:$UOO20</xm:f>
          </x14:formula1>
          <xm:sqref>UOX24</xm:sqref>
        </x14:dataValidation>
        <x14:dataValidation type="list" allowBlank="1" showInputMessage="1" showErrorMessage="1" xr:uid="{8FFE0EF7-A1F3-486F-9F47-3198ECE709A1}">
          <x14:formula1>
            <xm:f>項目!A2:$UYK$4</xm:f>
          </x14:formula1>
          <xm:sqref>UYT5:UYT23</xm:sqref>
        </x14:dataValidation>
        <x14:dataValidation type="list" allowBlank="1" showInputMessage="1" showErrorMessage="1" xr:uid="{60C73EDC-5789-4E85-864E-2C0FDE588627}">
          <x14:formula1>
            <xm:f>項目!A$4:$UYK20</xm:f>
          </x14:formula1>
          <xm:sqref>UYT24</xm:sqref>
        </x14:dataValidation>
        <x14:dataValidation type="list" allowBlank="1" showInputMessage="1" showErrorMessage="1" xr:uid="{88BAA529-EF56-4F79-9469-CA557F7718FC}">
          <x14:formula1>
            <xm:f>項目!A2:$VIG$4</xm:f>
          </x14:formula1>
          <xm:sqref>VIP5:VIP23</xm:sqref>
        </x14:dataValidation>
        <x14:dataValidation type="list" allowBlank="1" showInputMessage="1" showErrorMessage="1" xr:uid="{A71004B0-79E1-4408-840C-EF56D2438AA5}">
          <x14:formula1>
            <xm:f>項目!A$4:$VIG20</xm:f>
          </x14:formula1>
          <xm:sqref>VIP24</xm:sqref>
        </x14:dataValidation>
        <x14:dataValidation type="list" allowBlank="1" showInputMessage="1" showErrorMessage="1" xr:uid="{F29A7E49-E9D6-4A93-9EB6-05A6E0B2D6F3}">
          <x14:formula1>
            <xm:f>項目!A2:$VSC$4</xm:f>
          </x14:formula1>
          <xm:sqref>VSL5:VSL23</xm:sqref>
        </x14:dataValidation>
        <x14:dataValidation type="list" allowBlank="1" showInputMessage="1" showErrorMessage="1" xr:uid="{6586312C-32F0-4A38-BBD1-318A5916026D}">
          <x14:formula1>
            <xm:f>項目!A$4:$VSC20</xm:f>
          </x14:formula1>
          <xm:sqref>VSL24</xm:sqref>
        </x14:dataValidation>
        <x14:dataValidation type="list" allowBlank="1" showInputMessage="1" showErrorMessage="1" xr:uid="{4A608B6E-3674-4B0F-B2F9-40CAC408BF82}">
          <x14:formula1>
            <xm:f>項目!A2:$WBY$4</xm:f>
          </x14:formula1>
          <xm:sqref>WCH5:WCH23</xm:sqref>
        </x14:dataValidation>
        <x14:dataValidation type="list" allowBlank="1" showInputMessage="1" showErrorMessage="1" xr:uid="{BCDE10F0-F66F-4197-A513-C7C7D3CD81C1}">
          <x14:formula1>
            <xm:f>項目!A$4:$WBY20</xm:f>
          </x14:formula1>
          <xm:sqref>WCH24</xm:sqref>
        </x14:dataValidation>
        <x14:dataValidation type="list" allowBlank="1" showInputMessage="1" showErrorMessage="1" xr:uid="{A1FCC50F-4AB2-4200-9FED-A368C5C285DD}">
          <x14:formula1>
            <xm:f>項目!A2:$WLU$4</xm:f>
          </x14:formula1>
          <xm:sqref>WMD5:WMD23</xm:sqref>
        </x14:dataValidation>
        <x14:dataValidation type="list" allowBlank="1" showInputMessage="1" showErrorMessage="1" xr:uid="{0EEDC79E-809A-401A-9ADC-AF1127C5CCC7}">
          <x14:formula1>
            <xm:f>項目!A$4:$WLU20</xm:f>
          </x14:formula1>
          <xm:sqref>WMD24</xm:sqref>
        </x14:dataValidation>
        <x14:dataValidation type="list" allowBlank="1" showInputMessage="1" showErrorMessage="1" xr:uid="{3DB3792A-C107-4C80-9598-BAAD1FE9D456}">
          <x14:formula1>
            <xm:f>項目!A2:$WVQ$4</xm:f>
          </x14:formula1>
          <xm:sqref>WVZ5:WVZ23</xm:sqref>
        </x14:dataValidation>
        <x14:dataValidation type="list" allowBlank="1" showInputMessage="1" showErrorMessage="1" xr:uid="{07C5771B-9035-48C4-831D-515CEBF86AC0}">
          <x14:formula1>
            <xm:f>項目!A$4:$WVQ20</xm:f>
          </x14:formula1>
          <xm:sqref>WVZ24</xm:sqref>
        </x14:dataValidation>
        <x14:dataValidation type="list" allowBlank="1" showInputMessage="1" showErrorMessage="1" xr:uid="{7BC7224C-877F-4B98-AA07-C84ABB75272B}">
          <x14:formula1>
            <xm:f>項目!A2:$ACK$4</xm:f>
          </x14:formula1>
          <xm:sqref>ACT5:ACT23</xm:sqref>
        </x14:dataValidation>
        <x14:dataValidation type="list" allowBlank="1" showInputMessage="1" showErrorMessage="1" xr:uid="{F8FC9448-1169-4547-91C9-F56E0531D3C1}">
          <x14:formula1>
            <xm:f>項目!A$4:$ACK20</xm:f>
          </x14:formula1>
          <xm:sqref>ACT24</xm:sqref>
        </x14:dataValidation>
        <x14:dataValidation type="list" allowBlank="1" showInputMessage="1" showErrorMessage="1" xr:uid="{3538A850-9177-4C4E-B2B1-1EBB8E5FE5A0}">
          <x14:formula1>
            <xm:f>項目!A2:$JI$4</xm:f>
          </x14:formula1>
          <xm:sqref>JR5:JR23</xm:sqref>
        </x14:dataValidation>
        <x14:dataValidation type="list" allowBlank="1" showInputMessage="1" showErrorMessage="1" xr:uid="{E8B88D22-E3DD-4D3D-BCBF-ACE408F005A4}">
          <x14:formula1>
            <xm:f>項目!A$4:$JI20</xm:f>
          </x14:formula1>
          <xm:sqref>JR24</xm:sqref>
        </x14:dataValidation>
        <x14:dataValidation type="list" allowBlank="1" showInputMessage="1" showErrorMessage="1" xr:uid="{AFB9E157-24E9-4375-96B4-C1FBA440D575}">
          <x14:formula1>
            <xm:f>項目!A2:$TE$4</xm:f>
          </x14:formula1>
          <xm:sqref>TN5:TN23</xm:sqref>
        </x14:dataValidation>
        <x14:dataValidation type="list" allowBlank="1" showInputMessage="1" showErrorMessage="1" xr:uid="{0C6A7E27-379F-43DF-A699-C4DD42864D47}">
          <x14:formula1>
            <xm:f>項目!A$4:$TE20</xm:f>
          </x14:formula1>
          <xm:sqref>TN24</xm:sqref>
        </x14:dataValidation>
        <x14:dataValidation type="list" allowBlank="1" showInputMessage="1" showErrorMessage="1" xr:uid="{25D04752-1E25-487B-BED1-39BC5C03B111}">
          <x14:formula1>
            <xm:f>項目!A2:$ADA$4</xm:f>
          </x14:formula1>
          <xm:sqref>ADJ5:ADJ23</xm:sqref>
        </x14:dataValidation>
        <x14:dataValidation type="list" allowBlank="1" showInputMessage="1" showErrorMessage="1" xr:uid="{47082AC1-43AF-411C-B7D4-31D81A7A1F3D}">
          <x14:formula1>
            <xm:f>項目!A$4:$ADA20</xm:f>
          </x14:formula1>
          <xm:sqref>ADJ24</xm:sqref>
        </x14:dataValidation>
        <x14:dataValidation type="list" allowBlank="1" showInputMessage="1" showErrorMessage="1" xr:uid="{D22834AD-5830-425A-B442-78D6B3AB72E7}">
          <x14:formula1>
            <xm:f>項目!A2:$AMW$4</xm:f>
          </x14:formula1>
          <xm:sqref>ANF5:ANF23</xm:sqref>
        </x14:dataValidation>
        <x14:dataValidation type="list" allowBlank="1" showInputMessage="1" showErrorMessage="1" xr:uid="{D6D32938-21FF-4086-A6CC-A1F3EC68CD2A}">
          <x14:formula1>
            <xm:f>項目!A$4:$AMW20</xm:f>
          </x14:formula1>
          <xm:sqref>ANF24</xm:sqref>
        </x14:dataValidation>
        <x14:dataValidation type="list" allowBlank="1" showInputMessage="1" showErrorMessage="1" xr:uid="{B0156D0E-FF5F-4D1E-A6EE-7A7816930602}">
          <x14:formula1>
            <xm:f>項目!A2:$AWS$4</xm:f>
          </x14:formula1>
          <xm:sqref>AXB5:AXB23</xm:sqref>
        </x14:dataValidation>
        <x14:dataValidation type="list" allowBlank="1" showInputMessage="1" showErrorMessage="1" xr:uid="{EC0D857A-C7D8-46F7-8AEC-180515E6EEB2}">
          <x14:formula1>
            <xm:f>項目!A$4:$AWS20</xm:f>
          </x14:formula1>
          <xm:sqref>AXB24</xm:sqref>
        </x14:dataValidation>
        <x14:dataValidation type="list" allowBlank="1" showInputMessage="1" showErrorMessage="1" xr:uid="{53DA3350-6A0D-48C2-BD9C-C306EF9BA766}">
          <x14:formula1>
            <xm:f>項目!A2:$BGO$4</xm:f>
          </x14:formula1>
          <xm:sqref>BGX5:BGX23</xm:sqref>
        </x14:dataValidation>
        <x14:dataValidation type="list" allowBlank="1" showInputMessage="1" showErrorMessage="1" xr:uid="{98F0AC29-0F51-4CF2-B450-9B2FF812E2CA}">
          <x14:formula1>
            <xm:f>項目!A$4:$BGO20</xm:f>
          </x14:formula1>
          <xm:sqref>BGX24</xm:sqref>
        </x14:dataValidation>
        <x14:dataValidation type="list" allowBlank="1" showInputMessage="1" showErrorMessage="1" xr:uid="{2579F78A-E40B-4821-8746-482FB4BAB8D4}">
          <x14:formula1>
            <xm:f>項目!A2:$BQK$4</xm:f>
          </x14:formula1>
          <xm:sqref>BQT5:BQT23</xm:sqref>
        </x14:dataValidation>
        <x14:dataValidation type="list" allowBlank="1" showInputMessage="1" showErrorMessage="1" xr:uid="{733C373F-C771-4F3A-AA0C-17D03BA4CA87}">
          <x14:formula1>
            <xm:f>項目!A$4:$BQK20</xm:f>
          </x14:formula1>
          <xm:sqref>BQT24</xm:sqref>
        </x14:dataValidation>
        <x14:dataValidation type="list" allowBlank="1" showInputMessage="1" showErrorMessage="1" xr:uid="{1306FBAE-31CC-474A-9F66-702735203ADD}">
          <x14:formula1>
            <xm:f>項目!A2:$CAG$4</xm:f>
          </x14:formula1>
          <xm:sqref>CAP5:CAP23</xm:sqref>
        </x14:dataValidation>
        <x14:dataValidation type="list" allowBlank="1" showInputMessage="1" showErrorMessage="1" xr:uid="{2A7BB6E9-F107-45B1-8301-741FE9727AEE}">
          <x14:formula1>
            <xm:f>項目!A$4:$CAG20</xm:f>
          </x14:formula1>
          <xm:sqref>CAP24</xm:sqref>
        </x14:dataValidation>
        <x14:dataValidation type="list" allowBlank="1" showInputMessage="1" showErrorMessage="1" xr:uid="{3293C53F-7E28-4221-993A-F6F1674F34B1}">
          <x14:formula1>
            <xm:f>項目!A2:$CKC$4</xm:f>
          </x14:formula1>
          <xm:sqref>CKL5:CKL23</xm:sqref>
        </x14:dataValidation>
        <x14:dataValidation type="list" allowBlank="1" showInputMessage="1" showErrorMessage="1" xr:uid="{B15934B7-0DD5-4478-97D1-D4109E31DDDA}">
          <x14:formula1>
            <xm:f>項目!A$4:$CKC20</xm:f>
          </x14:formula1>
          <xm:sqref>CKL24</xm:sqref>
        </x14:dataValidation>
        <x14:dataValidation type="list" allowBlank="1" showInputMessage="1" showErrorMessage="1" xr:uid="{CF2BB337-31FF-4B28-9B21-FFD8C986E616}">
          <x14:formula1>
            <xm:f>項目!A2:$CTY$4</xm:f>
          </x14:formula1>
          <xm:sqref>CUH5:CUH23</xm:sqref>
        </x14:dataValidation>
        <x14:dataValidation type="list" allowBlank="1" showInputMessage="1" showErrorMessage="1" xr:uid="{5C25800F-3616-4ED4-AE37-B0D96C94A9BB}">
          <x14:formula1>
            <xm:f>項目!A$4:$CTY20</xm:f>
          </x14:formula1>
          <xm:sqref>CUH24</xm:sqref>
        </x14:dataValidation>
        <x14:dataValidation type="list" allowBlank="1" showInputMessage="1" showErrorMessage="1" xr:uid="{F23E63AB-69A5-472A-9C62-8FC7DA465247}">
          <x14:formula1>
            <xm:f>項目!A2:$DDU$4</xm:f>
          </x14:formula1>
          <xm:sqref>DED5:DED23</xm:sqref>
        </x14:dataValidation>
        <x14:dataValidation type="list" allowBlank="1" showInputMessage="1" showErrorMessage="1" xr:uid="{17A14E3F-D473-4DB1-A5F2-673041813321}">
          <x14:formula1>
            <xm:f>項目!A$4:$DDU20</xm:f>
          </x14:formula1>
          <xm:sqref>DED24</xm:sqref>
        </x14:dataValidation>
        <x14:dataValidation type="list" allowBlank="1" showInputMessage="1" showErrorMessage="1" xr:uid="{FE1F8EFF-20D8-4DAE-8185-CF2F95483EF7}">
          <x14:formula1>
            <xm:f>項目!A2:$DNQ$4</xm:f>
          </x14:formula1>
          <xm:sqref>DNZ5:DNZ23</xm:sqref>
        </x14:dataValidation>
        <x14:dataValidation type="list" allowBlank="1" showInputMessage="1" showErrorMessage="1" xr:uid="{5AE0236C-4BC1-411F-A2D1-EAEAA073F976}">
          <x14:formula1>
            <xm:f>項目!A$4:$DNQ20</xm:f>
          </x14:formula1>
          <xm:sqref>DNZ24</xm:sqref>
        </x14:dataValidation>
        <x14:dataValidation type="list" allowBlank="1" showInputMessage="1" showErrorMessage="1" xr:uid="{5EAE275E-E60A-4D92-BE49-5D451B8F4D62}">
          <x14:formula1>
            <xm:f>項目!A2:$DXM$4</xm:f>
          </x14:formula1>
          <xm:sqref>DXV5:DXV23</xm:sqref>
        </x14:dataValidation>
        <x14:dataValidation type="list" allowBlank="1" showInputMessage="1" showErrorMessage="1" xr:uid="{34050803-7614-4144-8543-AC590EDF02A6}">
          <x14:formula1>
            <xm:f>項目!A$4:$DXM20</xm:f>
          </x14:formula1>
          <xm:sqref>DXV24</xm:sqref>
        </x14:dataValidation>
        <x14:dataValidation type="list" allowBlank="1" showInputMessage="1" showErrorMessage="1" xr:uid="{93F01FAA-A60F-4413-A8E1-7700D75BB0A1}">
          <x14:formula1>
            <xm:f>項目!A2:$EHI$4</xm:f>
          </x14:formula1>
          <xm:sqref>EHR5:EHR23</xm:sqref>
        </x14:dataValidation>
        <x14:dataValidation type="list" allowBlank="1" showInputMessage="1" showErrorMessage="1" xr:uid="{C24EEDFD-378A-4A4A-A5FE-4F31CBEDE1C9}">
          <x14:formula1>
            <xm:f>項目!A$4:$EHI20</xm:f>
          </x14:formula1>
          <xm:sqref>EHR24</xm:sqref>
        </x14:dataValidation>
        <x14:dataValidation type="list" allowBlank="1" showInputMessage="1" showErrorMessage="1" xr:uid="{7647AB54-901B-4C00-B662-B528233F22CC}">
          <x14:formula1>
            <xm:f>項目!A2:$ERE$4</xm:f>
          </x14:formula1>
          <xm:sqref>ERN5:ERN23</xm:sqref>
        </x14:dataValidation>
        <x14:dataValidation type="list" allowBlank="1" showInputMessage="1" showErrorMessage="1" xr:uid="{8D8147FD-0D91-44FD-9193-B32AA26D3409}">
          <x14:formula1>
            <xm:f>項目!A$4:$ERE20</xm:f>
          </x14:formula1>
          <xm:sqref>ERN24</xm:sqref>
        </x14:dataValidation>
        <x14:dataValidation type="list" allowBlank="1" showInputMessage="1" showErrorMessage="1" xr:uid="{AF7437C6-5863-45FF-854A-545C40DE0F97}">
          <x14:formula1>
            <xm:f>項目!A2:$FBA$4</xm:f>
          </x14:formula1>
          <xm:sqref>FBJ5:FBJ23</xm:sqref>
        </x14:dataValidation>
        <x14:dataValidation type="list" allowBlank="1" showInputMessage="1" showErrorMessage="1" xr:uid="{4F20A75F-2D29-43A2-8EFB-02F62FC211C2}">
          <x14:formula1>
            <xm:f>項目!A$4:$FBA20</xm:f>
          </x14:formula1>
          <xm:sqref>FBJ24</xm:sqref>
        </x14:dataValidation>
        <x14:dataValidation type="list" allowBlank="1" showInputMessage="1" showErrorMessage="1" xr:uid="{C790C6B2-3A65-427F-97E2-36BEBCBC8C02}">
          <x14:formula1>
            <xm:f>項目!A2:$FKW$4</xm:f>
          </x14:formula1>
          <xm:sqref>FLF5:FLF23</xm:sqref>
        </x14:dataValidation>
        <x14:dataValidation type="list" allowBlank="1" showInputMessage="1" showErrorMessage="1" xr:uid="{D724C9BA-A2F9-4DCC-8D2B-A89CB96EB955}">
          <x14:formula1>
            <xm:f>項目!A$4:$FKW20</xm:f>
          </x14:formula1>
          <xm:sqref>FLF24</xm:sqref>
        </x14:dataValidation>
        <x14:dataValidation type="list" allowBlank="1" showInputMessage="1" showErrorMessage="1" xr:uid="{7ACCD80C-6A03-46FB-A35E-FBA0FBBCDFA5}">
          <x14:formula1>
            <xm:f>項目!A2:$FUS$4</xm:f>
          </x14:formula1>
          <xm:sqref>FVB5:FVB23</xm:sqref>
        </x14:dataValidation>
        <x14:dataValidation type="list" allowBlank="1" showInputMessage="1" showErrorMessage="1" xr:uid="{6DC815DA-AE9B-45FB-877D-1EB96093A366}">
          <x14:formula1>
            <xm:f>項目!A$4:$FUS20</xm:f>
          </x14:formula1>
          <xm:sqref>FVB24</xm:sqref>
        </x14:dataValidation>
        <x14:dataValidation type="list" allowBlank="1" showInputMessage="1" showErrorMessage="1" xr:uid="{97826ABA-D187-4731-89CD-AE3E611DC69C}">
          <x14:formula1>
            <xm:f>項目!A2:$GEO$4</xm:f>
          </x14:formula1>
          <xm:sqref>GEX5:GEX23</xm:sqref>
        </x14:dataValidation>
        <x14:dataValidation type="list" allowBlank="1" showInputMessage="1" showErrorMessage="1" xr:uid="{16B5977B-EBA0-4F5B-9EF1-4198DF1E59E3}">
          <x14:formula1>
            <xm:f>項目!A$4:$GEO20</xm:f>
          </x14:formula1>
          <xm:sqref>GEX24</xm:sqref>
        </x14:dataValidation>
        <x14:dataValidation type="list" allowBlank="1" showInputMessage="1" showErrorMessage="1" xr:uid="{8058C93A-7A3D-4845-8B6B-7462B37F872B}">
          <x14:formula1>
            <xm:f>項目!A2:$GOK$4</xm:f>
          </x14:formula1>
          <xm:sqref>GOT5:GOT23</xm:sqref>
        </x14:dataValidation>
        <x14:dataValidation type="list" allowBlank="1" showInputMessage="1" showErrorMessage="1" xr:uid="{6600F931-02E5-4170-BBB2-E72276B01D3C}">
          <x14:formula1>
            <xm:f>項目!A$4:$GOK20</xm:f>
          </x14:formula1>
          <xm:sqref>GOT24</xm:sqref>
        </x14:dataValidation>
        <x14:dataValidation type="list" allowBlank="1" showInputMessage="1" showErrorMessage="1" xr:uid="{AECB9F65-4849-49CC-A6BE-64CD9C839EEB}">
          <x14:formula1>
            <xm:f>項目!A2:$GYG$4</xm:f>
          </x14:formula1>
          <xm:sqref>GYP5:GYP23</xm:sqref>
        </x14:dataValidation>
        <x14:dataValidation type="list" allowBlank="1" showInputMessage="1" showErrorMessage="1" xr:uid="{8C327483-6FCA-4357-819E-005FB8AA09CD}">
          <x14:formula1>
            <xm:f>項目!A$4:$GYG20</xm:f>
          </x14:formula1>
          <xm:sqref>GYP24</xm:sqref>
        </x14:dataValidation>
        <x14:dataValidation type="list" allowBlank="1" showInputMessage="1" showErrorMessage="1" xr:uid="{DC4D59D8-0C7B-457D-A28B-BA9C9CFAD865}">
          <x14:formula1>
            <xm:f>項目!A2:$HIC$4</xm:f>
          </x14:formula1>
          <xm:sqref>HIL5:HIL23</xm:sqref>
        </x14:dataValidation>
        <x14:dataValidation type="list" allowBlank="1" showInputMessage="1" showErrorMessage="1" xr:uid="{29B7B029-B635-4F54-B5EA-9BBD9D980D22}">
          <x14:formula1>
            <xm:f>項目!A$4:$HIC20</xm:f>
          </x14:formula1>
          <xm:sqref>HIL24</xm:sqref>
        </x14:dataValidation>
        <x14:dataValidation type="list" allowBlank="1" showInputMessage="1" showErrorMessage="1" xr:uid="{30909FCC-ABA0-472F-BAE2-C831C804EA8C}">
          <x14:formula1>
            <xm:f>項目!A2:$HRY$4</xm:f>
          </x14:formula1>
          <xm:sqref>HSH5:HSH23</xm:sqref>
        </x14:dataValidation>
        <x14:dataValidation type="list" allowBlank="1" showInputMessage="1" showErrorMessage="1" xr:uid="{D4EF9AAA-FD69-49E5-8863-22BD9E903173}">
          <x14:formula1>
            <xm:f>項目!A$4:$HRY20</xm:f>
          </x14:formula1>
          <xm:sqref>HSH24</xm:sqref>
        </x14:dataValidation>
        <x14:dataValidation type="list" allowBlank="1" showInputMessage="1" showErrorMessage="1" xr:uid="{A9CE41D7-3FF1-44D5-9726-84231E5A51B9}">
          <x14:formula1>
            <xm:f>項目!A2:$IBU$4</xm:f>
          </x14:formula1>
          <xm:sqref>ICD5:ICD23</xm:sqref>
        </x14:dataValidation>
        <x14:dataValidation type="list" allowBlank="1" showInputMessage="1" showErrorMessage="1" xr:uid="{19790C05-5EE1-49D1-8C23-5CC51DDA7DAE}">
          <x14:formula1>
            <xm:f>項目!A$4:$IBU20</xm:f>
          </x14:formula1>
          <xm:sqref>ICD24</xm:sqref>
        </x14:dataValidation>
        <x14:dataValidation type="list" allowBlank="1" showInputMessage="1" showErrorMessage="1" xr:uid="{6379D435-6822-4AD4-A494-5AABCDB86E3C}">
          <x14:formula1>
            <xm:f>項目!A2:$ILQ$4</xm:f>
          </x14:formula1>
          <xm:sqref>ILZ5:ILZ23</xm:sqref>
        </x14:dataValidation>
        <x14:dataValidation type="list" allowBlank="1" showInputMessage="1" showErrorMessage="1" xr:uid="{8B7EFA66-9551-47C6-B1FD-DAFA74E8712E}">
          <x14:formula1>
            <xm:f>項目!A$4:$ILQ20</xm:f>
          </x14:formula1>
          <xm:sqref>ILZ24</xm:sqref>
        </x14:dataValidation>
        <x14:dataValidation type="list" allowBlank="1" showInputMessage="1" showErrorMessage="1" xr:uid="{D0467094-545F-4154-8321-5E0B7489546C}">
          <x14:formula1>
            <xm:f>項目!A2:$IVM$4</xm:f>
          </x14:formula1>
          <xm:sqref>IVV5:IVV23</xm:sqref>
        </x14:dataValidation>
        <x14:dataValidation type="list" allowBlank="1" showInputMessage="1" showErrorMessage="1" xr:uid="{F23FFD4D-53C5-4F5D-BB2B-F874AA822400}">
          <x14:formula1>
            <xm:f>項目!A$4:$IVM20</xm:f>
          </x14:formula1>
          <xm:sqref>IVV24</xm:sqref>
        </x14:dataValidation>
        <x14:dataValidation type="list" allowBlank="1" showInputMessage="1" showErrorMessage="1" xr:uid="{603F16C0-05B2-4AE4-855E-07A50936CB51}">
          <x14:formula1>
            <xm:f>項目!A2:$JFI$4</xm:f>
          </x14:formula1>
          <xm:sqref>JFR5:JFR23</xm:sqref>
        </x14:dataValidation>
        <x14:dataValidation type="list" allowBlank="1" showInputMessage="1" showErrorMessage="1" xr:uid="{49F9FCD8-049D-4439-B111-391DA997B1D3}">
          <x14:formula1>
            <xm:f>項目!A$4:$JFI20</xm:f>
          </x14:formula1>
          <xm:sqref>JFR24</xm:sqref>
        </x14:dataValidation>
        <x14:dataValidation type="list" allowBlank="1" showInputMessage="1" showErrorMessage="1" xr:uid="{78A7BD91-49AC-4629-A647-E24372ECF3A5}">
          <x14:formula1>
            <xm:f>項目!A2:$JPE$4</xm:f>
          </x14:formula1>
          <xm:sqref>JPN5:JPN23</xm:sqref>
        </x14:dataValidation>
        <x14:dataValidation type="list" allowBlank="1" showInputMessage="1" showErrorMessage="1" xr:uid="{8A2C6918-ACAF-4888-921A-ECC622E05E52}">
          <x14:formula1>
            <xm:f>項目!A$4:$JPE20</xm:f>
          </x14:formula1>
          <xm:sqref>JPN24</xm:sqref>
        </x14:dataValidation>
        <x14:dataValidation type="list" allowBlank="1" showInputMessage="1" showErrorMessage="1" xr:uid="{CBFDABED-EC6E-4EBB-8FE5-6946C5C4DF88}">
          <x14:formula1>
            <xm:f>項目!A2:$JZA$4</xm:f>
          </x14:formula1>
          <xm:sqref>JZJ5:JZJ23</xm:sqref>
        </x14:dataValidation>
        <x14:dataValidation type="list" allowBlank="1" showInputMessage="1" showErrorMessage="1" xr:uid="{A5C9102E-978B-4467-B08F-06DDA752ADBB}">
          <x14:formula1>
            <xm:f>項目!A$4:$JZA20</xm:f>
          </x14:formula1>
          <xm:sqref>JZJ24</xm:sqref>
        </x14:dataValidation>
        <x14:dataValidation type="list" allowBlank="1" showInputMessage="1" showErrorMessage="1" xr:uid="{EF6039E2-A897-4450-916D-87C24BD975CF}">
          <x14:formula1>
            <xm:f>項目!A2:$KIW$4</xm:f>
          </x14:formula1>
          <xm:sqref>KJF5:KJF23</xm:sqref>
        </x14:dataValidation>
        <x14:dataValidation type="list" allowBlank="1" showInputMessage="1" showErrorMessage="1" xr:uid="{A46CE829-2FFF-4E9C-BF40-0C1BC7225BBE}">
          <x14:formula1>
            <xm:f>項目!A$4:$KIW20</xm:f>
          </x14:formula1>
          <xm:sqref>KJF24</xm:sqref>
        </x14:dataValidation>
        <x14:dataValidation type="list" allowBlank="1" showInputMessage="1" showErrorMessage="1" xr:uid="{281509B0-FA37-4FDF-8E2B-C40C0F435095}">
          <x14:formula1>
            <xm:f>項目!A2:$KSS$4</xm:f>
          </x14:formula1>
          <xm:sqref>KTB5:KTB23</xm:sqref>
        </x14:dataValidation>
        <x14:dataValidation type="list" allowBlank="1" showInputMessage="1" showErrorMessage="1" xr:uid="{BBE349BD-6E09-4EFC-89EC-B161449624A6}">
          <x14:formula1>
            <xm:f>項目!A$4:$KSS20</xm:f>
          </x14:formula1>
          <xm:sqref>KTB24</xm:sqref>
        </x14:dataValidation>
        <x14:dataValidation type="list" allowBlank="1" showInputMessage="1" showErrorMessage="1" xr:uid="{D1A97258-6DE1-44EB-9618-6BC92EBAE6A7}">
          <x14:formula1>
            <xm:f>項目!A2:$LCO$4</xm:f>
          </x14:formula1>
          <xm:sqref>LCX5:LCX23</xm:sqref>
        </x14:dataValidation>
        <x14:dataValidation type="list" allowBlank="1" showInputMessage="1" showErrorMessage="1" xr:uid="{FA900F5A-E55F-4AB5-93B0-FEAD44651928}">
          <x14:formula1>
            <xm:f>項目!A$4:$LCO20</xm:f>
          </x14:formula1>
          <xm:sqref>LCX24</xm:sqref>
        </x14:dataValidation>
        <x14:dataValidation type="list" allowBlank="1" showInputMessage="1" showErrorMessage="1" xr:uid="{75E1C347-368C-4D2E-9843-EE7058E2D29E}">
          <x14:formula1>
            <xm:f>項目!A2:$LMK$4</xm:f>
          </x14:formula1>
          <xm:sqref>LMT5:LMT23</xm:sqref>
        </x14:dataValidation>
        <x14:dataValidation type="list" allowBlank="1" showInputMessage="1" showErrorMessage="1" xr:uid="{FAD02C8E-1D8B-4563-B791-0FD790DD2524}">
          <x14:formula1>
            <xm:f>項目!A$4:$LMK20</xm:f>
          </x14:formula1>
          <xm:sqref>LMT24</xm:sqref>
        </x14:dataValidation>
        <x14:dataValidation type="list" allowBlank="1" showInputMessage="1" showErrorMessage="1" xr:uid="{910895F3-EB60-42D5-BA1B-D54B1FEAAA79}">
          <x14:formula1>
            <xm:f>項目!A2:$LWG$4</xm:f>
          </x14:formula1>
          <xm:sqref>LWP5:LWP23</xm:sqref>
        </x14:dataValidation>
        <x14:dataValidation type="list" allowBlank="1" showInputMessage="1" showErrorMessage="1" xr:uid="{161BFD8E-3A9A-454D-A80D-9C95BA90E771}">
          <x14:formula1>
            <xm:f>項目!A$4:$LWG20</xm:f>
          </x14:formula1>
          <xm:sqref>LWP24</xm:sqref>
        </x14:dataValidation>
        <x14:dataValidation type="list" allowBlank="1" showInputMessage="1" showErrorMessage="1" xr:uid="{2EBBA5B4-DF3E-4FE6-B5B9-A3D5C0CE142F}">
          <x14:formula1>
            <xm:f>項目!A2:$MGC$4</xm:f>
          </x14:formula1>
          <xm:sqref>MGL5:MGL23</xm:sqref>
        </x14:dataValidation>
        <x14:dataValidation type="list" allowBlank="1" showInputMessage="1" showErrorMessage="1" xr:uid="{97F5CD41-9146-40E1-81D2-A970EF00272B}">
          <x14:formula1>
            <xm:f>項目!A$4:$MGC20</xm:f>
          </x14:formula1>
          <xm:sqref>MGL24</xm:sqref>
        </x14:dataValidation>
        <x14:dataValidation type="list" allowBlank="1" showInputMessage="1" showErrorMessage="1" xr:uid="{ECC30FD0-833B-461E-AA49-580247EC56A7}">
          <x14:formula1>
            <xm:f>項目!A2:$MPY$4</xm:f>
          </x14:formula1>
          <xm:sqref>MQH5:MQH23</xm:sqref>
        </x14:dataValidation>
        <x14:dataValidation type="list" allowBlank="1" showInputMessage="1" showErrorMessage="1" xr:uid="{65FDC0FE-AF54-4EE3-8FE4-B3845001A7D3}">
          <x14:formula1>
            <xm:f>項目!A$4:$MPY20</xm:f>
          </x14:formula1>
          <xm:sqref>MQH24</xm:sqref>
        </x14:dataValidation>
        <x14:dataValidation type="list" allowBlank="1" showInputMessage="1" showErrorMessage="1" xr:uid="{4A0DB453-81D6-4AD0-8BE5-B485E5462875}">
          <x14:formula1>
            <xm:f>項目!A2:$MZU$4</xm:f>
          </x14:formula1>
          <xm:sqref>NAD5:NAD23</xm:sqref>
        </x14:dataValidation>
        <x14:dataValidation type="list" allowBlank="1" showInputMessage="1" showErrorMessage="1" xr:uid="{8CAF8051-F517-4C36-9A68-180A2B509FF9}">
          <x14:formula1>
            <xm:f>項目!A$4:$MZU20</xm:f>
          </x14:formula1>
          <xm:sqref>NAD24</xm:sqref>
        </x14:dataValidation>
        <x14:dataValidation type="list" allowBlank="1" showInputMessage="1" showErrorMessage="1" xr:uid="{91F5AAD1-1AA1-4BFA-9838-76C8D9667490}">
          <x14:formula1>
            <xm:f>項目!A2:$NJQ$4</xm:f>
          </x14:formula1>
          <xm:sqref>NJZ5:NJZ23</xm:sqref>
        </x14:dataValidation>
        <x14:dataValidation type="list" allowBlank="1" showInputMessage="1" showErrorMessage="1" xr:uid="{220DD418-FC0D-4E42-8D7B-E3AFCC4C932A}">
          <x14:formula1>
            <xm:f>項目!A$4:$NJQ20</xm:f>
          </x14:formula1>
          <xm:sqref>NJZ24</xm:sqref>
        </x14:dataValidation>
        <x14:dataValidation type="list" allowBlank="1" showInputMessage="1" showErrorMessage="1" xr:uid="{BEF9A899-00B2-4F61-9310-C3C6B2393CAA}">
          <x14:formula1>
            <xm:f>項目!A2:$NTM$4</xm:f>
          </x14:formula1>
          <xm:sqref>NTV5:NTV23</xm:sqref>
        </x14:dataValidation>
        <x14:dataValidation type="list" allowBlank="1" showInputMessage="1" showErrorMessage="1" xr:uid="{9C3A0916-02CC-4111-AA75-BE7A68140518}">
          <x14:formula1>
            <xm:f>項目!A$4:$NTM20</xm:f>
          </x14:formula1>
          <xm:sqref>NTV24</xm:sqref>
        </x14:dataValidation>
        <x14:dataValidation type="list" allowBlank="1" showInputMessage="1" showErrorMessage="1" xr:uid="{4148349D-4E34-46BB-8C71-97DE5C628421}">
          <x14:formula1>
            <xm:f>項目!A2:$ODI$4</xm:f>
          </x14:formula1>
          <xm:sqref>ODR5:ODR23</xm:sqref>
        </x14:dataValidation>
        <x14:dataValidation type="list" allowBlank="1" showInputMessage="1" showErrorMessage="1" xr:uid="{C91ECDDC-3D3B-4D79-8276-C0695F253E8E}">
          <x14:formula1>
            <xm:f>項目!A$4:$ODI20</xm:f>
          </x14:formula1>
          <xm:sqref>ODR24</xm:sqref>
        </x14:dataValidation>
        <x14:dataValidation type="list" allowBlank="1" showInputMessage="1" showErrorMessage="1" xr:uid="{08FE1B36-0CDB-4FA4-85A0-93A78D991196}">
          <x14:formula1>
            <xm:f>項目!A2:$ONE$4</xm:f>
          </x14:formula1>
          <xm:sqref>ONN5:ONN23</xm:sqref>
        </x14:dataValidation>
        <x14:dataValidation type="list" allowBlank="1" showInputMessage="1" showErrorMessage="1" xr:uid="{66852FC6-106C-4F87-B955-101C7CD75D00}">
          <x14:formula1>
            <xm:f>項目!A$4:$ONE20</xm:f>
          </x14:formula1>
          <xm:sqref>ONN24</xm:sqref>
        </x14:dataValidation>
        <x14:dataValidation type="list" allowBlank="1" showInputMessage="1" showErrorMessage="1" xr:uid="{3AE8973C-A56C-43AB-BF6D-CCE46ABAAC69}">
          <x14:formula1>
            <xm:f>項目!A2:$OXA$4</xm:f>
          </x14:formula1>
          <xm:sqref>OXJ5:OXJ23</xm:sqref>
        </x14:dataValidation>
        <x14:dataValidation type="list" allowBlank="1" showInputMessage="1" showErrorMessage="1" xr:uid="{E17AF65A-FE3B-4EC9-8264-E2CD9818799F}">
          <x14:formula1>
            <xm:f>項目!A$4:$OXA20</xm:f>
          </x14:formula1>
          <xm:sqref>OXJ24</xm:sqref>
        </x14:dataValidation>
        <x14:dataValidation type="list" allowBlank="1" showInputMessage="1" showErrorMessage="1" xr:uid="{F12A9568-D475-4F36-A625-29595B4AD203}">
          <x14:formula1>
            <xm:f>項目!A2:$PGW$4</xm:f>
          </x14:formula1>
          <xm:sqref>PHF5:PHF23</xm:sqref>
        </x14:dataValidation>
        <x14:dataValidation type="list" allowBlank="1" showInputMessage="1" showErrorMessage="1" xr:uid="{CC20C0A4-A14A-4034-B66D-02702467DEF4}">
          <x14:formula1>
            <xm:f>項目!A$4:$PGW20</xm:f>
          </x14:formula1>
          <xm:sqref>PHF24</xm:sqref>
        </x14:dataValidation>
        <x14:dataValidation type="list" allowBlank="1" showInputMessage="1" showErrorMessage="1" xr:uid="{37D46519-0D67-48AB-81AC-5AE48E9D2DD1}">
          <x14:formula1>
            <xm:f>項目!A2:$PQS$4</xm:f>
          </x14:formula1>
          <xm:sqref>PRB5:PRB23</xm:sqref>
        </x14:dataValidation>
        <x14:dataValidation type="list" allowBlank="1" showInputMessage="1" showErrorMessage="1" xr:uid="{74AD233A-81A0-4C54-B388-042EA911D174}">
          <x14:formula1>
            <xm:f>項目!A$4:$PQS20</xm:f>
          </x14:formula1>
          <xm:sqref>PRB24</xm:sqref>
        </x14:dataValidation>
        <x14:dataValidation type="list" allowBlank="1" showInputMessage="1" showErrorMessage="1" xr:uid="{4AEF5672-333A-4E96-9A01-578B06EEAACD}">
          <x14:formula1>
            <xm:f>項目!A2:$QAO$4</xm:f>
          </x14:formula1>
          <xm:sqref>QAX5:QAX23</xm:sqref>
        </x14:dataValidation>
        <x14:dataValidation type="list" allowBlank="1" showInputMessage="1" showErrorMessage="1" xr:uid="{F407C560-DAFF-4BD3-A46E-E6C2B7BE5247}">
          <x14:formula1>
            <xm:f>項目!A$4:$QAO20</xm:f>
          </x14:formula1>
          <xm:sqref>QAX24</xm:sqref>
        </x14:dataValidation>
        <x14:dataValidation type="list" allowBlank="1" showInputMessage="1" showErrorMessage="1" xr:uid="{2B5B851D-26FF-4275-9DCB-DEDB35E8227F}">
          <x14:formula1>
            <xm:f>項目!A2:$QKK$4</xm:f>
          </x14:formula1>
          <xm:sqref>QKT5:QKT23</xm:sqref>
        </x14:dataValidation>
        <x14:dataValidation type="list" allowBlank="1" showInputMessage="1" showErrorMessage="1" xr:uid="{416D43E3-1163-4527-8064-E681AAE74B80}">
          <x14:formula1>
            <xm:f>項目!A$4:$QKK20</xm:f>
          </x14:formula1>
          <xm:sqref>QKT24</xm:sqref>
        </x14:dataValidation>
        <x14:dataValidation type="list" allowBlank="1" showInputMessage="1" showErrorMessage="1" xr:uid="{EBE62186-98BB-46FA-B9CE-D36D3D32F80A}">
          <x14:formula1>
            <xm:f>項目!A2:$QUG$4</xm:f>
          </x14:formula1>
          <xm:sqref>QUP5:QUP23</xm:sqref>
        </x14:dataValidation>
        <x14:dataValidation type="list" allowBlank="1" showInputMessage="1" showErrorMessage="1" xr:uid="{226FDC15-A5BA-47AB-8A51-9B80F3310D3A}">
          <x14:formula1>
            <xm:f>項目!A$4:$QUG20</xm:f>
          </x14:formula1>
          <xm:sqref>QUP24</xm:sqref>
        </x14:dataValidation>
        <x14:dataValidation type="list" allowBlank="1" showInputMessage="1" showErrorMessage="1" xr:uid="{7C55D79D-CB00-4538-80A8-D73A0242D4FA}">
          <x14:formula1>
            <xm:f>項目!A2:$REC$4</xm:f>
          </x14:formula1>
          <xm:sqref>REL5:REL23</xm:sqref>
        </x14:dataValidation>
        <x14:dataValidation type="list" allowBlank="1" showInputMessage="1" showErrorMessage="1" xr:uid="{533A25D5-131B-4325-8040-6AD0F3D20CE3}">
          <x14:formula1>
            <xm:f>項目!A$4:$REC20</xm:f>
          </x14:formula1>
          <xm:sqref>REL24</xm:sqref>
        </x14:dataValidation>
        <x14:dataValidation type="list" allowBlank="1" showInputMessage="1" showErrorMessage="1" xr:uid="{C7DB096E-DE05-45AA-8C17-0947CE5E8222}">
          <x14:formula1>
            <xm:f>項目!A2:$RNY$4</xm:f>
          </x14:formula1>
          <xm:sqref>ROH5:ROH23</xm:sqref>
        </x14:dataValidation>
        <x14:dataValidation type="list" allowBlank="1" showInputMessage="1" showErrorMessage="1" xr:uid="{1818135B-311C-4D7C-9F96-141D549AC57D}">
          <x14:formula1>
            <xm:f>項目!A$4:$RNY20</xm:f>
          </x14:formula1>
          <xm:sqref>ROH24</xm:sqref>
        </x14:dataValidation>
        <x14:dataValidation type="list" allowBlank="1" showInputMessage="1" showErrorMessage="1" xr:uid="{731C4C14-50F8-47D8-B4CE-B93B032BF6D3}">
          <x14:formula1>
            <xm:f>項目!A2:$RXU$4</xm:f>
          </x14:formula1>
          <xm:sqref>RYD5:RYD23</xm:sqref>
        </x14:dataValidation>
        <x14:dataValidation type="list" allowBlank="1" showInputMessage="1" showErrorMessage="1" xr:uid="{157F137E-AB7E-4C3A-95E1-5E28E5C57C0A}">
          <x14:formula1>
            <xm:f>項目!A$4:$RXU20</xm:f>
          </x14:formula1>
          <xm:sqref>RYD24</xm:sqref>
        </x14:dataValidation>
        <x14:dataValidation type="list" allowBlank="1" showInputMessage="1" showErrorMessage="1" xr:uid="{61113CDF-2766-4E5A-96CF-C23FF8746411}">
          <x14:formula1>
            <xm:f>項目!A2:$SHQ$4</xm:f>
          </x14:formula1>
          <xm:sqref>SHZ5:SHZ23</xm:sqref>
        </x14:dataValidation>
        <x14:dataValidation type="list" allowBlank="1" showInputMessage="1" showErrorMessage="1" xr:uid="{B654A7E3-9BCF-42F8-A287-D36A40C92AA7}">
          <x14:formula1>
            <xm:f>項目!A$4:$SHQ20</xm:f>
          </x14:formula1>
          <xm:sqref>SHZ24</xm:sqref>
        </x14:dataValidation>
        <x14:dataValidation type="list" allowBlank="1" showInputMessage="1" showErrorMessage="1" xr:uid="{69C1559A-BC3D-4AB3-8F78-5E1A2147AE8E}">
          <x14:formula1>
            <xm:f>項目!A2:$SRM$4</xm:f>
          </x14:formula1>
          <xm:sqref>SRV5:SRV23</xm:sqref>
        </x14:dataValidation>
        <x14:dataValidation type="list" allowBlank="1" showInputMessage="1" showErrorMessage="1" xr:uid="{7DB7BEEB-3C24-4F53-BFEC-8380EF9E16A0}">
          <x14:formula1>
            <xm:f>項目!A$4:$SRM20</xm:f>
          </x14:formula1>
          <xm:sqref>SRV24</xm:sqref>
        </x14:dataValidation>
        <x14:dataValidation type="list" allowBlank="1" showInputMessage="1" showErrorMessage="1" xr:uid="{6BD2DEFB-DCE5-4EE6-A09F-1024E2A43F43}">
          <x14:formula1>
            <xm:f>項目!A2:$TBI$4</xm:f>
          </x14:formula1>
          <xm:sqref>TBR5:TBR23</xm:sqref>
        </x14:dataValidation>
        <x14:dataValidation type="list" allowBlank="1" showInputMessage="1" showErrorMessage="1" xr:uid="{463E5E60-3F98-4E80-83C0-59A796749566}">
          <x14:formula1>
            <xm:f>項目!A$4:$TBI20</xm:f>
          </x14:formula1>
          <xm:sqref>TBR24</xm:sqref>
        </x14:dataValidation>
        <x14:dataValidation type="list" allowBlank="1" showInputMessage="1" showErrorMessage="1" xr:uid="{FBFCD201-D920-4FC1-A8E3-E735DAEA6FDC}">
          <x14:formula1>
            <xm:f>項目!A2:$TLE$4</xm:f>
          </x14:formula1>
          <xm:sqref>TLN5:TLN23</xm:sqref>
        </x14:dataValidation>
        <x14:dataValidation type="list" allowBlank="1" showInputMessage="1" showErrorMessage="1" xr:uid="{4E46E4EB-A612-4C15-B6FA-ADCB4A890D7F}">
          <x14:formula1>
            <xm:f>項目!A$4:$TLE20</xm:f>
          </x14:formula1>
          <xm:sqref>TLN24</xm:sqref>
        </x14:dataValidation>
        <x14:dataValidation type="list" allowBlank="1" showInputMessage="1" showErrorMessage="1" xr:uid="{F86AC6E5-50C8-4577-A795-2F61D4DFC29C}">
          <x14:formula1>
            <xm:f>項目!A2:$TVA$4</xm:f>
          </x14:formula1>
          <xm:sqref>TVJ5:TVJ23</xm:sqref>
        </x14:dataValidation>
        <x14:dataValidation type="list" allowBlank="1" showInputMessage="1" showErrorMessage="1" xr:uid="{6F0DCE92-D0A4-47EB-85B7-EBD159E64F71}">
          <x14:formula1>
            <xm:f>項目!A$4:$TVA20</xm:f>
          </x14:formula1>
          <xm:sqref>TVJ24</xm:sqref>
        </x14:dataValidation>
        <x14:dataValidation type="list" allowBlank="1" showInputMessage="1" showErrorMessage="1" xr:uid="{64F0A3B5-AF1F-45EB-AE1C-D62BA9C5D059}">
          <x14:formula1>
            <xm:f>項目!A2:$UEW$4</xm:f>
          </x14:formula1>
          <xm:sqref>UFF5:UFF23</xm:sqref>
        </x14:dataValidation>
        <x14:dataValidation type="list" allowBlank="1" showInputMessage="1" showErrorMessage="1" xr:uid="{F5BE0C67-6767-4562-AE99-322645933FDA}">
          <x14:formula1>
            <xm:f>項目!A$4:$UEW20</xm:f>
          </x14:formula1>
          <xm:sqref>UFF24</xm:sqref>
        </x14:dataValidation>
        <x14:dataValidation type="list" allowBlank="1" showInputMessage="1" showErrorMessage="1" xr:uid="{B863D2CD-5958-4112-95AE-AE31AE492865}">
          <x14:formula1>
            <xm:f>項目!A2:$UOS$4</xm:f>
          </x14:formula1>
          <xm:sqref>UPB5:UPB23</xm:sqref>
        </x14:dataValidation>
        <x14:dataValidation type="list" allowBlank="1" showInputMessage="1" showErrorMessage="1" xr:uid="{6BB64FEB-93B9-4D12-812C-52ECF614F120}">
          <x14:formula1>
            <xm:f>項目!A$4:$UOS20</xm:f>
          </x14:formula1>
          <xm:sqref>UPB24</xm:sqref>
        </x14:dataValidation>
        <x14:dataValidation type="list" allowBlank="1" showInputMessage="1" showErrorMessage="1" xr:uid="{DB554C05-CCE2-4C41-AC74-58C12D74A785}">
          <x14:formula1>
            <xm:f>項目!A2:$UYO$4</xm:f>
          </x14:formula1>
          <xm:sqref>UYX5:UYX23</xm:sqref>
        </x14:dataValidation>
        <x14:dataValidation type="list" allowBlank="1" showInputMessage="1" showErrorMessage="1" xr:uid="{8816C1FB-1984-4A13-81D7-FB7A4B3806B1}">
          <x14:formula1>
            <xm:f>項目!A$4:$UYO20</xm:f>
          </x14:formula1>
          <xm:sqref>UYX24</xm:sqref>
        </x14:dataValidation>
        <x14:dataValidation type="list" allowBlank="1" showInputMessage="1" showErrorMessage="1" xr:uid="{901F6018-A692-4234-9F07-5498412BC23B}">
          <x14:formula1>
            <xm:f>項目!A2:$VIK$4</xm:f>
          </x14:formula1>
          <xm:sqref>VIT5:VIT23</xm:sqref>
        </x14:dataValidation>
        <x14:dataValidation type="list" allowBlank="1" showInputMessage="1" showErrorMessage="1" xr:uid="{F25B6C97-6AE0-4971-95A9-78917C2DE605}">
          <x14:formula1>
            <xm:f>項目!A$4:$VIK20</xm:f>
          </x14:formula1>
          <xm:sqref>VIT24</xm:sqref>
        </x14:dataValidation>
        <x14:dataValidation type="list" allowBlank="1" showInputMessage="1" showErrorMessage="1" xr:uid="{11F077CC-8EC3-4E45-8261-87676C58FFC8}">
          <x14:formula1>
            <xm:f>項目!A2:$VSG$4</xm:f>
          </x14:formula1>
          <xm:sqref>VSP5:VSP23</xm:sqref>
        </x14:dataValidation>
        <x14:dataValidation type="list" allowBlank="1" showInputMessage="1" showErrorMessage="1" xr:uid="{1A631159-48DD-415F-AF0C-449A4F531B41}">
          <x14:formula1>
            <xm:f>項目!A$4:$VSG20</xm:f>
          </x14:formula1>
          <xm:sqref>VSP24</xm:sqref>
        </x14:dataValidation>
        <x14:dataValidation type="list" allowBlank="1" showInputMessage="1" showErrorMessage="1" xr:uid="{F5DFDB14-89D7-4CA0-835F-F314627F754C}">
          <x14:formula1>
            <xm:f>項目!A2:$WCC$4</xm:f>
          </x14:formula1>
          <xm:sqref>WCL5:WCL23</xm:sqref>
        </x14:dataValidation>
        <x14:dataValidation type="list" allowBlank="1" showInputMessage="1" showErrorMessage="1" xr:uid="{39C9DDD5-3E42-4FD9-8717-72D21348E743}">
          <x14:formula1>
            <xm:f>項目!A$4:$WCC20</xm:f>
          </x14:formula1>
          <xm:sqref>WCL24</xm:sqref>
        </x14:dataValidation>
        <x14:dataValidation type="list" allowBlank="1" showInputMessage="1" showErrorMessage="1" xr:uid="{B607E1F4-9D7A-47E9-92DE-7B3090393D45}">
          <x14:formula1>
            <xm:f>項目!A2:$WLY$4</xm:f>
          </x14:formula1>
          <xm:sqref>WMH5:WMH23</xm:sqref>
        </x14:dataValidation>
        <x14:dataValidation type="list" allowBlank="1" showInputMessage="1" showErrorMessage="1" xr:uid="{2E29AA39-4D3A-4D15-BF82-7F4B66C0B7EC}">
          <x14:formula1>
            <xm:f>項目!A$4:$WLY20</xm:f>
          </x14:formula1>
          <xm:sqref>WMH24</xm:sqref>
        </x14:dataValidation>
        <x14:dataValidation type="list" allowBlank="1" showInputMessage="1" showErrorMessage="1" xr:uid="{CC3EF3BE-31BF-4920-A810-5A1E6A9A167E}">
          <x14:formula1>
            <xm:f>項目!A2:$WVU$4</xm:f>
          </x14:formula1>
          <xm:sqref>WWD5:WWD23</xm:sqref>
        </x14:dataValidation>
        <x14:dataValidation type="list" allowBlank="1" showInputMessage="1" showErrorMessage="1" xr:uid="{91F36087-75E6-4540-955E-957FD549B4E5}">
          <x14:formula1>
            <xm:f>項目!A$4:$WVU20</xm:f>
          </x14:formula1>
          <xm:sqref>WWD24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B2:AB50"/>
  <sheetViews>
    <sheetView showGridLines="0" zoomScale="70" zoomScaleNormal="70" workbookViewId="0"/>
  </sheetViews>
  <sheetFormatPr defaultColWidth="9" defaultRowHeight="15.5" x14ac:dyDescent="0.75"/>
  <cols>
    <col min="1" max="1" width="9" style="199"/>
    <col min="2" max="2" width="4.6328125" style="203" customWidth="1"/>
    <col min="3" max="4" width="6.6328125" style="200" customWidth="1"/>
    <col min="5" max="5" width="12.6328125" style="199" customWidth="1"/>
    <col min="6" max="6" width="6.6328125" style="199" customWidth="1"/>
    <col min="7" max="7" width="6.6328125" style="200" customWidth="1"/>
    <col min="8" max="8" width="4.6328125" style="199" customWidth="1"/>
    <col min="9" max="9" width="4.6328125" style="203" customWidth="1"/>
    <col min="10" max="11" width="6.6328125" style="200" customWidth="1"/>
    <col min="12" max="12" width="12.6328125" style="199" customWidth="1"/>
    <col min="13" max="13" width="6.6328125" style="199" customWidth="1"/>
    <col min="14" max="14" width="6.6328125" style="200" customWidth="1"/>
    <col min="15" max="15" width="4.6328125" style="199" customWidth="1"/>
    <col min="16" max="16" width="9" style="200"/>
    <col min="17" max="17" width="3.6328125" style="200" hidden="1" customWidth="1"/>
    <col min="18" max="18" width="7.6328125" style="201" hidden="1" customWidth="1"/>
    <col min="19" max="19" width="20.1328125" style="202" hidden="1" customWidth="1"/>
    <col min="20" max="20" width="9" style="199" hidden="1" customWidth="1"/>
    <col min="21" max="21" width="20.1328125" style="202" hidden="1" customWidth="1"/>
    <col min="22" max="22" width="9" style="199" hidden="1" customWidth="1"/>
    <col min="23" max="23" width="9" style="199" customWidth="1"/>
    <col min="24" max="16384" width="9" style="199"/>
  </cols>
  <sheetData>
    <row r="2" spans="2:23" ht="16.75" x14ac:dyDescent="0.75">
      <c r="B2" s="559" t="str">
        <f>大会要項!B3</f>
        <v>第12回 全日本不動産協会杯争奪U-12サッカー大会【ラビットカップ】大分県大会</v>
      </c>
      <c r="C2" s="559"/>
      <c r="D2" s="559"/>
      <c r="E2" s="559"/>
      <c r="F2" s="559"/>
      <c r="G2" s="559"/>
      <c r="H2" s="559"/>
      <c r="I2" s="559"/>
      <c r="J2" s="559"/>
      <c r="K2" s="559"/>
      <c r="L2" s="559"/>
      <c r="M2" s="559" t="s">
        <v>2003</v>
      </c>
      <c r="N2" s="559"/>
      <c r="O2" s="559"/>
      <c r="R2" s="201" t="s">
        <v>77</v>
      </c>
    </row>
    <row r="3" spans="2:23" ht="14.25" customHeight="1" x14ac:dyDescent="0.45">
      <c r="R3" s="179" t="s">
        <v>9</v>
      </c>
      <c r="S3" s="179" t="s">
        <v>4</v>
      </c>
      <c r="U3" s="179"/>
    </row>
    <row r="4" spans="2:23" ht="15.75" customHeight="1" x14ac:dyDescent="0.75">
      <c r="E4" s="204" t="s">
        <v>26</v>
      </c>
      <c r="F4" s="205"/>
      <c r="L4" s="205" t="s">
        <v>27</v>
      </c>
      <c r="M4" s="205"/>
      <c r="Q4" s="206" t="s">
        <v>8500</v>
      </c>
      <c r="R4" s="571" t="s">
        <v>3</v>
      </c>
      <c r="S4" s="207" t="s">
        <v>8475</v>
      </c>
      <c r="U4" s="207" t="str">
        <f>抽選会資料!B11</f>
        <v>スマイス　セレソン　スポーツクラブＡ</v>
      </c>
      <c r="V4" s="199" t="s">
        <v>3</v>
      </c>
      <c r="W4" s="208"/>
    </row>
    <row r="5" spans="2:23" ht="15.75" customHeight="1" x14ac:dyDescent="0.75">
      <c r="D5" s="203" t="s">
        <v>220</v>
      </c>
      <c r="E5" s="568" t="str">
        <f>IF(ISERROR(VLOOKUP(D5,$Q:$S,3,FALSE))=TRUE,"",VLOOKUP(D5,$Q:$S,3,FALSE))</f>
        <v>和田</v>
      </c>
      <c r="F5" s="209"/>
      <c r="G5" s="570"/>
      <c r="H5" s="210"/>
      <c r="K5" s="203" t="s">
        <v>65</v>
      </c>
      <c r="L5" s="572" t="str">
        <f>IF(ISERROR(VLOOKUP(K5,$Q:$S,3,FALSE))=TRUE,"",VLOOKUP(K5,$Q:$S,3,FALSE))</f>
        <v>国東</v>
      </c>
      <c r="M5" s="209"/>
      <c r="N5" s="570"/>
      <c r="O5" s="210"/>
      <c r="Q5" s="206" t="s">
        <v>8501</v>
      </c>
      <c r="R5" s="571"/>
      <c r="S5" s="207" t="s">
        <v>8476</v>
      </c>
      <c r="U5" s="207" t="str">
        <f>抽選会資料!B12</f>
        <v>ＫＩＮＧＳ　ＦＯＯＴＢＡＬＬＣＬＵＢ　Ｕ－１２</v>
      </c>
      <c r="V5" s="199" t="s">
        <v>3</v>
      </c>
      <c r="W5" s="208"/>
    </row>
    <row r="6" spans="2:23" ht="15.75" customHeight="1" x14ac:dyDescent="0.75">
      <c r="D6" s="562"/>
      <c r="E6" s="569"/>
      <c r="F6" s="560"/>
      <c r="G6" s="570"/>
      <c r="H6" s="210"/>
      <c r="K6" s="562"/>
      <c r="L6" s="573"/>
      <c r="M6" s="560"/>
      <c r="N6" s="570"/>
      <c r="O6" s="210"/>
      <c r="Q6" s="206" t="s">
        <v>8502</v>
      </c>
      <c r="R6" s="571"/>
      <c r="S6" s="217" t="s">
        <v>8477</v>
      </c>
      <c r="U6" s="207" t="str">
        <f>抽選会資料!B13</f>
        <v>金池長浜サッカースポーツ少年団</v>
      </c>
      <c r="V6" s="199" t="s">
        <v>3</v>
      </c>
      <c r="W6" s="208"/>
    </row>
    <row r="7" spans="2:23" ht="15.75" customHeight="1" x14ac:dyDescent="0.75">
      <c r="C7" s="209"/>
      <c r="D7" s="562"/>
      <c r="E7" s="561"/>
      <c r="F7" s="560"/>
      <c r="G7" s="209"/>
      <c r="H7" s="210"/>
      <c r="J7" s="209"/>
      <c r="K7" s="562"/>
      <c r="L7" s="561"/>
      <c r="M7" s="560"/>
      <c r="N7" s="209"/>
      <c r="O7" s="210"/>
      <c r="Q7" s="206" t="s">
        <v>8503</v>
      </c>
      <c r="R7" s="571"/>
      <c r="S7" s="207" t="s">
        <v>8478</v>
      </c>
      <c r="U7" s="207" t="str">
        <f>抽選会資料!B14</f>
        <v>西の台ＪＦＣ</v>
      </c>
      <c r="V7" s="199" t="s">
        <v>3</v>
      </c>
      <c r="W7" s="208"/>
    </row>
    <row r="8" spans="2:23" ht="15.75" customHeight="1" x14ac:dyDescent="0.75">
      <c r="C8" s="211"/>
      <c r="D8" s="563"/>
      <c r="E8" s="561"/>
      <c r="F8" s="560"/>
      <c r="G8" s="211"/>
      <c r="H8" s="212"/>
      <c r="J8" s="211"/>
      <c r="K8" s="563"/>
      <c r="L8" s="561"/>
      <c r="M8" s="560"/>
      <c r="N8" s="211"/>
      <c r="O8" s="212"/>
      <c r="Q8" s="206" t="s">
        <v>8504</v>
      </c>
      <c r="R8" s="571"/>
      <c r="S8" s="207" t="s">
        <v>8479</v>
      </c>
      <c r="U8" s="207" t="str">
        <f>抽選会資料!B15</f>
        <v>リノスフットボールクラブ　Ｕ－１２</v>
      </c>
      <c r="V8" s="199" t="s">
        <v>3</v>
      </c>
      <c r="W8" s="208"/>
    </row>
    <row r="9" spans="2:23" ht="15.75" customHeight="1" x14ac:dyDescent="0.75">
      <c r="B9" s="203" t="s">
        <v>222</v>
      </c>
      <c r="C9" s="564" t="str">
        <f>IF(ISERROR(VLOOKUP(B9,$Q:$S,3,FALSE))=TRUE,"",VLOOKUP(B9,$Q:$S,3,FALSE))</f>
        <v>リノス</v>
      </c>
      <c r="D9" s="565"/>
      <c r="E9" s="213"/>
      <c r="F9" s="564" t="str">
        <f>IF(ISERROR(VLOOKUP(H9,$Q:$S,3,FALSE))=TRUE,"",VLOOKUP(H9,$Q:$S,3,FALSE))</f>
        <v>カティオーラＵ－１２</v>
      </c>
      <c r="G9" s="565"/>
      <c r="H9" s="210" t="s">
        <v>224</v>
      </c>
      <c r="I9" s="203" t="s">
        <v>66</v>
      </c>
      <c r="J9" s="564" t="str">
        <f>IF(ISERROR(VLOOKUP(I9,$Q:$S,3,FALSE))=TRUE,"",VLOOKUP(I9,$Q:$S,3,FALSE))</f>
        <v>ＫＩＮＧＳ</v>
      </c>
      <c r="K9" s="565"/>
      <c r="L9" s="213"/>
      <c r="M9" s="576" t="str">
        <f>IF(ISERROR(VLOOKUP(O9,$Q:$S,3,FALSE))=TRUE,"",VLOOKUP(O9,$Q:$S,3,FALSE))</f>
        <v>ドリームキッズ</v>
      </c>
      <c r="N9" s="577"/>
      <c r="O9" s="210" t="s">
        <v>67</v>
      </c>
      <c r="Q9" s="206" t="s">
        <v>8505</v>
      </c>
      <c r="R9" s="571"/>
      <c r="S9" s="207" t="s">
        <v>8480</v>
      </c>
      <c r="U9" s="207" t="str">
        <f>抽選会資料!B16</f>
        <v>明野東サッカースポーツ少年団</v>
      </c>
      <c r="V9" s="199" t="s">
        <v>3</v>
      </c>
      <c r="W9" s="208"/>
    </row>
    <row r="10" spans="2:23" ht="15.75" customHeight="1" x14ac:dyDescent="0.75">
      <c r="C10" s="566"/>
      <c r="D10" s="567"/>
      <c r="E10" s="212"/>
      <c r="F10" s="566"/>
      <c r="G10" s="567"/>
      <c r="H10" s="210"/>
      <c r="J10" s="566"/>
      <c r="K10" s="567"/>
      <c r="L10" s="212"/>
      <c r="M10" s="578"/>
      <c r="N10" s="579"/>
      <c r="O10" s="210"/>
      <c r="Q10" s="206" t="s">
        <v>8506</v>
      </c>
      <c r="R10" s="571"/>
      <c r="S10" s="207" t="s">
        <v>8481</v>
      </c>
      <c r="U10" s="207" t="str">
        <f>抽選会資料!B17</f>
        <v>寒田．敷戸ＦＣ</v>
      </c>
      <c r="V10" s="199" t="s">
        <v>3</v>
      </c>
      <c r="W10" s="208"/>
    </row>
    <row r="11" spans="2:23" ht="15.75" customHeight="1" x14ac:dyDescent="0.75">
      <c r="C11" s="209"/>
      <c r="D11" s="209"/>
      <c r="E11" s="211"/>
      <c r="F11" s="211"/>
      <c r="G11" s="209"/>
      <c r="H11" s="209"/>
      <c r="I11" s="214"/>
      <c r="J11" s="209"/>
      <c r="K11" s="209"/>
      <c r="L11" s="211"/>
      <c r="M11" s="211"/>
      <c r="N11" s="209"/>
      <c r="Q11" s="206" t="s">
        <v>8507</v>
      </c>
      <c r="R11" s="571"/>
      <c r="S11" s="207" t="s">
        <v>8482</v>
      </c>
      <c r="U11" s="207" t="str">
        <f>抽選会資料!B18</f>
        <v>明治サッカースポーツ少年団</v>
      </c>
      <c r="V11" s="199" t="s">
        <v>3</v>
      </c>
      <c r="W11" s="208"/>
    </row>
    <row r="12" spans="2:23" ht="15.75" customHeight="1" x14ac:dyDescent="0.75">
      <c r="C12" s="209"/>
      <c r="D12" s="209"/>
      <c r="E12" s="205" t="s">
        <v>28</v>
      </c>
      <c r="F12" s="205"/>
      <c r="G12" s="209"/>
      <c r="H12" s="215"/>
      <c r="L12" s="205" t="s">
        <v>29</v>
      </c>
      <c r="M12" s="205"/>
      <c r="Q12" s="206" t="s">
        <v>8508</v>
      </c>
      <c r="R12" s="571"/>
      <c r="S12" s="207" t="s">
        <v>8483</v>
      </c>
      <c r="U12" s="207" t="str">
        <f>抽選会資料!B19</f>
        <v>ドリームキッズフットボールクラブ</v>
      </c>
      <c r="V12" s="199" t="s">
        <v>3</v>
      </c>
      <c r="W12" s="208"/>
    </row>
    <row r="13" spans="2:23" ht="15.75" customHeight="1" x14ac:dyDescent="0.75">
      <c r="D13" s="203" t="s">
        <v>56</v>
      </c>
      <c r="E13" s="574" t="str">
        <f>IF(ISERROR(VLOOKUP(D13,$Q:$S,3,FALSE))=TRUE,"",VLOOKUP(D13,$Q:$S,3,FALSE))</f>
        <v>臼杵</v>
      </c>
      <c r="F13" s="209"/>
      <c r="G13" s="570"/>
      <c r="H13" s="210"/>
      <c r="K13" s="203" t="s">
        <v>68</v>
      </c>
      <c r="L13" s="574" t="str">
        <f>IF(ISERROR(VLOOKUP(K13,$Q:$S,3,FALSE))=TRUE,"",VLOOKUP(K13,$Q:$S,3,FALSE))</f>
        <v>スマイス・セレソン</v>
      </c>
      <c r="M13" s="209"/>
      <c r="N13" s="570"/>
      <c r="O13" s="210"/>
      <c r="Q13" s="206" t="s">
        <v>8509</v>
      </c>
      <c r="R13" s="571"/>
      <c r="S13" s="207" t="s">
        <v>8484</v>
      </c>
      <c r="U13" s="207" t="str">
        <f>抽選会資料!B20</f>
        <v>ブルーウイングフットボールクラブ</v>
      </c>
      <c r="V13" s="199" t="s">
        <v>3</v>
      </c>
      <c r="W13" s="208"/>
    </row>
    <row r="14" spans="2:23" ht="15.75" customHeight="1" x14ac:dyDescent="0.75">
      <c r="D14" s="562"/>
      <c r="E14" s="575"/>
      <c r="F14" s="560"/>
      <c r="G14" s="570"/>
      <c r="H14" s="210"/>
      <c r="K14" s="562"/>
      <c r="L14" s="575"/>
      <c r="M14" s="560"/>
      <c r="N14" s="570"/>
      <c r="O14" s="210"/>
      <c r="Q14" s="206" t="s">
        <v>8488</v>
      </c>
      <c r="R14" s="571"/>
      <c r="S14" s="207" t="s">
        <v>8485</v>
      </c>
      <c r="U14" s="207" t="str">
        <f>抽選会資料!B21</f>
        <v>カティオーラフットボールクラブＵ－１２</v>
      </c>
      <c r="V14" s="199" t="s">
        <v>3</v>
      </c>
      <c r="W14" s="208"/>
    </row>
    <row r="15" spans="2:23" ht="15.75" customHeight="1" x14ac:dyDescent="0.75">
      <c r="C15" s="209"/>
      <c r="D15" s="562"/>
      <c r="E15" s="561"/>
      <c r="F15" s="560"/>
      <c r="G15" s="209"/>
      <c r="H15" s="210"/>
      <c r="J15" s="209"/>
      <c r="K15" s="562"/>
      <c r="L15" s="561"/>
      <c r="M15" s="560"/>
      <c r="N15" s="209"/>
      <c r="O15" s="210"/>
    </row>
    <row r="16" spans="2:23" ht="15.75" customHeight="1" x14ac:dyDescent="0.75">
      <c r="C16" s="211"/>
      <c r="D16" s="563"/>
      <c r="E16" s="561"/>
      <c r="F16" s="560"/>
      <c r="G16" s="211"/>
      <c r="H16" s="212"/>
      <c r="J16" s="211"/>
      <c r="K16" s="563"/>
      <c r="L16" s="561"/>
      <c r="M16" s="560"/>
      <c r="N16" s="211"/>
      <c r="O16" s="212"/>
      <c r="R16" s="177"/>
      <c r="S16" s="208"/>
      <c r="U16" s="208"/>
    </row>
    <row r="17" spans="2:28" ht="15.75" customHeight="1" x14ac:dyDescent="0.75">
      <c r="B17" s="203" t="s">
        <v>57</v>
      </c>
      <c r="C17" s="564" t="str">
        <f>IF(ISERROR(VLOOKUP(B17,$Q:$S,3,FALSE))=TRUE,"",VLOOKUP(B17,$Q:$S,3,FALSE))</f>
        <v>ブルーウイング</v>
      </c>
      <c r="D17" s="565"/>
      <c r="E17" s="213"/>
      <c r="F17" s="564" t="str">
        <f>IF(ISERROR(VLOOKUP(H17,$Q:$S,3,FALSE))=TRUE,"",VLOOKUP(H17,$Q:$S,3,FALSE))</f>
        <v>きつき</v>
      </c>
      <c r="G17" s="565"/>
      <c r="H17" s="210" t="s">
        <v>58</v>
      </c>
      <c r="I17" s="203" t="s">
        <v>69</v>
      </c>
      <c r="J17" s="564" t="str">
        <f>IF(ISERROR(VLOOKUP(I17,$Q:$S,3,FALSE))=TRUE,"",VLOOKUP(I17,$Q:$S,3,FALSE))</f>
        <v>明治</v>
      </c>
      <c r="K17" s="565"/>
      <c r="L17" s="213"/>
      <c r="M17" s="564" t="str">
        <f>IF(ISERROR(VLOOKUP(O17,$Q:$S,3,FALSE))=TRUE,"",VLOOKUP(O17,$Q:$S,3,FALSE))</f>
        <v>鶴見少年</v>
      </c>
      <c r="N17" s="565"/>
      <c r="O17" s="210" t="s">
        <v>70</v>
      </c>
      <c r="R17" s="177"/>
      <c r="S17" s="208"/>
      <c r="U17" s="208"/>
    </row>
    <row r="18" spans="2:28" ht="15.75" customHeight="1" x14ac:dyDescent="0.75">
      <c r="C18" s="566"/>
      <c r="D18" s="567"/>
      <c r="E18" s="212"/>
      <c r="F18" s="566"/>
      <c r="G18" s="567"/>
      <c r="H18" s="210"/>
      <c r="J18" s="566"/>
      <c r="K18" s="567"/>
      <c r="L18" s="212"/>
      <c r="M18" s="566"/>
      <c r="N18" s="567"/>
      <c r="O18" s="210"/>
      <c r="R18" s="201" t="s">
        <v>55</v>
      </c>
    </row>
    <row r="19" spans="2:28" ht="15.75" customHeight="1" x14ac:dyDescent="0.75">
      <c r="Q19" s="201"/>
      <c r="R19" s="179" t="s">
        <v>9</v>
      </c>
      <c r="S19" s="179"/>
      <c r="U19" s="179"/>
    </row>
    <row r="20" spans="2:28" ht="15.75" customHeight="1" x14ac:dyDescent="0.75">
      <c r="Q20" s="216" t="s">
        <v>8489</v>
      </c>
      <c r="R20" s="558" t="s">
        <v>5</v>
      </c>
      <c r="S20" s="217" t="s">
        <v>8463</v>
      </c>
      <c r="U20" s="207" t="str">
        <f>抽選会資料!I11</f>
        <v>ティエラフットボールクラブＵ－１２</v>
      </c>
      <c r="V20" s="199" t="s">
        <v>5</v>
      </c>
      <c r="W20" s="208"/>
    </row>
    <row r="21" spans="2:28" ht="15.75" customHeight="1" x14ac:dyDescent="0.75">
      <c r="E21" s="204" t="s">
        <v>30</v>
      </c>
      <c r="F21" s="205"/>
      <c r="I21" s="214"/>
      <c r="J21" s="209"/>
      <c r="K21" s="209"/>
      <c r="L21" s="205" t="s">
        <v>31</v>
      </c>
      <c r="M21" s="205"/>
      <c r="N21" s="209"/>
      <c r="Q21" s="216" t="s">
        <v>8490</v>
      </c>
      <c r="R21" s="558"/>
      <c r="S21" s="217" t="s">
        <v>8464</v>
      </c>
      <c r="U21" s="207" t="str">
        <f>抽選会資料!I12</f>
        <v>鶴居ＳＳＳ</v>
      </c>
      <c r="V21" s="199" t="s">
        <v>5</v>
      </c>
      <c r="W21" s="208"/>
    </row>
    <row r="22" spans="2:28" ht="15.75" customHeight="1" x14ac:dyDescent="0.75">
      <c r="D22" s="203" t="s">
        <v>59</v>
      </c>
      <c r="E22" s="574" t="str">
        <f>IF(ISERROR(VLOOKUP(D22,$Q:$S,3,FALSE))=TRUE,"",VLOOKUP(D22,$Q:$S,3,FALSE))</f>
        <v>ミネルバ</v>
      </c>
      <c r="F22" s="209"/>
      <c r="G22" s="570"/>
      <c r="H22" s="210"/>
      <c r="K22" s="203" t="s">
        <v>71</v>
      </c>
      <c r="L22" s="574" t="str">
        <f>IF(ISERROR(VLOOKUP(K22,$Q:$S,3,FALSE))=TRUE,"",VLOOKUP(K22,$Q:$S,3,FALSE))</f>
        <v>ＷＡＹＳ</v>
      </c>
      <c r="M22" s="209"/>
      <c r="N22" s="570"/>
      <c r="O22" s="210"/>
      <c r="Q22" s="216" t="s">
        <v>8491</v>
      </c>
      <c r="R22" s="558"/>
      <c r="S22" s="217" t="s">
        <v>8465</v>
      </c>
      <c r="U22" s="207" t="str">
        <f>抽選会資料!I13</f>
        <v>和田少年サッカークラブ</v>
      </c>
      <c r="V22" s="199" t="s">
        <v>5</v>
      </c>
      <c r="W22" s="208"/>
    </row>
    <row r="23" spans="2:28" ht="15.75" customHeight="1" x14ac:dyDescent="0.75">
      <c r="D23" s="562"/>
      <c r="E23" s="575"/>
      <c r="F23" s="560"/>
      <c r="G23" s="570"/>
      <c r="H23" s="210"/>
      <c r="K23" s="562"/>
      <c r="L23" s="575"/>
      <c r="M23" s="560"/>
      <c r="N23" s="570"/>
      <c r="O23" s="210"/>
      <c r="Q23" s="216" t="s">
        <v>8492</v>
      </c>
      <c r="R23" s="558" t="s">
        <v>54</v>
      </c>
      <c r="S23" s="217" t="s">
        <v>8466</v>
      </c>
      <c r="U23" s="207" t="str">
        <f>抽選会資料!I14</f>
        <v>きつきＦＣ</v>
      </c>
      <c r="V23" s="199" t="s">
        <v>54</v>
      </c>
      <c r="W23" s="208"/>
    </row>
    <row r="24" spans="2:28" ht="15.75" customHeight="1" x14ac:dyDescent="0.75">
      <c r="C24" s="209"/>
      <c r="D24" s="562"/>
      <c r="E24" s="561"/>
      <c r="F24" s="560"/>
      <c r="G24" s="209"/>
      <c r="H24" s="210"/>
      <c r="J24" s="209"/>
      <c r="K24" s="562"/>
      <c r="L24" s="561"/>
      <c r="M24" s="560"/>
      <c r="N24" s="209"/>
      <c r="O24" s="210"/>
      <c r="Q24" s="216" t="s">
        <v>8487</v>
      </c>
      <c r="R24" s="558"/>
      <c r="S24" s="217" t="s">
        <v>8467</v>
      </c>
      <c r="U24" s="207" t="str">
        <f>抽選会資料!I15</f>
        <v>国東ジュニアサッカークラブ</v>
      </c>
      <c r="V24" s="199" t="s">
        <v>54</v>
      </c>
      <c r="W24" s="208"/>
    </row>
    <row r="25" spans="2:28" ht="15.75" customHeight="1" x14ac:dyDescent="0.75">
      <c r="C25" s="211"/>
      <c r="D25" s="563"/>
      <c r="E25" s="561"/>
      <c r="F25" s="560"/>
      <c r="G25" s="211"/>
      <c r="H25" s="212"/>
      <c r="J25" s="211"/>
      <c r="K25" s="563"/>
      <c r="L25" s="561"/>
      <c r="M25" s="560"/>
      <c r="N25" s="211"/>
      <c r="O25" s="212"/>
      <c r="Q25" s="216" t="s">
        <v>8493</v>
      </c>
      <c r="R25" s="558" t="s">
        <v>2</v>
      </c>
      <c r="S25" s="217" t="s">
        <v>8468</v>
      </c>
      <c r="U25" s="207" t="str">
        <f>抽選会資料!I16</f>
        <v>別府フットボールクラブ．ミネルバＵ－１２</v>
      </c>
      <c r="V25" s="199" t="s">
        <v>2</v>
      </c>
      <c r="W25" s="208"/>
    </row>
    <row r="26" spans="2:28" ht="15.75" customHeight="1" x14ac:dyDescent="0.75">
      <c r="B26" s="203" t="s">
        <v>60</v>
      </c>
      <c r="C26" s="564" t="str">
        <f>IF(ISERROR(VLOOKUP(B26,$Q:$S,3,FALSE))=TRUE,"",VLOOKUP(B26,$Q:$S,3,FALSE))</f>
        <v>明野東</v>
      </c>
      <c r="D26" s="565"/>
      <c r="E26" s="213"/>
      <c r="F26" s="564" t="str">
        <f>IF(ISERROR(VLOOKUP(H26,$Q:$S,3,FALSE))=TRUE,"",VLOOKUP(H26,$Q:$S,3,FALSE))</f>
        <v>玖珠</v>
      </c>
      <c r="G26" s="565"/>
      <c r="H26" s="210" t="s">
        <v>61</v>
      </c>
      <c r="I26" s="203" t="s">
        <v>72</v>
      </c>
      <c r="J26" s="564" t="str">
        <f>IF(ISERROR(VLOOKUP(I26,$Q:$S,3,FALSE))=TRUE,"",VLOOKUP(I26,$Q:$S,3,FALSE))</f>
        <v>金池長浜</v>
      </c>
      <c r="K26" s="565"/>
      <c r="L26" s="213"/>
      <c r="M26" s="564" t="str">
        <f>IF(ISERROR(VLOOKUP(O26,$Q:$S,3,FALSE))=TRUE,"",VLOOKUP(O26,$Q:$S,3,FALSE))</f>
        <v>太陽大分西</v>
      </c>
      <c r="N26" s="565"/>
      <c r="O26" s="210" t="s">
        <v>73</v>
      </c>
      <c r="Q26" s="216" t="s">
        <v>8494</v>
      </c>
      <c r="R26" s="558"/>
      <c r="S26" s="217" t="s">
        <v>2097</v>
      </c>
      <c r="U26" s="207" t="str">
        <f>抽選会資料!I17</f>
        <v>スマイス・セレソン</v>
      </c>
      <c r="V26" s="199" t="s">
        <v>2</v>
      </c>
      <c r="W26" s="208"/>
    </row>
    <row r="27" spans="2:28" ht="15.75" customHeight="1" x14ac:dyDescent="0.75">
      <c r="C27" s="566"/>
      <c r="D27" s="567"/>
      <c r="E27" s="212"/>
      <c r="F27" s="566"/>
      <c r="G27" s="567"/>
      <c r="H27" s="210"/>
      <c r="J27" s="566"/>
      <c r="K27" s="567"/>
      <c r="L27" s="212"/>
      <c r="M27" s="566"/>
      <c r="N27" s="567"/>
      <c r="O27" s="210"/>
      <c r="Q27" s="216" t="s">
        <v>8495</v>
      </c>
      <c r="R27" s="558" t="s">
        <v>3985</v>
      </c>
      <c r="S27" s="217" t="s">
        <v>8469</v>
      </c>
      <c r="U27" s="207" t="str">
        <f>抽選会資料!I18</f>
        <v>玖珠サッカースポーツ少年団</v>
      </c>
      <c r="V27" s="199" t="s">
        <v>3985</v>
      </c>
      <c r="W27" s="208"/>
    </row>
    <row r="28" spans="2:28" ht="15.75" customHeight="1" x14ac:dyDescent="0.75">
      <c r="C28" s="209"/>
      <c r="D28" s="209"/>
      <c r="E28" s="211"/>
      <c r="F28" s="211"/>
      <c r="G28" s="209"/>
      <c r="H28" s="209"/>
      <c r="I28" s="214"/>
      <c r="J28" s="209"/>
      <c r="K28" s="209"/>
      <c r="L28" s="211"/>
      <c r="M28" s="211"/>
      <c r="N28" s="209"/>
      <c r="Q28" s="216" t="s">
        <v>8496</v>
      </c>
      <c r="R28" s="558"/>
      <c r="S28" s="217" t="s">
        <v>8470</v>
      </c>
      <c r="U28" s="207" t="str">
        <f>抽選会資料!I19</f>
        <v>太陽スポーツクラブ大分西</v>
      </c>
      <c r="V28" s="199" t="s">
        <v>3985</v>
      </c>
      <c r="W28" s="208"/>
    </row>
    <row r="29" spans="2:28" ht="15.75" customHeight="1" x14ac:dyDescent="0.75">
      <c r="C29" s="209"/>
      <c r="D29" s="209"/>
      <c r="E29" s="205" t="s">
        <v>32</v>
      </c>
      <c r="F29" s="205"/>
      <c r="G29" s="209"/>
      <c r="H29" s="215"/>
      <c r="I29" s="214"/>
      <c r="L29" s="205" t="s">
        <v>33</v>
      </c>
      <c r="M29" s="205"/>
      <c r="Q29" s="216" t="s">
        <v>8497</v>
      </c>
      <c r="R29" s="394" t="s">
        <v>189</v>
      </c>
      <c r="S29" s="217" t="s">
        <v>8471</v>
      </c>
      <c r="U29" s="207" t="str">
        <f>抽選会資料!I20</f>
        <v>ＦＣ　ＷＡＹＳ</v>
      </c>
      <c r="V29" s="199" t="s">
        <v>189</v>
      </c>
      <c r="W29" s="208"/>
    </row>
    <row r="30" spans="2:28" ht="15.75" customHeight="1" x14ac:dyDescent="0.75">
      <c r="D30" s="203" t="s">
        <v>62</v>
      </c>
      <c r="E30" s="574" t="str">
        <f>IF(ISERROR(VLOOKUP(D30,$Q:$S,3,FALSE))=TRUE,"",VLOOKUP(D30,$Q:$S,3,FALSE))</f>
        <v>ティエラ</v>
      </c>
      <c r="F30" s="209"/>
      <c r="G30" s="570"/>
      <c r="H30" s="210"/>
      <c r="K30" s="203" t="s">
        <v>74</v>
      </c>
      <c r="L30" s="574" t="str">
        <f>IF(ISERROR(VLOOKUP(K30,$Q:$S,3,FALSE))=TRUE,"",VLOOKUP(K30,$Q:$S,3,FALSE))</f>
        <v>寒田．敷戸</v>
      </c>
      <c r="M30" s="209"/>
      <c r="N30" s="570"/>
      <c r="O30" s="210"/>
      <c r="Q30" s="216" t="s">
        <v>8498</v>
      </c>
      <c r="R30" s="394" t="s">
        <v>6</v>
      </c>
      <c r="S30" s="217" t="s">
        <v>8472</v>
      </c>
      <c r="U30" s="207" t="str">
        <f>抽選会資料!I21</f>
        <v>鶴見少年サッカークラブ</v>
      </c>
      <c r="V30" s="199" t="s">
        <v>6</v>
      </c>
      <c r="W30" s="208"/>
      <c r="AA30" s="361"/>
    </row>
    <row r="31" spans="2:28" ht="15.75" customHeight="1" x14ac:dyDescent="0.75">
      <c r="D31" s="562"/>
      <c r="E31" s="575"/>
      <c r="F31" s="560"/>
      <c r="G31" s="570"/>
      <c r="H31" s="210"/>
      <c r="K31" s="562"/>
      <c r="L31" s="575"/>
      <c r="M31" s="560"/>
      <c r="N31" s="570"/>
      <c r="O31" s="210"/>
      <c r="Q31" s="216" t="s">
        <v>8499</v>
      </c>
      <c r="R31" s="394" t="s">
        <v>1</v>
      </c>
      <c r="S31" s="217" t="s">
        <v>8473</v>
      </c>
      <c r="U31" s="207" t="str">
        <f>抽選会資料!I22</f>
        <v>竹田直入ＦＣ</v>
      </c>
      <c r="V31" s="199" t="s">
        <v>1</v>
      </c>
      <c r="W31" s="208"/>
    </row>
    <row r="32" spans="2:28" ht="15.75" customHeight="1" x14ac:dyDescent="0.75">
      <c r="C32" s="209"/>
      <c r="D32" s="562"/>
      <c r="E32" s="561"/>
      <c r="F32" s="560"/>
      <c r="G32" s="209"/>
      <c r="H32" s="210"/>
      <c r="J32" s="209"/>
      <c r="K32" s="562"/>
      <c r="L32" s="561"/>
      <c r="M32" s="560"/>
      <c r="N32" s="209"/>
      <c r="O32" s="210"/>
      <c r="Q32" s="216" t="s">
        <v>8486</v>
      </c>
      <c r="R32" s="394" t="s">
        <v>3986</v>
      </c>
      <c r="S32" s="217" t="s">
        <v>8474</v>
      </c>
      <c r="U32" s="207" t="str">
        <f>抽選会資料!I23</f>
        <v>臼杵ＳＳＳ</v>
      </c>
      <c r="V32" s="199" t="s">
        <v>3986</v>
      </c>
      <c r="W32" s="208"/>
      <c r="AB32" s="362"/>
    </row>
    <row r="33" spans="2:23" ht="15.75" customHeight="1" x14ac:dyDescent="0.75">
      <c r="C33" s="211"/>
      <c r="D33" s="563"/>
      <c r="E33" s="561"/>
      <c r="F33" s="560"/>
      <c r="G33" s="211"/>
      <c r="H33" s="212"/>
      <c r="J33" s="211"/>
      <c r="K33" s="563"/>
      <c r="L33" s="561"/>
      <c r="M33" s="560"/>
      <c r="N33" s="211"/>
      <c r="O33" s="212"/>
      <c r="Q33" s="179"/>
      <c r="R33" s="177"/>
      <c r="S33" s="208"/>
      <c r="U33" s="208"/>
    </row>
    <row r="34" spans="2:23" ht="15.75" customHeight="1" x14ac:dyDescent="0.75">
      <c r="B34" s="203" t="s">
        <v>63</v>
      </c>
      <c r="C34" s="564" t="str">
        <f>IF(ISERROR(VLOOKUP(B34,$Q:$S,3,FALSE))=TRUE,"",VLOOKUP(B34,$Q:$S,3,FALSE))</f>
        <v>西の台</v>
      </c>
      <c r="D34" s="565"/>
      <c r="E34" s="213"/>
      <c r="F34" s="564" t="str">
        <f>IF(ISERROR(VLOOKUP(H34,$Q:$S,3,FALSE))=TRUE,"",VLOOKUP(H34,$Q:$S,3,FALSE))</f>
        <v>竹田直入</v>
      </c>
      <c r="G34" s="565"/>
      <c r="H34" s="210" t="s">
        <v>64</v>
      </c>
      <c r="I34" s="203" t="s">
        <v>75</v>
      </c>
      <c r="J34" s="564" t="str">
        <f>IF(ISERROR(VLOOKUP(I34,$Q:$S,3,FALSE))=TRUE,"",VLOOKUP(I34,$Q:$S,3,FALSE))</f>
        <v>スマイス　スポーツＡ</v>
      </c>
      <c r="K34" s="565"/>
      <c r="L34" s="213"/>
      <c r="M34" s="564" t="str">
        <f>IF(ISERROR(VLOOKUP(O34,$Q:$S,3,FALSE))=TRUE,"",VLOOKUP(O34,$Q:$S,3,FALSE))</f>
        <v>鶴居</v>
      </c>
      <c r="N34" s="565"/>
      <c r="O34" s="210" t="s">
        <v>76</v>
      </c>
      <c r="Q34" s="179"/>
      <c r="S34" s="208" t="s">
        <v>11882</v>
      </c>
      <c r="U34" s="208" t="s">
        <v>11884</v>
      </c>
    </row>
    <row r="35" spans="2:23" ht="15.75" customHeight="1" x14ac:dyDescent="0.75">
      <c r="C35" s="566"/>
      <c r="D35" s="567"/>
      <c r="E35" s="212"/>
      <c r="F35" s="566"/>
      <c r="G35" s="567"/>
      <c r="H35" s="210"/>
      <c r="J35" s="566"/>
      <c r="K35" s="567"/>
      <c r="L35" s="212"/>
      <c r="M35" s="566"/>
      <c r="N35" s="567"/>
      <c r="O35" s="210"/>
      <c r="S35" s="208" t="s">
        <v>3266</v>
      </c>
      <c r="U35" s="208" t="s">
        <v>173</v>
      </c>
    </row>
    <row r="36" spans="2:23" ht="15.75" customHeight="1" x14ac:dyDescent="0.75">
      <c r="S36" s="208" t="s">
        <v>3267</v>
      </c>
      <c r="U36" s="208" t="s">
        <v>174</v>
      </c>
    </row>
    <row r="37" spans="2:23" x14ac:dyDescent="0.75">
      <c r="S37" s="208" t="s">
        <v>3268</v>
      </c>
      <c r="U37" s="208" t="s">
        <v>175</v>
      </c>
    </row>
    <row r="38" spans="2:23" x14ac:dyDescent="0.75">
      <c r="S38" s="208" t="s">
        <v>11885</v>
      </c>
      <c r="U38" s="208" t="s">
        <v>11886</v>
      </c>
    </row>
    <row r="39" spans="2:23" x14ac:dyDescent="0.75">
      <c r="S39" s="208" t="s">
        <v>11887</v>
      </c>
      <c r="U39" s="208" t="s">
        <v>11888</v>
      </c>
    </row>
    <row r="40" spans="2:23" x14ac:dyDescent="0.75">
      <c r="S40" s="208" t="s">
        <v>11889</v>
      </c>
      <c r="U40" s="208" t="s">
        <v>11890</v>
      </c>
    </row>
    <row r="41" spans="2:23" x14ac:dyDescent="0.75">
      <c r="S41" s="208" t="s">
        <v>11891</v>
      </c>
      <c r="U41" s="208" t="s">
        <v>11892</v>
      </c>
    </row>
    <row r="44" spans="2:23" x14ac:dyDescent="0.75">
      <c r="Q44" s="219"/>
      <c r="R44" s="363"/>
      <c r="S44" s="221"/>
      <c r="T44" s="218"/>
      <c r="U44" s="221"/>
      <c r="V44" s="218"/>
      <c r="W44" s="218"/>
    </row>
    <row r="45" spans="2:23" x14ac:dyDescent="0.75">
      <c r="Q45" s="222"/>
      <c r="R45" s="363" t="s">
        <v>3231</v>
      </c>
      <c r="S45" s="223"/>
      <c r="T45" s="218"/>
      <c r="U45" s="223"/>
      <c r="V45" s="218"/>
      <c r="W45" s="218"/>
    </row>
    <row r="46" spans="2:23" x14ac:dyDescent="0.75">
      <c r="Q46" s="222"/>
      <c r="R46" s="363" t="s">
        <v>3234</v>
      </c>
      <c r="S46" s="223"/>
      <c r="T46" s="218"/>
      <c r="U46" s="223"/>
      <c r="V46" s="218"/>
      <c r="W46" s="218"/>
    </row>
    <row r="47" spans="2:23" x14ac:dyDescent="0.75">
      <c r="Q47" s="222"/>
      <c r="R47" s="337" t="s">
        <v>3232</v>
      </c>
      <c r="S47" s="223"/>
      <c r="T47" s="218"/>
      <c r="U47" s="223"/>
      <c r="V47" s="218"/>
      <c r="W47" s="218"/>
    </row>
    <row r="48" spans="2:23" x14ac:dyDescent="0.75">
      <c r="Q48" s="220"/>
      <c r="R48" s="363" t="s">
        <v>3233</v>
      </c>
      <c r="S48" s="223"/>
      <c r="T48" s="218"/>
      <c r="U48" s="223"/>
      <c r="V48" s="218"/>
      <c r="W48" s="218"/>
    </row>
    <row r="49" spans="17:23" x14ac:dyDescent="0.75">
      <c r="Q49" s="222"/>
      <c r="R49" s="364" t="s">
        <v>1566</v>
      </c>
      <c r="S49" s="223"/>
      <c r="T49" s="218"/>
      <c r="U49" s="223"/>
      <c r="V49" s="218"/>
      <c r="W49" s="218"/>
    </row>
    <row r="50" spans="17:23" x14ac:dyDescent="0.75">
      <c r="Q50" s="222"/>
      <c r="R50" s="220"/>
      <c r="S50" s="223"/>
      <c r="T50" s="218"/>
      <c r="U50" s="223"/>
      <c r="V50" s="218"/>
      <c r="W50" s="218"/>
    </row>
  </sheetData>
  <mergeCells count="63">
    <mergeCell ref="M26:N27"/>
    <mergeCell ref="J34:K35"/>
    <mergeCell ref="K31:K33"/>
    <mergeCell ref="N30:N31"/>
    <mergeCell ref="M34:N35"/>
    <mergeCell ref="M31:M33"/>
    <mergeCell ref="D23:D25"/>
    <mergeCell ref="F23:F25"/>
    <mergeCell ref="N22:N23"/>
    <mergeCell ref="E24:E25"/>
    <mergeCell ref="L15:L16"/>
    <mergeCell ref="E22:E23"/>
    <mergeCell ref="J17:K18"/>
    <mergeCell ref="G22:G23"/>
    <mergeCell ref="D14:D16"/>
    <mergeCell ref="E13:E14"/>
    <mergeCell ref="M23:M25"/>
    <mergeCell ref="M17:N18"/>
    <mergeCell ref="G30:G31"/>
    <mergeCell ref="C26:D27"/>
    <mergeCell ref="F26:G27"/>
    <mergeCell ref="D31:D33"/>
    <mergeCell ref="F31:F33"/>
    <mergeCell ref="E32:E33"/>
    <mergeCell ref="E30:E31"/>
    <mergeCell ref="C34:D35"/>
    <mergeCell ref="F34:G35"/>
    <mergeCell ref="M6:M8"/>
    <mergeCell ref="M9:N10"/>
    <mergeCell ref="K14:K16"/>
    <mergeCell ref="M14:M16"/>
    <mergeCell ref="J9:K10"/>
    <mergeCell ref="L7:L8"/>
    <mergeCell ref="L32:L33"/>
    <mergeCell ref="L30:L31"/>
    <mergeCell ref="J26:K27"/>
    <mergeCell ref="K23:K25"/>
    <mergeCell ref="L24:L25"/>
    <mergeCell ref="L22:L23"/>
    <mergeCell ref="C17:D18"/>
    <mergeCell ref="F17:G18"/>
    <mergeCell ref="L5:L6"/>
    <mergeCell ref="N5:N6"/>
    <mergeCell ref="K6:K8"/>
    <mergeCell ref="G13:G14"/>
    <mergeCell ref="N13:N14"/>
    <mergeCell ref="L13:L14"/>
    <mergeCell ref="R20:R22"/>
    <mergeCell ref="R23:R24"/>
    <mergeCell ref="R25:R26"/>
    <mergeCell ref="R27:R28"/>
    <mergeCell ref="B2:L2"/>
    <mergeCell ref="M2:O2"/>
    <mergeCell ref="F14:F16"/>
    <mergeCell ref="F6:F8"/>
    <mergeCell ref="E15:E16"/>
    <mergeCell ref="D6:D8"/>
    <mergeCell ref="C9:D10"/>
    <mergeCell ref="F9:G10"/>
    <mergeCell ref="E7:E8"/>
    <mergeCell ref="E5:E6"/>
    <mergeCell ref="G5:G6"/>
    <mergeCell ref="R4:R14"/>
  </mergeCells>
  <phoneticPr fontId="5"/>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AC34"/>
  <sheetViews>
    <sheetView showGridLines="0" zoomScale="70" zoomScaleNormal="70" zoomScaleSheetLayoutView="85" workbookViewId="0"/>
  </sheetViews>
  <sheetFormatPr defaultColWidth="9" defaultRowHeight="24.75" customHeight="1" x14ac:dyDescent="0.45"/>
  <cols>
    <col min="1" max="1" width="3.6328125" style="178" customWidth="1"/>
    <col min="2" max="2" width="9.86328125" style="178" bestFit="1" customWidth="1"/>
    <col min="3" max="3" width="10.1328125" style="178" customWidth="1"/>
    <col min="4" max="4" width="10.6328125" style="178" customWidth="1"/>
    <col min="5" max="6" width="10.1328125" style="178" customWidth="1"/>
    <col min="7" max="7" width="10.6328125" style="178" customWidth="1"/>
    <col min="8" max="9" width="10.1328125" style="178" customWidth="1"/>
    <col min="10" max="10" width="10.6328125" style="178" customWidth="1"/>
    <col min="11" max="12" width="10.1328125" style="178" customWidth="1"/>
    <col min="13" max="13" width="10.6328125" style="178" customWidth="1"/>
    <col min="14" max="14" width="10.1328125" style="178" customWidth="1"/>
    <col min="15" max="26" width="6.86328125" style="178" customWidth="1"/>
    <col min="27" max="16384" width="9" style="178"/>
  </cols>
  <sheetData>
    <row r="1" spans="2:29" ht="39.75" customHeight="1" x14ac:dyDescent="0.45">
      <c r="B1" s="595" t="s">
        <v>24</v>
      </c>
      <c r="C1" s="595"/>
      <c r="D1" s="595"/>
      <c r="E1" s="595"/>
      <c r="F1" s="224" t="s">
        <v>8450</v>
      </c>
    </row>
    <row r="2" spans="2:29" ht="39.75" customHeight="1" x14ac:dyDescent="0.45">
      <c r="C2" s="440" t="s">
        <v>8430</v>
      </c>
      <c r="D2" s="580" t="s">
        <v>8444</v>
      </c>
      <c r="E2" s="580"/>
      <c r="F2" s="580"/>
      <c r="G2" s="580"/>
      <c r="H2" s="441" t="s">
        <v>5829</v>
      </c>
      <c r="I2" s="612" t="str">
        <f>CONCATENATE("開会式(選手宣誓：",組合せ抽選用!E5,")")</f>
        <v>開会式(選手宣誓：和田)</v>
      </c>
      <c r="J2" s="612"/>
      <c r="K2" s="612"/>
      <c r="L2" s="612"/>
      <c r="M2" s="612"/>
      <c r="N2" s="612"/>
      <c r="P2" s="368"/>
      <c r="Q2" s="437"/>
      <c r="R2" s="437"/>
      <c r="S2" s="437"/>
      <c r="T2" s="437"/>
      <c r="U2" s="438"/>
      <c r="V2" s="439"/>
      <c r="W2" s="439"/>
      <c r="X2" s="439"/>
      <c r="Y2" s="439"/>
      <c r="Z2" s="439"/>
      <c r="AA2" s="439"/>
    </row>
    <row r="3" spans="2:29" ht="39.75" customHeight="1" thickBot="1" x14ac:dyDescent="0.6">
      <c r="C3" s="368" t="s">
        <v>3242</v>
      </c>
      <c r="D3" s="225" t="s">
        <v>3243</v>
      </c>
      <c r="J3" s="369" t="s">
        <v>3255</v>
      </c>
      <c r="K3" s="367" t="s">
        <v>3244</v>
      </c>
      <c r="L3" s="370"/>
      <c r="M3" s="370"/>
      <c r="N3" s="370"/>
      <c r="AA3" s="226"/>
      <c r="AB3" s="226"/>
      <c r="AC3" s="226"/>
    </row>
    <row r="4" spans="2:29" s="227" customFormat="1" ht="45" customHeight="1" thickBot="1" x14ac:dyDescent="0.6">
      <c r="C4" s="228"/>
      <c r="D4" s="229" t="s">
        <v>26</v>
      </c>
      <c r="E4" s="230"/>
      <c r="F4" s="231"/>
      <c r="G4" s="229" t="s">
        <v>2055</v>
      </c>
      <c r="H4" s="230"/>
      <c r="I4" s="228"/>
      <c r="J4" s="229" t="s">
        <v>2056</v>
      </c>
      <c r="K4" s="230"/>
      <c r="L4" s="232"/>
      <c r="M4" s="229" t="s">
        <v>2057</v>
      </c>
      <c r="N4" s="233"/>
    </row>
    <row r="5" spans="2:29" s="234" customFormat="1" ht="45" customHeight="1" x14ac:dyDescent="0.45">
      <c r="C5" s="235"/>
      <c r="D5" s="236" t="str">
        <f>組合せ抽選用!E5</f>
        <v>和田</v>
      </c>
      <c r="E5" s="237"/>
      <c r="F5" s="235"/>
      <c r="G5" s="236" t="str">
        <f>組合せ抽選用!E22</f>
        <v>ミネルバ</v>
      </c>
      <c r="H5" s="237"/>
      <c r="I5" s="235"/>
      <c r="J5" s="236" t="str">
        <f>組合せ抽選用!E13</f>
        <v>臼杵</v>
      </c>
      <c r="K5" s="237"/>
      <c r="L5" s="235"/>
      <c r="M5" s="236" t="str">
        <f>組合せ抽選用!E30</f>
        <v>ティエラ</v>
      </c>
      <c r="N5" s="237"/>
    </row>
    <row r="6" spans="2:29" s="234" customFormat="1" ht="45" customHeight="1" x14ac:dyDescent="0.45">
      <c r="C6" s="238"/>
      <c r="E6" s="237"/>
      <c r="F6" s="238"/>
      <c r="H6" s="237"/>
      <c r="I6" s="238"/>
      <c r="K6" s="237"/>
      <c r="L6" s="238"/>
      <c r="N6" s="237"/>
    </row>
    <row r="7" spans="2:29" s="234" customFormat="1" ht="45" customHeight="1" thickBot="1" x14ac:dyDescent="0.6">
      <c r="C7" s="239" t="str">
        <f>組合せ抽選用!C9</f>
        <v>リノス</v>
      </c>
      <c r="D7" s="240"/>
      <c r="E7" s="241" t="str">
        <f>組合せ抽選用!F9</f>
        <v>カティオーラＵ－１２</v>
      </c>
      <c r="F7" s="239" t="str">
        <f>組合せ抽選用!C26</f>
        <v>明野東</v>
      </c>
      <c r="G7" s="240"/>
      <c r="H7" s="241" t="str">
        <f>組合せ抽選用!F26</f>
        <v>玖珠</v>
      </c>
      <c r="I7" s="239" t="str">
        <f>組合せ抽選用!C17</f>
        <v>ブルーウイング</v>
      </c>
      <c r="J7" s="240"/>
      <c r="K7" s="241" t="str">
        <f>組合せ抽選用!F17</f>
        <v>きつき</v>
      </c>
      <c r="L7" s="239" t="str">
        <f>組合せ抽選用!C34</f>
        <v>西の台</v>
      </c>
      <c r="M7" s="240"/>
      <c r="N7" s="241" t="str">
        <f>組合せ抽選用!F34</f>
        <v>竹田直入</v>
      </c>
    </row>
    <row r="8" spans="2:29" ht="45" customHeight="1" thickBot="1" x14ac:dyDescent="0.6"/>
    <row r="9" spans="2:29" s="227" customFormat="1" ht="45" customHeight="1" thickBot="1" x14ac:dyDescent="0.6">
      <c r="C9" s="228"/>
      <c r="D9" s="229" t="s">
        <v>27</v>
      </c>
      <c r="E9" s="230"/>
      <c r="F9" s="231"/>
      <c r="G9" s="229" t="s">
        <v>2058</v>
      </c>
      <c r="H9" s="230"/>
      <c r="I9" s="228"/>
      <c r="J9" s="229" t="s">
        <v>2059</v>
      </c>
      <c r="K9" s="230"/>
      <c r="L9" s="232"/>
      <c r="M9" s="229" t="s">
        <v>176</v>
      </c>
      <c r="N9" s="233"/>
    </row>
    <row r="10" spans="2:29" s="234" customFormat="1" ht="45" customHeight="1" x14ac:dyDescent="0.45">
      <c r="C10" s="235"/>
      <c r="D10" s="236" t="str">
        <f>組合せ抽選用!L5</f>
        <v>国東</v>
      </c>
      <c r="E10" s="237"/>
      <c r="F10" s="235"/>
      <c r="G10" s="236" t="str">
        <f>組合せ抽選用!L22</f>
        <v>ＷＡＹＳ</v>
      </c>
      <c r="H10" s="237"/>
      <c r="I10" s="235"/>
      <c r="J10" s="236" t="str">
        <f>組合せ抽選用!L13</f>
        <v>スマイス・セレソン</v>
      </c>
      <c r="K10" s="237"/>
      <c r="L10" s="235"/>
      <c r="M10" s="236" t="str">
        <f>組合せ抽選用!L30</f>
        <v>寒田．敷戸</v>
      </c>
      <c r="N10" s="237"/>
    </row>
    <row r="11" spans="2:29" s="234" customFormat="1" ht="45" customHeight="1" x14ac:dyDescent="0.45">
      <c r="C11" s="238"/>
      <c r="E11" s="237"/>
      <c r="F11" s="238"/>
      <c r="H11" s="237"/>
      <c r="I11" s="238"/>
      <c r="K11" s="237"/>
      <c r="L11" s="238"/>
      <c r="N11" s="237"/>
    </row>
    <row r="12" spans="2:29" s="234" customFormat="1" ht="45" customHeight="1" thickBot="1" x14ac:dyDescent="0.6">
      <c r="C12" s="239" t="str">
        <f>組合せ抽選用!J9</f>
        <v>ＫＩＮＧＳ</v>
      </c>
      <c r="D12" s="240"/>
      <c r="E12" s="241" t="str">
        <f>組合せ抽選用!M9</f>
        <v>ドリームキッズ</v>
      </c>
      <c r="F12" s="239" t="str">
        <f>組合せ抽選用!J26</f>
        <v>金池長浜</v>
      </c>
      <c r="G12" s="240"/>
      <c r="H12" s="241" t="str">
        <f>組合せ抽選用!M26</f>
        <v>太陽大分西</v>
      </c>
      <c r="I12" s="239" t="str">
        <f>組合せ抽選用!J17</f>
        <v>明治</v>
      </c>
      <c r="J12" s="240"/>
      <c r="K12" s="241" t="str">
        <f>組合せ抽選用!M17</f>
        <v>鶴見少年</v>
      </c>
      <c r="L12" s="239" t="str">
        <f>組合せ抽選用!J34</f>
        <v>スマイス　スポーツＡ</v>
      </c>
      <c r="M12" s="240"/>
      <c r="N12" s="241" t="str">
        <f>組合せ抽選用!M34</f>
        <v>鶴居</v>
      </c>
    </row>
    <row r="13" spans="2:29" s="234" customFormat="1" ht="45" customHeight="1" thickBot="1" x14ac:dyDescent="0.6">
      <c r="C13" s="240"/>
      <c r="D13" s="240"/>
      <c r="E13" s="240"/>
      <c r="F13" s="240"/>
      <c r="G13" s="240"/>
      <c r="H13" s="240"/>
      <c r="I13" s="240"/>
      <c r="J13" s="240"/>
      <c r="K13" s="240"/>
      <c r="L13" s="240"/>
      <c r="M13" s="240"/>
      <c r="N13" s="240"/>
    </row>
    <row r="14" spans="2:29" ht="45" customHeight="1" thickBot="1" x14ac:dyDescent="0.6">
      <c r="C14" s="597" t="s">
        <v>8445</v>
      </c>
      <c r="D14" s="598"/>
      <c r="E14" s="598"/>
      <c r="F14" s="598"/>
      <c r="G14" s="598"/>
      <c r="H14" s="599"/>
      <c r="I14" s="597" t="s">
        <v>8435</v>
      </c>
      <c r="J14" s="598"/>
      <c r="K14" s="598"/>
      <c r="L14" s="598"/>
      <c r="M14" s="598"/>
      <c r="N14" s="599"/>
    </row>
    <row r="15" spans="2:29" ht="45" customHeight="1" thickBot="1" x14ac:dyDescent="0.6">
      <c r="B15" s="242" t="s">
        <v>19</v>
      </c>
      <c r="C15" s="606" t="s">
        <v>5830</v>
      </c>
      <c r="D15" s="607"/>
      <c r="E15" s="608"/>
      <c r="F15" s="609" t="s">
        <v>5831</v>
      </c>
      <c r="G15" s="610"/>
      <c r="H15" s="611"/>
      <c r="I15" s="606" t="s">
        <v>5830</v>
      </c>
      <c r="J15" s="607"/>
      <c r="K15" s="608"/>
      <c r="L15" s="609" t="s">
        <v>5831</v>
      </c>
      <c r="M15" s="610"/>
      <c r="N15" s="611"/>
    </row>
    <row r="16" spans="2:29" ht="45" customHeight="1" thickBot="1" x14ac:dyDescent="0.6">
      <c r="B16" s="243" t="s">
        <v>3254</v>
      </c>
      <c r="C16" s="244" t="s">
        <v>8512</v>
      </c>
      <c r="D16" s="245" t="s">
        <v>8513</v>
      </c>
      <c r="E16" s="246" t="s">
        <v>8514</v>
      </c>
      <c r="F16" s="244" t="s">
        <v>8517</v>
      </c>
      <c r="G16" s="245" t="s">
        <v>8515</v>
      </c>
      <c r="H16" s="246" t="s">
        <v>8516</v>
      </c>
      <c r="I16" s="244" t="s">
        <v>8518</v>
      </c>
      <c r="J16" s="245" t="s">
        <v>8519</v>
      </c>
      <c r="K16" s="246"/>
      <c r="L16" s="244" t="s">
        <v>8520</v>
      </c>
      <c r="M16" s="245" t="s">
        <v>8521</v>
      </c>
      <c r="N16" s="246" t="s">
        <v>8522</v>
      </c>
    </row>
    <row r="17" spans="1:26" ht="45" hidden="1" customHeight="1" thickBot="1" x14ac:dyDescent="0.6">
      <c r="B17" s="243" t="s">
        <v>25</v>
      </c>
      <c r="C17" s="601"/>
      <c r="D17" s="602"/>
      <c r="E17" s="602"/>
      <c r="F17" s="603"/>
      <c r="G17" s="604"/>
      <c r="H17" s="605"/>
      <c r="I17" s="603"/>
      <c r="J17" s="604"/>
      <c r="K17" s="605"/>
      <c r="L17" s="603"/>
      <c r="M17" s="604"/>
      <c r="N17" s="605"/>
    </row>
    <row r="18" spans="1:26" ht="45" customHeight="1" thickBot="1" x14ac:dyDescent="0.6">
      <c r="B18" s="243" t="s">
        <v>20</v>
      </c>
      <c r="C18" s="247"/>
      <c r="D18" s="248" t="s">
        <v>34</v>
      </c>
      <c r="E18" s="249"/>
      <c r="F18" s="247"/>
      <c r="G18" s="248" t="s">
        <v>34</v>
      </c>
      <c r="H18" s="249"/>
      <c r="I18" s="250"/>
      <c r="J18" s="248" t="s">
        <v>34</v>
      </c>
      <c r="K18" s="249"/>
      <c r="L18" s="250"/>
      <c r="M18" s="248" t="s">
        <v>34</v>
      </c>
      <c r="N18" s="249"/>
    </row>
    <row r="19" spans="1:26" ht="22.5" customHeight="1" x14ac:dyDescent="0.45">
      <c r="A19" s="495" t="s">
        <v>177</v>
      </c>
      <c r="B19" s="593">
        <v>0.4375</v>
      </c>
      <c r="C19" s="596" t="str">
        <f>D5</f>
        <v>和田</v>
      </c>
      <c r="D19" s="251" t="str">
        <f>E12</f>
        <v>ドリームキッズ</v>
      </c>
      <c r="E19" s="600" t="str">
        <f>C7</f>
        <v>リノス</v>
      </c>
      <c r="F19" s="596" t="str">
        <f>G5</f>
        <v>ミネルバ</v>
      </c>
      <c r="G19" s="251" t="str">
        <f>H12</f>
        <v>太陽大分西</v>
      </c>
      <c r="H19" s="600" t="str">
        <f>F7</f>
        <v>明野東</v>
      </c>
      <c r="I19" s="596" t="str">
        <f>J5</f>
        <v>臼杵</v>
      </c>
      <c r="J19" s="251" t="str">
        <f>K12</f>
        <v>鶴見少年</v>
      </c>
      <c r="K19" s="600" t="str">
        <f>I7</f>
        <v>ブルーウイング</v>
      </c>
      <c r="L19" s="596" t="str">
        <f>M5</f>
        <v>ティエラ</v>
      </c>
      <c r="M19" s="251" t="str">
        <f>N12</f>
        <v>鶴居</v>
      </c>
      <c r="N19" s="600" t="str">
        <f>L7</f>
        <v>西の台</v>
      </c>
    </row>
    <row r="20" spans="1:26" ht="22.5" customHeight="1" x14ac:dyDescent="0.45">
      <c r="A20" s="495"/>
      <c r="B20" s="594"/>
      <c r="C20" s="586"/>
      <c r="D20" s="252" t="str">
        <f>D10</f>
        <v>国東</v>
      </c>
      <c r="E20" s="584"/>
      <c r="F20" s="586"/>
      <c r="G20" s="252" t="str">
        <f>G10</f>
        <v>ＷＡＹＳ</v>
      </c>
      <c r="H20" s="584"/>
      <c r="I20" s="586"/>
      <c r="J20" s="252" t="str">
        <f>J10</f>
        <v>スマイス・セレソン</v>
      </c>
      <c r="K20" s="584"/>
      <c r="L20" s="586"/>
      <c r="M20" s="252" t="str">
        <f>M10</f>
        <v>寒田．敷戸</v>
      </c>
      <c r="N20" s="584"/>
    </row>
    <row r="21" spans="1:26" ht="22.5" customHeight="1" x14ac:dyDescent="0.45">
      <c r="A21" s="495" t="s">
        <v>178</v>
      </c>
      <c r="B21" s="593">
        <v>0.47916666666666669</v>
      </c>
      <c r="C21" s="581" t="str">
        <f>D10</f>
        <v>国東</v>
      </c>
      <c r="D21" s="252" t="str">
        <f>D5</f>
        <v>和田</v>
      </c>
      <c r="E21" s="583" t="str">
        <f>C12</f>
        <v>ＫＩＮＧＳ</v>
      </c>
      <c r="F21" s="581" t="str">
        <f>G10</f>
        <v>ＷＡＹＳ</v>
      </c>
      <c r="G21" s="252" t="str">
        <f>G5</f>
        <v>ミネルバ</v>
      </c>
      <c r="H21" s="583" t="str">
        <f>F12</f>
        <v>金池長浜</v>
      </c>
      <c r="I21" s="581" t="str">
        <f>J10</f>
        <v>スマイス・セレソン</v>
      </c>
      <c r="J21" s="252" t="str">
        <f>J5</f>
        <v>臼杵</v>
      </c>
      <c r="K21" s="583" t="str">
        <f>I12</f>
        <v>明治</v>
      </c>
      <c r="L21" s="581" t="str">
        <f>M10</f>
        <v>寒田．敷戸</v>
      </c>
      <c r="M21" s="252" t="str">
        <f>M5</f>
        <v>ティエラ</v>
      </c>
      <c r="N21" s="583" t="str">
        <f>L12</f>
        <v>スマイス　スポーツＡ</v>
      </c>
    </row>
    <row r="22" spans="1:26" ht="22.5" customHeight="1" x14ac:dyDescent="0.45">
      <c r="A22" s="495"/>
      <c r="B22" s="594"/>
      <c r="C22" s="586"/>
      <c r="D22" s="252" t="str">
        <f>C7</f>
        <v>リノス</v>
      </c>
      <c r="E22" s="584"/>
      <c r="F22" s="586"/>
      <c r="G22" s="252" t="str">
        <f>F7</f>
        <v>明野東</v>
      </c>
      <c r="H22" s="584"/>
      <c r="I22" s="586"/>
      <c r="J22" s="252" t="str">
        <f>I7</f>
        <v>ブルーウイング</v>
      </c>
      <c r="K22" s="584"/>
      <c r="L22" s="586"/>
      <c r="M22" s="252" t="str">
        <f>L7</f>
        <v>西の台</v>
      </c>
      <c r="N22" s="584"/>
      <c r="O22" s="253"/>
    </row>
    <row r="23" spans="1:26" ht="22.5" customHeight="1" x14ac:dyDescent="0.45">
      <c r="A23" s="495" t="s">
        <v>179</v>
      </c>
      <c r="B23" s="593">
        <v>0.52083333333333337</v>
      </c>
      <c r="C23" s="581" t="str">
        <f>C7</f>
        <v>リノス</v>
      </c>
      <c r="D23" s="252" t="str">
        <f>D10</f>
        <v>国東</v>
      </c>
      <c r="E23" s="583" t="str">
        <f>E7</f>
        <v>カティオーラＵ－１２</v>
      </c>
      <c r="F23" s="581" t="str">
        <f>F7</f>
        <v>明野東</v>
      </c>
      <c r="G23" s="252" t="str">
        <f>G10</f>
        <v>ＷＡＹＳ</v>
      </c>
      <c r="H23" s="583" t="str">
        <f>H7</f>
        <v>玖珠</v>
      </c>
      <c r="I23" s="581" t="str">
        <f>I7</f>
        <v>ブルーウイング</v>
      </c>
      <c r="J23" s="252" t="str">
        <f>J10</f>
        <v>スマイス・セレソン</v>
      </c>
      <c r="K23" s="583" t="str">
        <f>K7</f>
        <v>きつき</v>
      </c>
      <c r="L23" s="581" t="str">
        <f>L7</f>
        <v>西の台</v>
      </c>
      <c r="M23" s="252" t="str">
        <f>M10</f>
        <v>寒田．敷戸</v>
      </c>
      <c r="N23" s="583" t="str">
        <f>N7</f>
        <v>竹田直入</v>
      </c>
      <c r="O23" s="253"/>
    </row>
    <row r="24" spans="1:26" ht="22.5" customHeight="1" x14ac:dyDescent="0.45">
      <c r="A24" s="495"/>
      <c r="B24" s="594"/>
      <c r="C24" s="586"/>
      <c r="D24" s="252" t="str">
        <f>C12</f>
        <v>ＫＩＮＧＳ</v>
      </c>
      <c r="E24" s="584"/>
      <c r="F24" s="586"/>
      <c r="G24" s="252" t="str">
        <f>F12</f>
        <v>金池長浜</v>
      </c>
      <c r="H24" s="584"/>
      <c r="I24" s="586"/>
      <c r="J24" s="252" t="str">
        <f>I12</f>
        <v>明治</v>
      </c>
      <c r="K24" s="584"/>
      <c r="L24" s="586"/>
      <c r="M24" s="252" t="str">
        <f>L12</f>
        <v>スマイス　スポーツＡ</v>
      </c>
      <c r="N24" s="584"/>
    </row>
    <row r="25" spans="1:26" ht="22.5" customHeight="1" x14ac:dyDescent="0.45">
      <c r="A25" s="495" t="s">
        <v>180</v>
      </c>
      <c r="B25" s="593">
        <v>0.5625</v>
      </c>
      <c r="C25" s="581" t="str">
        <f>C12</f>
        <v>ＫＩＮＧＳ</v>
      </c>
      <c r="D25" s="252" t="str">
        <f>C7</f>
        <v>リノス</v>
      </c>
      <c r="E25" s="583" t="str">
        <f>E12</f>
        <v>ドリームキッズ</v>
      </c>
      <c r="F25" s="581" t="str">
        <f>F12</f>
        <v>金池長浜</v>
      </c>
      <c r="G25" s="252" t="str">
        <f>F7</f>
        <v>明野東</v>
      </c>
      <c r="H25" s="583" t="str">
        <f>H12</f>
        <v>太陽大分西</v>
      </c>
      <c r="I25" s="581" t="str">
        <f>I12</f>
        <v>明治</v>
      </c>
      <c r="J25" s="252" t="str">
        <f>I7</f>
        <v>ブルーウイング</v>
      </c>
      <c r="K25" s="583" t="str">
        <f>K12</f>
        <v>鶴見少年</v>
      </c>
      <c r="L25" s="581" t="str">
        <f>L12</f>
        <v>スマイス　スポーツＡ</v>
      </c>
      <c r="M25" s="252" t="str">
        <f>L7</f>
        <v>西の台</v>
      </c>
      <c r="N25" s="583" t="str">
        <f>N12</f>
        <v>鶴居</v>
      </c>
      <c r="O25" s="253"/>
    </row>
    <row r="26" spans="1:26" ht="22.5" customHeight="1" x14ac:dyDescent="0.45">
      <c r="A26" s="495"/>
      <c r="B26" s="594"/>
      <c r="C26" s="586"/>
      <c r="D26" s="252" t="str">
        <f>E7</f>
        <v>カティオーラＵ－１２</v>
      </c>
      <c r="E26" s="584"/>
      <c r="F26" s="586"/>
      <c r="G26" s="252" t="str">
        <f>H7</f>
        <v>玖珠</v>
      </c>
      <c r="H26" s="584"/>
      <c r="I26" s="586"/>
      <c r="J26" s="252" t="str">
        <f>K7</f>
        <v>きつき</v>
      </c>
      <c r="K26" s="584"/>
      <c r="L26" s="586"/>
      <c r="M26" s="252" t="str">
        <f>N7</f>
        <v>竹田直入</v>
      </c>
      <c r="N26" s="584"/>
      <c r="O26" s="253"/>
    </row>
    <row r="27" spans="1:26" ht="22.5" hidden="1" customHeight="1" x14ac:dyDescent="0.45">
      <c r="A27" s="495"/>
      <c r="B27" s="593"/>
      <c r="C27" s="587" t="s">
        <v>78</v>
      </c>
      <c r="D27" s="588"/>
      <c r="E27" s="588"/>
      <c r="F27" s="588"/>
      <c r="G27" s="588"/>
      <c r="H27" s="588"/>
      <c r="I27" s="588"/>
      <c r="J27" s="588"/>
      <c r="K27" s="588"/>
      <c r="L27" s="588"/>
      <c r="M27" s="588"/>
      <c r="N27" s="589"/>
      <c r="O27" s="253"/>
    </row>
    <row r="28" spans="1:26" ht="22.5" hidden="1" customHeight="1" x14ac:dyDescent="0.45">
      <c r="A28" s="495"/>
      <c r="B28" s="594"/>
      <c r="C28" s="590"/>
      <c r="D28" s="591"/>
      <c r="E28" s="591"/>
      <c r="F28" s="591"/>
      <c r="G28" s="591"/>
      <c r="H28" s="591"/>
      <c r="I28" s="591"/>
      <c r="J28" s="591"/>
      <c r="K28" s="591"/>
      <c r="L28" s="591"/>
      <c r="M28" s="591"/>
      <c r="N28" s="592"/>
      <c r="O28" s="253"/>
    </row>
    <row r="29" spans="1:26" ht="22.5" customHeight="1" x14ac:dyDescent="0.45">
      <c r="A29" s="495" t="s">
        <v>181</v>
      </c>
      <c r="B29" s="593">
        <v>0.60416666666666663</v>
      </c>
      <c r="C29" s="581" t="str">
        <f>E7</f>
        <v>カティオーラＵ－１２</v>
      </c>
      <c r="D29" s="252" t="str">
        <f>C12</f>
        <v>ＫＩＮＧＳ</v>
      </c>
      <c r="E29" s="583" t="str">
        <f>D5</f>
        <v>和田</v>
      </c>
      <c r="F29" s="581" t="str">
        <f>H7</f>
        <v>玖珠</v>
      </c>
      <c r="G29" s="252" t="str">
        <f>F12</f>
        <v>金池長浜</v>
      </c>
      <c r="H29" s="583" t="str">
        <f>G5</f>
        <v>ミネルバ</v>
      </c>
      <c r="I29" s="581" t="str">
        <f>K7</f>
        <v>きつき</v>
      </c>
      <c r="J29" s="252" t="str">
        <f>I12</f>
        <v>明治</v>
      </c>
      <c r="K29" s="583" t="str">
        <f>J5</f>
        <v>臼杵</v>
      </c>
      <c r="L29" s="581" t="str">
        <f>N7</f>
        <v>竹田直入</v>
      </c>
      <c r="M29" s="252" t="str">
        <f>L12</f>
        <v>スマイス　スポーツＡ</v>
      </c>
      <c r="N29" s="583" t="str">
        <f>M5</f>
        <v>ティエラ</v>
      </c>
    </row>
    <row r="30" spans="1:26" ht="22.5" customHeight="1" x14ac:dyDescent="0.45">
      <c r="A30" s="495"/>
      <c r="B30" s="594"/>
      <c r="C30" s="586"/>
      <c r="D30" s="254" t="str">
        <f>E12</f>
        <v>ドリームキッズ</v>
      </c>
      <c r="E30" s="584"/>
      <c r="F30" s="586"/>
      <c r="G30" s="254" t="str">
        <f>H12</f>
        <v>太陽大分西</v>
      </c>
      <c r="H30" s="584"/>
      <c r="I30" s="586"/>
      <c r="J30" s="254" t="str">
        <f>K12</f>
        <v>鶴見少年</v>
      </c>
      <c r="K30" s="584"/>
      <c r="L30" s="586"/>
      <c r="M30" s="254" t="str">
        <f>N12</f>
        <v>鶴居</v>
      </c>
      <c r="N30" s="584"/>
      <c r="O30" s="253"/>
    </row>
    <row r="31" spans="1:26" ht="22.5" customHeight="1" x14ac:dyDescent="0.45">
      <c r="A31" s="495" t="s">
        <v>182</v>
      </c>
      <c r="B31" s="593">
        <v>0.64583333333333337</v>
      </c>
      <c r="C31" s="581" t="str">
        <f>E12</f>
        <v>ドリームキッズ</v>
      </c>
      <c r="D31" s="252" t="str">
        <f>E7</f>
        <v>カティオーラＵ－１２</v>
      </c>
      <c r="E31" s="583" t="str">
        <f>D10</f>
        <v>国東</v>
      </c>
      <c r="F31" s="581" t="str">
        <f>H12</f>
        <v>太陽大分西</v>
      </c>
      <c r="G31" s="252" t="str">
        <f>H7</f>
        <v>玖珠</v>
      </c>
      <c r="H31" s="583" t="str">
        <f>G10</f>
        <v>ＷＡＹＳ</v>
      </c>
      <c r="I31" s="581" t="str">
        <f>K12</f>
        <v>鶴見少年</v>
      </c>
      <c r="J31" s="252" t="str">
        <f>K7</f>
        <v>きつき</v>
      </c>
      <c r="K31" s="583" t="str">
        <f>J10</f>
        <v>スマイス・セレソン</v>
      </c>
      <c r="L31" s="581" t="str">
        <f>N12</f>
        <v>鶴居</v>
      </c>
      <c r="M31" s="252" t="str">
        <f>N7</f>
        <v>竹田直入</v>
      </c>
      <c r="N31" s="583" t="str">
        <f>M10</f>
        <v>寒田．敷戸</v>
      </c>
      <c r="O31" s="255"/>
      <c r="P31" s="255"/>
      <c r="Q31" s="255"/>
      <c r="R31" s="255"/>
      <c r="S31" s="255"/>
      <c r="T31" s="255"/>
      <c r="U31" s="255"/>
    </row>
    <row r="32" spans="1:26" ht="22.5" customHeight="1" thickBot="1" x14ac:dyDescent="0.6">
      <c r="A32" s="495"/>
      <c r="B32" s="594"/>
      <c r="C32" s="582"/>
      <c r="D32" s="256" t="str">
        <f>D5</f>
        <v>和田</v>
      </c>
      <c r="E32" s="585"/>
      <c r="F32" s="582"/>
      <c r="G32" s="256" t="str">
        <f>G5</f>
        <v>ミネルバ</v>
      </c>
      <c r="H32" s="585"/>
      <c r="I32" s="582"/>
      <c r="J32" s="256" t="str">
        <f>J5</f>
        <v>臼杵</v>
      </c>
      <c r="K32" s="585"/>
      <c r="L32" s="582"/>
      <c r="M32" s="256" t="str">
        <f>M5</f>
        <v>ティエラ</v>
      </c>
      <c r="N32" s="585"/>
      <c r="T32" s="257"/>
      <c r="U32" s="257"/>
      <c r="V32" s="258"/>
      <c r="W32" s="257"/>
      <c r="X32" s="257"/>
      <c r="Y32" s="257"/>
      <c r="Z32" s="257"/>
    </row>
    <row r="33" spans="2:26" ht="35.15" customHeight="1" x14ac:dyDescent="0.45">
      <c r="B33" s="253"/>
      <c r="T33" s="257"/>
      <c r="U33" s="257"/>
      <c r="V33" s="258"/>
      <c r="W33" s="257"/>
      <c r="X33" s="257"/>
      <c r="Y33" s="257"/>
      <c r="Z33" s="257"/>
    </row>
    <row r="34" spans="2:26" ht="24.75" customHeight="1" x14ac:dyDescent="0.45">
      <c r="B34" s="253"/>
    </row>
  </sheetData>
  <mergeCells count="76">
    <mergeCell ref="I21:I22"/>
    <mergeCell ref="I23:I24"/>
    <mergeCell ref="I14:N14"/>
    <mergeCell ref="L21:L22"/>
    <mergeCell ref="I2:N2"/>
    <mergeCell ref="C15:E15"/>
    <mergeCell ref="K21:K22"/>
    <mergeCell ref="N23:N24"/>
    <mergeCell ref="L23:L24"/>
    <mergeCell ref="K23:K24"/>
    <mergeCell ref="N21:N22"/>
    <mergeCell ref="L15:N15"/>
    <mergeCell ref="F15:H15"/>
    <mergeCell ref="L17:N17"/>
    <mergeCell ref="I17:K17"/>
    <mergeCell ref="N19:N20"/>
    <mergeCell ref="L19:L20"/>
    <mergeCell ref="K19:K20"/>
    <mergeCell ref="F19:F20"/>
    <mergeCell ref="I15:K15"/>
    <mergeCell ref="I19:I20"/>
    <mergeCell ref="A19:A20"/>
    <mergeCell ref="E19:E20"/>
    <mergeCell ref="A25:A26"/>
    <mergeCell ref="F25:F26"/>
    <mergeCell ref="A21:A22"/>
    <mergeCell ref="A23:A24"/>
    <mergeCell ref="E23:E24"/>
    <mergeCell ref="B1:E1"/>
    <mergeCell ref="C25:C26"/>
    <mergeCell ref="C19:C20"/>
    <mergeCell ref="C21:C22"/>
    <mergeCell ref="C23:C24"/>
    <mergeCell ref="B19:B20"/>
    <mergeCell ref="B21:B22"/>
    <mergeCell ref="E25:E26"/>
    <mergeCell ref="B23:B24"/>
    <mergeCell ref="C14:H14"/>
    <mergeCell ref="H23:H24"/>
    <mergeCell ref="H19:H20"/>
    <mergeCell ref="H21:H22"/>
    <mergeCell ref="C17:E17"/>
    <mergeCell ref="F17:H17"/>
    <mergeCell ref="B25:B26"/>
    <mergeCell ref="A29:A30"/>
    <mergeCell ref="A31:A32"/>
    <mergeCell ref="B29:B30"/>
    <mergeCell ref="B31:B32"/>
    <mergeCell ref="A27:A28"/>
    <mergeCell ref="B27:B28"/>
    <mergeCell ref="C31:C32"/>
    <mergeCell ref="E29:E30"/>
    <mergeCell ref="F21:F22"/>
    <mergeCell ref="H31:H32"/>
    <mergeCell ref="F29:F30"/>
    <mergeCell ref="F31:F32"/>
    <mergeCell ref="H29:H30"/>
    <mergeCell ref="H25:H26"/>
    <mergeCell ref="F23:F24"/>
    <mergeCell ref="E21:E22"/>
    <mergeCell ref="D2:G2"/>
    <mergeCell ref="I31:I32"/>
    <mergeCell ref="N29:N30"/>
    <mergeCell ref="K31:K32"/>
    <mergeCell ref="K25:K26"/>
    <mergeCell ref="L29:L30"/>
    <mergeCell ref="C27:N28"/>
    <mergeCell ref="I29:I30"/>
    <mergeCell ref="E31:E32"/>
    <mergeCell ref="C29:C30"/>
    <mergeCell ref="I25:I26"/>
    <mergeCell ref="L31:L32"/>
    <mergeCell ref="N31:N32"/>
    <mergeCell ref="K29:K30"/>
    <mergeCell ref="N25:N26"/>
    <mergeCell ref="L25:L26"/>
  </mergeCells>
  <phoneticPr fontId="5"/>
  <printOptions horizontalCentered="1" verticalCentered="1"/>
  <pageMargins left="0.39370078740157483" right="0.39370078740157483" top="0.39370078740157483" bottom="0.39370078740157483" header="0.43307086614173229" footer="0.31496062992125984"/>
  <pageSetup paperSize="9" scale="71"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94B71CC-C9BA-47B3-844D-AFEB5A098DD2}">
          <x14:formula1>
            <xm:f>項目!$E$1:$E$5</xm:f>
          </x14:formula1>
          <xm:sqref>C14:N14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BO83"/>
  <sheetViews>
    <sheetView zoomScale="55" zoomScaleNormal="70" workbookViewId="0">
      <selection activeCell="A2" sqref="A2"/>
    </sheetView>
  </sheetViews>
  <sheetFormatPr defaultColWidth="4.1328125" defaultRowHeight="16.75" x14ac:dyDescent="0.45"/>
  <cols>
    <col min="1" max="1" width="11.6328125" style="267" customWidth="1"/>
    <col min="2" max="3" width="5.6328125" style="267" customWidth="1"/>
    <col min="4" max="27" width="4.1328125" style="267" customWidth="1"/>
    <col min="28" max="28" width="4.1328125" style="272" customWidth="1"/>
    <col min="29" max="29" width="11.6328125" style="273" customWidth="1"/>
    <col min="30" max="31" width="5.6328125" style="273" customWidth="1"/>
    <col min="32" max="42" width="4.1328125" style="273" customWidth="1"/>
    <col min="43" max="47" width="4.1328125" style="272" customWidth="1"/>
    <col min="48" max="16384" width="4.1328125" style="272"/>
  </cols>
  <sheetData>
    <row r="1" spans="1:57" s="260" customFormat="1" ht="29.75" x14ac:dyDescent="0.45">
      <c r="A1" s="750" t="s">
        <v>46</v>
      </c>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259"/>
      <c r="AC1" s="750" t="s">
        <v>46</v>
      </c>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259"/>
      <c r="BE1" s="259"/>
    </row>
    <row r="2" spans="1:57" s="260" customFormat="1" ht="19.25" x14ac:dyDescent="0.45">
      <c r="A2" s="261"/>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row>
    <row r="3" spans="1:57" s="260" customFormat="1" ht="27.75" customHeight="1" thickBot="1" x14ac:dyDescent="0.6">
      <c r="A3" s="681" t="s">
        <v>47</v>
      </c>
      <c r="B3" s="681"/>
      <c r="C3" s="681"/>
      <c r="D3" s="753" t="str">
        <f>予選リーグ!C14</f>
        <v>レゾナック サッカー・ラグビー場　Bコート</v>
      </c>
      <c r="E3" s="754"/>
      <c r="F3" s="754"/>
      <c r="G3" s="754"/>
      <c r="H3" s="754"/>
      <c r="I3" s="754"/>
      <c r="J3" s="754"/>
      <c r="K3" s="754"/>
      <c r="L3" s="754"/>
      <c r="M3" s="754"/>
      <c r="N3" s="754"/>
      <c r="O3" s="754"/>
      <c r="P3" s="754"/>
      <c r="Q3" s="754"/>
      <c r="R3" s="754"/>
      <c r="S3" s="754"/>
      <c r="T3" s="754"/>
      <c r="U3" s="754"/>
      <c r="V3" s="754"/>
      <c r="W3" s="754"/>
      <c r="X3" s="754"/>
      <c r="Y3" s="754"/>
      <c r="Z3" s="754"/>
      <c r="AA3" s="755"/>
      <c r="AC3" s="681" t="s">
        <v>47</v>
      </c>
      <c r="AD3" s="681"/>
      <c r="AE3" s="681"/>
      <c r="AF3" s="753" t="str">
        <f>予選リーグ!I14</f>
        <v>大分県サッカー協会人工芝グラウンド</v>
      </c>
      <c r="AG3" s="754"/>
      <c r="AH3" s="754"/>
      <c r="AI3" s="754"/>
      <c r="AJ3" s="754"/>
      <c r="AK3" s="754"/>
      <c r="AL3" s="754"/>
      <c r="AM3" s="754"/>
      <c r="AN3" s="754"/>
      <c r="AO3" s="754"/>
      <c r="AP3" s="754"/>
      <c r="AQ3" s="754"/>
      <c r="AR3" s="754"/>
      <c r="AS3" s="754"/>
      <c r="AT3" s="754"/>
      <c r="AU3" s="754"/>
      <c r="AV3" s="754"/>
      <c r="AW3" s="754"/>
      <c r="AX3" s="754"/>
      <c r="AY3" s="754"/>
      <c r="AZ3" s="754"/>
      <c r="BA3" s="754"/>
      <c r="BB3" s="754"/>
      <c r="BC3" s="755"/>
    </row>
    <row r="4" spans="1:57" s="260" customFormat="1" ht="27.75" customHeight="1" thickBot="1" x14ac:dyDescent="0.6">
      <c r="A4" s="681" t="s">
        <v>35</v>
      </c>
      <c r="B4" s="681"/>
      <c r="C4" s="682"/>
      <c r="D4" s="766" t="s">
        <v>36</v>
      </c>
      <c r="E4" s="756"/>
      <c r="F4" s="756"/>
      <c r="G4" s="756"/>
      <c r="H4" s="756"/>
      <c r="I4" s="756"/>
      <c r="J4" s="756" t="s">
        <v>38</v>
      </c>
      <c r="K4" s="756"/>
      <c r="L4" s="756"/>
      <c r="M4" s="756"/>
      <c r="N4" s="756"/>
      <c r="O4" s="758"/>
      <c r="P4" s="759" t="s">
        <v>37</v>
      </c>
      <c r="Q4" s="756"/>
      <c r="R4" s="756"/>
      <c r="S4" s="756"/>
      <c r="T4" s="756"/>
      <c r="U4" s="756"/>
      <c r="V4" s="756" t="s">
        <v>191</v>
      </c>
      <c r="W4" s="756"/>
      <c r="X4" s="756"/>
      <c r="Y4" s="756"/>
      <c r="Z4" s="756"/>
      <c r="AA4" s="757"/>
      <c r="AC4" s="681" t="s">
        <v>35</v>
      </c>
      <c r="AD4" s="681"/>
      <c r="AE4" s="682"/>
      <c r="AF4" s="766" t="s">
        <v>192</v>
      </c>
      <c r="AG4" s="756"/>
      <c r="AH4" s="756"/>
      <c r="AI4" s="756"/>
      <c r="AJ4" s="756"/>
      <c r="AK4" s="756"/>
      <c r="AL4" s="756" t="s">
        <v>193</v>
      </c>
      <c r="AM4" s="756"/>
      <c r="AN4" s="756"/>
      <c r="AO4" s="756"/>
      <c r="AP4" s="756"/>
      <c r="AQ4" s="758"/>
      <c r="AR4" s="759" t="s">
        <v>194</v>
      </c>
      <c r="AS4" s="756"/>
      <c r="AT4" s="756"/>
      <c r="AU4" s="756"/>
      <c r="AV4" s="756"/>
      <c r="AW4" s="756"/>
      <c r="AX4" s="756" t="s">
        <v>195</v>
      </c>
      <c r="AY4" s="756"/>
      <c r="AZ4" s="756"/>
      <c r="BA4" s="756"/>
      <c r="BB4" s="756"/>
      <c r="BC4" s="757"/>
    </row>
    <row r="5" spans="1:57" s="260" customFormat="1" ht="27.75" customHeight="1" x14ac:dyDescent="0.45">
      <c r="A5" s="685" t="s">
        <v>39</v>
      </c>
      <c r="B5" s="688"/>
      <c r="C5" s="688"/>
      <c r="D5" s="767" t="str">
        <f>予選リーグ!D5</f>
        <v>和田</v>
      </c>
      <c r="E5" s="696"/>
      <c r="F5" s="696"/>
      <c r="G5" s="696"/>
      <c r="H5" s="696"/>
      <c r="I5" s="696"/>
      <c r="J5" s="696" t="str">
        <f>予選リーグ!D10</f>
        <v>国東</v>
      </c>
      <c r="K5" s="696"/>
      <c r="L5" s="696"/>
      <c r="M5" s="696"/>
      <c r="N5" s="696"/>
      <c r="O5" s="764"/>
      <c r="P5" s="714" t="str">
        <f>予選リーグ!G5</f>
        <v>ミネルバ</v>
      </c>
      <c r="Q5" s="714"/>
      <c r="R5" s="714"/>
      <c r="S5" s="714"/>
      <c r="T5" s="714"/>
      <c r="U5" s="761"/>
      <c r="V5" s="696" t="str">
        <f>予選リーグ!G10</f>
        <v>ＷＡＹＳ</v>
      </c>
      <c r="W5" s="696"/>
      <c r="X5" s="696"/>
      <c r="Y5" s="696"/>
      <c r="Z5" s="696"/>
      <c r="AA5" s="697"/>
      <c r="AC5" s="685" t="s">
        <v>39</v>
      </c>
      <c r="AD5" s="688"/>
      <c r="AE5" s="688"/>
      <c r="AF5" s="767" t="str">
        <f>予選リーグ!J5</f>
        <v>臼杵</v>
      </c>
      <c r="AG5" s="696"/>
      <c r="AH5" s="696"/>
      <c r="AI5" s="696"/>
      <c r="AJ5" s="696"/>
      <c r="AK5" s="696"/>
      <c r="AL5" s="713" t="str">
        <f>予選リーグ!J10</f>
        <v>スマイス・セレソン</v>
      </c>
      <c r="AM5" s="714"/>
      <c r="AN5" s="714"/>
      <c r="AO5" s="714"/>
      <c r="AP5" s="714"/>
      <c r="AQ5" s="715"/>
      <c r="AR5" s="761" t="str">
        <f>予選リーグ!M5</f>
        <v>ティエラ</v>
      </c>
      <c r="AS5" s="696"/>
      <c r="AT5" s="696"/>
      <c r="AU5" s="696"/>
      <c r="AV5" s="696"/>
      <c r="AW5" s="696"/>
      <c r="AX5" s="696" t="str">
        <f>予選リーグ!M10</f>
        <v>寒田．敷戸</v>
      </c>
      <c r="AY5" s="696"/>
      <c r="AZ5" s="696"/>
      <c r="BA5" s="696"/>
      <c r="BB5" s="696"/>
      <c r="BC5" s="697"/>
    </row>
    <row r="6" spans="1:57" s="260" customFormat="1" ht="27.75" customHeight="1" x14ac:dyDescent="0.45">
      <c r="A6" s="689"/>
      <c r="B6" s="690"/>
      <c r="C6" s="690"/>
      <c r="D6" s="763" t="str">
        <f>予選リーグ!C7</f>
        <v>リノス</v>
      </c>
      <c r="E6" s="698"/>
      <c r="F6" s="698"/>
      <c r="G6" s="698"/>
      <c r="H6" s="698"/>
      <c r="I6" s="698"/>
      <c r="J6" s="698" t="str">
        <f>予選リーグ!C12</f>
        <v>ＫＩＮＧＳ</v>
      </c>
      <c r="K6" s="698"/>
      <c r="L6" s="698"/>
      <c r="M6" s="698"/>
      <c r="N6" s="698"/>
      <c r="O6" s="762"/>
      <c r="P6" s="708" t="str">
        <f>予選リーグ!F7</f>
        <v>明野東</v>
      </c>
      <c r="Q6" s="708"/>
      <c r="R6" s="708"/>
      <c r="S6" s="708"/>
      <c r="T6" s="708"/>
      <c r="U6" s="703"/>
      <c r="V6" s="698" t="str">
        <f>予選リーグ!F12</f>
        <v>金池長浜</v>
      </c>
      <c r="W6" s="698"/>
      <c r="X6" s="698"/>
      <c r="Y6" s="698"/>
      <c r="Z6" s="698"/>
      <c r="AA6" s="699"/>
      <c r="AC6" s="689"/>
      <c r="AD6" s="690"/>
      <c r="AE6" s="690"/>
      <c r="AF6" s="763" t="str">
        <f>予選リーグ!I7</f>
        <v>ブルーウイング</v>
      </c>
      <c r="AG6" s="698"/>
      <c r="AH6" s="698"/>
      <c r="AI6" s="698"/>
      <c r="AJ6" s="698"/>
      <c r="AK6" s="698"/>
      <c r="AL6" s="707" t="str">
        <f>予選リーグ!I12</f>
        <v>明治</v>
      </c>
      <c r="AM6" s="708"/>
      <c r="AN6" s="708"/>
      <c r="AO6" s="708"/>
      <c r="AP6" s="708"/>
      <c r="AQ6" s="709"/>
      <c r="AR6" s="703" t="str">
        <f>予選リーグ!L7</f>
        <v>西の台</v>
      </c>
      <c r="AS6" s="698"/>
      <c r="AT6" s="698"/>
      <c r="AU6" s="698"/>
      <c r="AV6" s="698"/>
      <c r="AW6" s="698"/>
      <c r="AX6" s="698" t="str">
        <f>予選リーグ!L12</f>
        <v>スマイス　スポーツＡ</v>
      </c>
      <c r="AY6" s="698"/>
      <c r="AZ6" s="698"/>
      <c r="BA6" s="698"/>
      <c r="BB6" s="698"/>
      <c r="BC6" s="699"/>
    </row>
    <row r="7" spans="1:57" s="260" customFormat="1" ht="27.75" customHeight="1" thickBot="1" x14ac:dyDescent="0.6">
      <c r="A7" s="691"/>
      <c r="B7" s="692"/>
      <c r="C7" s="692"/>
      <c r="D7" s="768" t="str">
        <f>予選リーグ!E7</f>
        <v>カティオーラＵ－１２</v>
      </c>
      <c r="E7" s="705"/>
      <c r="F7" s="705"/>
      <c r="G7" s="705"/>
      <c r="H7" s="705"/>
      <c r="I7" s="705"/>
      <c r="J7" s="705" t="str">
        <f>予選リーグ!E12</f>
        <v>ドリームキッズ</v>
      </c>
      <c r="K7" s="705"/>
      <c r="L7" s="705"/>
      <c r="M7" s="705"/>
      <c r="N7" s="705"/>
      <c r="O7" s="765"/>
      <c r="P7" s="711" t="str">
        <f>予選リーグ!H7</f>
        <v>玖珠</v>
      </c>
      <c r="Q7" s="711"/>
      <c r="R7" s="711"/>
      <c r="S7" s="711"/>
      <c r="T7" s="711"/>
      <c r="U7" s="704"/>
      <c r="V7" s="705" t="str">
        <f>予選リーグ!H12</f>
        <v>太陽大分西</v>
      </c>
      <c r="W7" s="705"/>
      <c r="X7" s="705"/>
      <c r="Y7" s="705"/>
      <c r="Z7" s="705"/>
      <c r="AA7" s="760"/>
      <c r="AC7" s="691"/>
      <c r="AD7" s="692"/>
      <c r="AE7" s="692"/>
      <c r="AF7" s="768" t="str">
        <f>予選リーグ!K7</f>
        <v>きつき</v>
      </c>
      <c r="AG7" s="705"/>
      <c r="AH7" s="705"/>
      <c r="AI7" s="705"/>
      <c r="AJ7" s="705"/>
      <c r="AK7" s="705"/>
      <c r="AL7" s="710" t="str">
        <f>予選リーグ!K12</f>
        <v>鶴見少年</v>
      </c>
      <c r="AM7" s="711"/>
      <c r="AN7" s="711"/>
      <c r="AO7" s="711"/>
      <c r="AP7" s="711"/>
      <c r="AQ7" s="712"/>
      <c r="AR7" s="704" t="str">
        <f>予選リーグ!N7</f>
        <v>竹田直入</v>
      </c>
      <c r="AS7" s="705"/>
      <c r="AT7" s="705"/>
      <c r="AU7" s="705"/>
      <c r="AV7" s="705"/>
      <c r="AW7" s="705"/>
      <c r="AX7" s="705" t="str">
        <f>予選リーグ!N12</f>
        <v>鶴居</v>
      </c>
      <c r="AY7" s="705"/>
      <c r="AZ7" s="705"/>
      <c r="BA7" s="705"/>
      <c r="BB7" s="705"/>
      <c r="BC7" s="760"/>
    </row>
    <row r="8" spans="1:57" s="260" customFormat="1" ht="19.25" x14ac:dyDescent="0.45">
      <c r="A8" s="262"/>
      <c r="B8" s="262"/>
      <c r="C8" s="262"/>
      <c r="D8" s="263"/>
      <c r="E8" s="264"/>
      <c r="F8" s="264"/>
      <c r="G8" s="264"/>
      <c r="H8" s="264"/>
      <c r="I8" s="264"/>
      <c r="J8" s="264"/>
      <c r="K8" s="264"/>
      <c r="L8" s="264"/>
      <c r="M8" s="264"/>
      <c r="N8" s="264"/>
      <c r="O8" s="265"/>
      <c r="P8" s="264"/>
      <c r="Q8" s="264"/>
      <c r="R8" s="264"/>
      <c r="S8" s="264"/>
      <c r="T8" s="264"/>
      <c r="U8" s="264"/>
      <c r="V8" s="264"/>
      <c r="W8" s="264"/>
      <c r="X8" s="264"/>
      <c r="Y8" s="264"/>
      <c r="Z8" s="264"/>
      <c r="AA8" s="266"/>
      <c r="AC8" s="262"/>
      <c r="AD8" s="262"/>
      <c r="AE8" s="262"/>
      <c r="AF8" s="263"/>
      <c r="AG8" s="264"/>
      <c r="AH8" s="264"/>
      <c r="AI8" s="264"/>
      <c r="AJ8" s="264"/>
      <c r="AK8" s="264"/>
      <c r="AL8" s="264"/>
      <c r="AM8" s="264"/>
      <c r="AN8" s="264"/>
      <c r="AO8" s="264"/>
      <c r="AP8" s="264"/>
      <c r="AQ8" s="265"/>
      <c r="AR8" s="264"/>
      <c r="AS8" s="264"/>
      <c r="AT8" s="264"/>
      <c r="AU8" s="264"/>
      <c r="AV8" s="264"/>
      <c r="AW8" s="264"/>
      <c r="AX8" s="264"/>
      <c r="AY8" s="264"/>
      <c r="AZ8" s="264"/>
      <c r="BA8" s="264"/>
      <c r="BB8" s="264"/>
      <c r="BC8" s="266"/>
    </row>
    <row r="9" spans="1:57" ht="24.5" x14ac:dyDescent="0.45">
      <c r="C9" s="268"/>
      <c r="D9" s="269"/>
      <c r="O9" s="270"/>
      <c r="AA9" s="271"/>
      <c r="AF9" s="274"/>
      <c r="AQ9" s="270"/>
      <c r="BC9" s="275"/>
    </row>
    <row r="10" spans="1:57" ht="21.75" customHeight="1" thickBot="1" x14ac:dyDescent="0.6">
      <c r="A10" s="751" t="s">
        <v>48</v>
      </c>
      <c r="B10" s="751"/>
      <c r="C10" s="752"/>
      <c r="D10" s="269"/>
      <c r="O10" s="276"/>
      <c r="AA10" s="271"/>
      <c r="AC10" s="751" t="s">
        <v>48</v>
      </c>
      <c r="AD10" s="751"/>
      <c r="AE10" s="752"/>
      <c r="AF10" s="269"/>
      <c r="AG10" s="267"/>
      <c r="AH10" s="267"/>
      <c r="AI10" s="267"/>
      <c r="AJ10" s="267"/>
      <c r="AK10" s="267"/>
      <c r="AL10" s="267"/>
      <c r="AM10" s="267"/>
      <c r="AN10" s="267"/>
      <c r="AO10" s="267"/>
      <c r="AP10" s="267"/>
      <c r="AQ10" s="276"/>
      <c r="AR10" s="267"/>
      <c r="AS10" s="267"/>
      <c r="AT10" s="267"/>
      <c r="AU10" s="267"/>
      <c r="AV10" s="267"/>
      <c r="AW10" s="267"/>
      <c r="AX10" s="267"/>
      <c r="AY10" s="267"/>
      <c r="AZ10" s="267"/>
      <c r="BA10" s="267"/>
      <c r="BB10" s="267"/>
      <c r="BC10" s="271"/>
    </row>
    <row r="11" spans="1:57" s="260" customFormat="1" ht="27.75" customHeight="1" x14ac:dyDescent="0.45">
      <c r="A11" s="693" t="s">
        <v>40</v>
      </c>
      <c r="B11" s="694"/>
      <c r="C11" s="695"/>
      <c r="D11" s="700" t="str">
        <f>予選リーグ!C15</f>
        <v>「A」コート</v>
      </c>
      <c r="E11" s="701"/>
      <c r="F11" s="701"/>
      <c r="G11" s="701"/>
      <c r="H11" s="701"/>
      <c r="I11" s="701"/>
      <c r="J11" s="701"/>
      <c r="K11" s="701"/>
      <c r="L11" s="701"/>
      <c r="M11" s="701"/>
      <c r="N11" s="701"/>
      <c r="O11" s="702"/>
      <c r="P11" s="701" t="str">
        <f>予選リーグ!F15</f>
        <v>「B」コート</v>
      </c>
      <c r="Q11" s="701"/>
      <c r="R11" s="701"/>
      <c r="S11" s="701"/>
      <c r="T11" s="701"/>
      <c r="U11" s="701"/>
      <c r="V11" s="701"/>
      <c r="W11" s="701"/>
      <c r="X11" s="701"/>
      <c r="Y11" s="701"/>
      <c r="Z11" s="701"/>
      <c r="AA11" s="706"/>
      <c r="AC11" s="693" t="s">
        <v>40</v>
      </c>
      <c r="AD11" s="694"/>
      <c r="AE11" s="695"/>
      <c r="AF11" s="700" t="str">
        <f>予選リーグ!I15</f>
        <v>「A」コート</v>
      </c>
      <c r="AG11" s="701"/>
      <c r="AH11" s="701"/>
      <c r="AI11" s="701"/>
      <c r="AJ11" s="701"/>
      <c r="AK11" s="701"/>
      <c r="AL11" s="701"/>
      <c r="AM11" s="701"/>
      <c r="AN11" s="701"/>
      <c r="AO11" s="701"/>
      <c r="AP11" s="701"/>
      <c r="AQ11" s="702"/>
      <c r="AR11" s="701" t="str">
        <f>予選リーグ!L15</f>
        <v>「B」コート</v>
      </c>
      <c r="AS11" s="701"/>
      <c r="AT11" s="701"/>
      <c r="AU11" s="701"/>
      <c r="AV11" s="701"/>
      <c r="AW11" s="701"/>
      <c r="AX11" s="701"/>
      <c r="AY11" s="701"/>
      <c r="AZ11" s="701"/>
      <c r="BA11" s="701"/>
      <c r="BB11" s="701"/>
      <c r="BC11" s="706"/>
    </row>
    <row r="12" spans="1:57" s="260" customFormat="1" ht="27.75" customHeight="1" thickBot="1" x14ac:dyDescent="0.6">
      <c r="A12" s="683" t="s">
        <v>49</v>
      </c>
      <c r="B12" s="684"/>
      <c r="C12" s="685"/>
      <c r="D12" s="277"/>
      <c r="E12" s="262"/>
      <c r="F12" s="262"/>
      <c r="G12" s="262"/>
      <c r="H12" s="262"/>
      <c r="I12" s="261" t="s">
        <v>50</v>
      </c>
      <c r="J12" s="262"/>
      <c r="K12" s="262"/>
      <c r="L12" s="278"/>
      <c r="M12" s="689" t="s">
        <v>2060</v>
      </c>
      <c r="N12" s="690"/>
      <c r="O12" s="716"/>
      <c r="P12" s="261"/>
      <c r="Q12" s="262"/>
      <c r="R12" s="262"/>
      <c r="S12" s="262"/>
      <c r="T12" s="262"/>
      <c r="U12" s="261" t="s">
        <v>50</v>
      </c>
      <c r="V12" s="262"/>
      <c r="W12" s="262"/>
      <c r="X12" s="278"/>
      <c r="Y12" s="689" t="s">
        <v>2060</v>
      </c>
      <c r="Z12" s="690"/>
      <c r="AA12" s="717"/>
      <c r="AC12" s="683" t="s">
        <v>49</v>
      </c>
      <c r="AD12" s="684"/>
      <c r="AE12" s="685"/>
      <c r="AF12" s="277"/>
      <c r="AG12" s="262"/>
      <c r="AH12" s="262"/>
      <c r="AI12" s="262"/>
      <c r="AJ12" s="262"/>
      <c r="AK12" s="261" t="s">
        <v>50</v>
      </c>
      <c r="AL12" s="262"/>
      <c r="AM12" s="262"/>
      <c r="AN12" s="278"/>
      <c r="AO12" s="689" t="s">
        <v>2060</v>
      </c>
      <c r="AP12" s="690"/>
      <c r="AQ12" s="716"/>
      <c r="AR12" s="261"/>
      <c r="AS12" s="262"/>
      <c r="AT12" s="262"/>
      <c r="AU12" s="262"/>
      <c r="AV12" s="262"/>
      <c r="AW12" s="261" t="s">
        <v>50</v>
      </c>
      <c r="AX12" s="262"/>
      <c r="AY12" s="262"/>
      <c r="AZ12" s="278"/>
      <c r="BA12" s="689" t="s">
        <v>2060</v>
      </c>
      <c r="BB12" s="690"/>
      <c r="BC12" s="717"/>
    </row>
    <row r="13" spans="1:57" ht="54.75" customHeight="1" x14ac:dyDescent="0.45">
      <c r="A13" s="631" t="s">
        <v>2061</v>
      </c>
      <c r="B13" s="633">
        <f>予選リーグ!B19</f>
        <v>0.4375</v>
      </c>
      <c r="C13" s="633"/>
      <c r="D13" s="635" t="s">
        <v>4</v>
      </c>
      <c r="E13" s="617"/>
      <c r="F13" s="614" t="str">
        <f>予選リーグ!C19</f>
        <v>和田</v>
      </c>
      <c r="G13" s="614"/>
      <c r="H13" s="615"/>
      <c r="I13" s="279" t="s">
        <v>2062</v>
      </c>
      <c r="J13" s="613" t="str">
        <f>予選リーグ!E19</f>
        <v>リノス</v>
      </c>
      <c r="K13" s="614"/>
      <c r="L13" s="614"/>
      <c r="M13" s="618" t="str">
        <f>予選リーグ!D19</f>
        <v>ドリームキッズ</v>
      </c>
      <c r="N13" s="619"/>
      <c r="O13" s="629"/>
      <c r="P13" s="616" t="s">
        <v>4</v>
      </c>
      <c r="Q13" s="617"/>
      <c r="R13" s="615" t="str">
        <f>予選リーグ!F19</f>
        <v>ミネルバ</v>
      </c>
      <c r="S13" s="636"/>
      <c r="T13" s="636"/>
      <c r="U13" s="279" t="s">
        <v>2062</v>
      </c>
      <c r="V13" s="636" t="str">
        <f>予選リーグ!H19</f>
        <v>明野東</v>
      </c>
      <c r="W13" s="636"/>
      <c r="X13" s="613"/>
      <c r="Y13" s="618" t="str">
        <f>予選リーグ!G19</f>
        <v>太陽大分西</v>
      </c>
      <c r="Z13" s="619"/>
      <c r="AA13" s="620"/>
      <c r="AC13" s="631" t="s">
        <v>2061</v>
      </c>
      <c r="AD13" s="633">
        <f>予選リーグ!B19</f>
        <v>0.4375</v>
      </c>
      <c r="AE13" s="633"/>
      <c r="AF13" s="635" t="s">
        <v>4</v>
      </c>
      <c r="AG13" s="617"/>
      <c r="AH13" s="614" t="str">
        <f>予選リーグ!I19</f>
        <v>臼杵</v>
      </c>
      <c r="AI13" s="614"/>
      <c r="AJ13" s="615"/>
      <c r="AK13" s="279" t="s">
        <v>2062</v>
      </c>
      <c r="AL13" s="613" t="str">
        <f>予選リーグ!K19</f>
        <v>ブルーウイング</v>
      </c>
      <c r="AM13" s="614"/>
      <c r="AN13" s="614"/>
      <c r="AO13" s="618" t="str">
        <f>予選リーグ!J19</f>
        <v>鶴見少年</v>
      </c>
      <c r="AP13" s="619"/>
      <c r="AQ13" s="629"/>
      <c r="AR13" s="616" t="s">
        <v>4</v>
      </c>
      <c r="AS13" s="617"/>
      <c r="AT13" s="614" t="str">
        <f>予選リーグ!L19</f>
        <v>ティエラ</v>
      </c>
      <c r="AU13" s="614"/>
      <c r="AV13" s="615"/>
      <c r="AW13" s="279" t="s">
        <v>2062</v>
      </c>
      <c r="AX13" s="613" t="str">
        <f>予選リーグ!N19</f>
        <v>西の台</v>
      </c>
      <c r="AY13" s="614"/>
      <c r="AZ13" s="614"/>
      <c r="BA13" s="618" t="str">
        <f>予選リーグ!M19</f>
        <v>鶴居</v>
      </c>
      <c r="BB13" s="619"/>
      <c r="BC13" s="620"/>
    </row>
    <row r="14" spans="1:57" s="281" customFormat="1" ht="54.75" customHeight="1" thickBot="1" x14ac:dyDescent="0.6">
      <c r="A14" s="632"/>
      <c r="B14" s="634"/>
      <c r="C14" s="634"/>
      <c r="D14" s="653" t="s">
        <v>51</v>
      </c>
      <c r="E14" s="627"/>
      <c r="F14" s="628">
        <v>0</v>
      </c>
      <c r="G14" s="624"/>
      <c r="H14" s="624"/>
      <c r="I14" s="280" t="s">
        <v>2062</v>
      </c>
      <c r="J14" s="624">
        <v>3</v>
      </c>
      <c r="K14" s="624"/>
      <c r="L14" s="625"/>
      <c r="M14" s="621" t="str">
        <f>予選リーグ!D20</f>
        <v>国東</v>
      </c>
      <c r="N14" s="622"/>
      <c r="O14" s="630"/>
      <c r="P14" s="626" t="s">
        <v>51</v>
      </c>
      <c r="Q14" s="627"/>
      <c r="R14" s="628">
        <v>5</v>
      </c>
      <c r="S14" s="624"/>
      <c r="T14" s="624"/>
      <c r="U14" s="280" t="s">
        <v>2062</v>
      </c>
      <c r="V14" s="624">
        <v>0</v>
      </c>
      <c r="W14" s="624"/>
      <c r="X14" s="625"/>
      <c r="Y14" s="621" t="str">
        <f>予選リーグ!G20</f>
        <v>ＷＡＹＳ</v>
      </c>
      <c r="Z14" s="622"/>
      <c r="AA14" s="623"/>
      <c r="AC14" s="632"/>
      <c r="AD14" s="634"/>
      <c r="AE14" s="634"/>
      <c r="AF14" s="653" t="s">
        <v>51</v>
      </c>
      <c r="AG14" s="627"/>
      <c r="AH14" s="628">
        <v>0</v>
      </c>
      <c r="AI14" s="624"/>
      <c r="AJ14" s="624"/>
      <c r="AK14" s="280" t="s">
        <v>2062</v>
      </c>
      <c r="AL14" s="624">
        <v>5</v>
      </c>
      <c r="AM14" s="624"/>
      <c r="AN14" s="625"/>
      <c r="AO14" s="621" t="str">
        <f>予選リーグ!J20</f>
        <v>スマイス・セレソン</v>
      </c>
      <c r="AP14" s="622"/>
      <c r="AQ14" s="630"/>
      <c r="AR14" s="626" t="s">
        <v>51</v>
      </c>
      <c r="AS14" s="627"/>
      <c r="AT14" s="628">
        <v>1</v>
      </c>
      <c r="AU14" s="624"/>
      <c r="AV14" s="624"/>
      <c r="AW14" s="280" t="s">
        <v>2062</v>
      </c>
      <c r="AX14" s="624">
        <v>1</v>
      </c>
      <c r="AY14" s="624"/>
      <c r="AZ14" s="625"/>
      <c r="BA14" s="621" t="str">
        <f>予選リーグ!M20</f>
        <v>寒田．敷戸</v>
      </c>
      <c r="BB14" s="622"/>
      <c r="BC14" s="623"/>
    </row>
    <row r="15" spans="1:57" ht="54.75" customHeight="1" x14ac:dyDescent="0.45">
      <c r="A15" s="631" t="s">
        <v>2063</v>
      </c>
      <c r="B15" s="633">
        <f>予選リーグ!B21</f>
        <v>0.47916666666666669</v>
      </c>
      <c r="C15" s="633"/>
      <c r="D15" s="635" t="s">
        <v>4</v>
      </c>
      <c r="E15" s="617"/>
      <c r="F15" s="614" t="str">
        <f>予選リーグ!C21</f>
        <v>国東</v>
      </c>
      <c r="G15" s="614"/>
      <c r="H15" s="615"/>
      <c r="I15" s="279" t="s">
        <v>2062</v>
      </c>
      <c r="J15" s="613" t="str">
        <f>予選リーグ!E21</f>
        <v>ＫＩＮＧＳ</v>
      </c>
      <c r="K15" s="614"/>
      <c r="L15" s="614"/>
      <c r="M15" s="618" t="str">
        <f>予選リーグ!D21</f>
        <v>和田</v>
      </c>
      <c r="N15" s="619"/>
      <c r="O15" s="629"/>
      <c r="P15" s="616" t="s">
        <v>4</v>
      </c>
      <c r="Q15" s="617"/>
      <c r="R15" s="615" t="str">
        <f>予選リーグ!F21</f>
        <v>ＷＡＹＳ</v>
      </c>
      <c r="S15" s="636"/>
      <c r="T15" s="636"/>
      <c r="U15" s="279" t="s">
        <v>2062</v>
      </c>
      <c r="V15" s="636" t="str">
        <f>予選リーグ!H21</f>
        <v>金池長浜</v>
      </c>
      <c r="W15" s="636"/>
      <c r="X15" s="613"/>
      <c r="Y15" s="618" t="str">
        <f>予選リーグ!G21</f>
        <v>ミネルバ</v>
      </c>
      <c r="Z15" s="619"/>
      <c r="AA15" s="620"/>
      <c r="AC15" s="631" t="s">
        <v>2063</v>
      </c>
      <c r="AD15" s="633">
        <f>予選リーグ!B21</f>
        <v>0.47916666666666669</v>
      </c>
      <c r="AE15" s="633"/>
      <c r="AF15" s="635" t="s">
        <v>4</v>
      </c>
      <c r="AG15" s="617"/>
      <c r="AH15" s="614" t="str">
        <f>予選リーグ!I21</f>
        <v>スマイス・セレソン</v>
      </c>
      <c r="AI15" s="614"/>
      <c r="AJ15" s="615"/>
      <c r="AK15" s="279" t="s">
        <v>2062</v>
      </c>
      <c r="AL15" s="613" t="str">
        <f>予選リーグ!K21</f>
        <v>明治</v>
      </c>
      <c r="AM15" s="614"/>
      <c r="AN15" s="614"/>
      <c r="AO15" s="618" t="str">
        <f>予選リーグ!J21</f>
        <v>臼杵</v>
      </c>
      <c r="AP15" s="619"/>
      <c r="AQ15" s="629"/>
      <c r="AR15" s="616" t="s">
        <v>4</v>
      </c>
      <c r="AS15" s="617"/>
      <c r="AT15" s="614" t="str">
        <f>予選リーグ!L21</f>
        <v>寒田．敷戸</v>
      </c>
      <c r="AU15" s="614"/>
      <c r="AV15" s="615"/>
      <c r="AW15" s="279" t="s">
        <v>2062</v>
      </c>
      <c r="AX15" s="613" t="str">
        <f>予選リーグ!N21</f>
        <v>スマイス　スポーツＡ</v>
      </c>
      <c r="AY15" s="614"/>
      <c r="AZ15" s="614"/>
      <c r="BA15" s="618" t="str">
        <f>予選リーグ!M21</f>
        <v>ティエラ</v>
      </c>
      <c r="BB15" s="619"/>
      <c r="BC15" s="620"/>
    </row>
    <row r="16" spans="1:57" s="281" customFormat="1" ht="54.75" customHeight="1" thickBot="1" x14ac:dyDescent="0.6">
      <c r="A16" s="632"/>
      <c r="B16" s="634"/>
      <c r="C16" s="634"/>
      <c r="D16" s="653" t="s">
        <v>51</v>
      </c>
      <c r="E16" s="627"/>
      <c r="F16" s="628">
        <v>0</v>
      </c>
      <c r="G16" s="624"/>
      <c r="H16" s="624"/>
      <c r="I16" s="280" t="s">
        <v>2062</v>
      </c>
      <c r="J16" s="624">
        <v>6</v>
      </c>
      <c r="K16" s="624"/>
      <c r="L16" s="625"/>
      <c r="M16" s="621" t="str">
        <f>予選リーグ!D22</f>
        <v>リノス</v>
      </c>
      <c r="N16" s="622"/>
      <c r="O16" s="630"/>
      <c r="P16" s="626" t="s">
        <v>51</v>
      </c>
      <c r="Q16" s="627"/>
      <c r="R16" s="628">
        <v>0</v>
      </c>
      <c r="S16" s="624"/>
      <c r="T16" s="624"/>
      <c r="U16" s="280" t="s">
        <v>2062</v>
      </c>
      <c r="V16" s="624">
        <v>0</v>
      </c>
      <c r="W16" s="624"/>
      <c r="X16" s="625"/>
      <c r="Y16" s="621" t="str">
        <f>予選リーグ!G22</f>
        <v>明野東</v>
      </c>
      <c r="Z16" s="622"/>
      <c r="AA16" s="623"/>
      <c r="AC16" s="632"/>
      <c r="AD16" s="634"/>
      <c r="AE16" s="634"/>
      <c r="AF16" s="653" t="s">
        <v>51</v>
      </c>
      <c r="AG16" s="627"/>
      <c r="AH16" s="628">
        <v>2</v>
      </c>
      <c r="AI16" s="624"/>
      <c r="AJ16" s="624"/>
      <c r="AK16" s="280" t="s">
        <v>2062</v>
      </c>
      <c r="AL16" s="624">
        <v>0</v>
      </c>
      <c r="AM16" s="624"/>
      <c r="AN16" s="625"/>
      <c r="AO16" s="621" t="str">
        <f>予選リーグ!J22</f>
        <v>ブルーウイング</v>
      </c>
      <c r="AP16" s="622"/>
      <c r="AQ16" s="630"/>
      <c r="AR16" s="626" t="s">
        <v>51</v>
      </c>
      <c r="AS16" s="627"/>
      <c r="AT16" s="628">
        <v>0</v>
      </c>
      <c r="AU16" s="624"/>
      <c r="AV16" s="624"/>
      <c r="AW16" s="280" t="s">
        <v>2062</v>
      </c>
      <c r="AX16" s="624">
        <v>5</v>
      </c>
      <c r="AY16" s="624"/>
      <c r="AZ16" s="625"/>
      <c r="BA16" s="621" t="str">
        <f>予選リーグ!M22</f>
        <v>西の台</v>
      </c>
      <c r="BB16" s="622"/>
      <c r="BC16" s="623"/>
    </row>
    <row r="17" spans="1:55" ht="54.75" customHeight="1" x14ac:dyDescent="0.45">
      <c r="A17" s="631" t="s">
        <v>2064</v>
      </c>
      <c r="B17" s="633">
        <f>予選リーグ!B23</f>
        <v>0.52083333333333337</v>
      </c>
      <c r="C17" s="633"/>
      <c r="D17" s="635" t="s">
        <v>4</v>
      </c>
      <c r="E17" s="617"/>
      <c r="F17" s="614" t="str">
        <f>予選リーグ!C23</f>
        <v>リノス</v>
      </c>
      <c r="G17" s="614"/>
      <c r="H17" s="615"/>
      <c r="I17" s="279" t="s">
        <v>2062</v>
      </c>
      <c r="J17" s="613" t="str">
        <f>予選リーグ!E23</f>
        <v>カティオーラＵ－１２</v>
      </c>
      <c r="K17" s="614"/>
      <c r="L17" s="614"/>
      <c r="M17" s="618" t="str">
        <f>予選リーグ!D23</f>
        <v>国東</v>
      </c>
      <c r="N17" s="619"/>
      <c r="O17" s="629"/>
      <c r="P17" s="616" t="s">
        <v>4</v>
      </c>
      <c r="Q17" s="617"/>
      <c r="R17" s="615" t="str">
        <f>予選リーグ!F23</f>
        <v>明野東</v>
      </c>
      <c r="S17" s="636"/>
      <c r="T17" s="636"/>
      <c r="U17" s="279" t="s">
        <v>2062</v>
      </c>
      <c r="V17" s="636" t="str">
        <f>予選リーグ!H23</f>
        <v>玖珠</v>
      </c>
      <c r="W17" s="636"/>
      <c r="X17" s="613"/>
      <c r="Y17" s="618" t="str">
        <f>予選リーグ!G23</f>
        <v>ＷＡＹＳ</v>
      </c>
      <c r="Z17" s="619"/>
      <c r="AA17" s="620"/>
      <c r="AC17" s="631" t="s">
        <v>2064</v>
      </c>
      <c r="AD17" s="633">
        <f>予選リーグ!B23</f>
        <v>0.52083333333333337</v>
      </c>
      <c r="AE17" s="633"/>
      <c r="AF17" s="635" t="s">
        <v>4</v>
      </c>
      <c r="AG17" s="617"/>
      <c r="AH17" s="614" t="str">
        <f>予選リーグ!I23</f>
        <v>ブルーウイング</v>
      </c>
      <c r="AI17" s="614"/>
      <c r="AJ17" s="615"/>
      <c r="AK17" s="279" t="s">
        <v>2062</v>
      </c>
      <c r="AL17" s="613" t="str">
        <f>予選リーグ!K23</f>
        <v>きつき</v>
      </c>
      <c r="AM17" s="614"/>
      <c r="AN17" s="614"/>
      <c r="AO17" s="618" t="str">
        <f>予選リーグ!J23</f>
        <v>スマイス・セレソン</v>
      </c>
      <c r="AP17" s="619"/>
      <c r="AQ17" s="629"/>
      <c r="AR17" s="616" t="s">
        <v>4</v>
      </c>
      <c r="AS17" s="617"/>
      <c r="AT17" s="614" t="str">
        <f>予選リーグ!L23</f>
        <v>西の台</v>
      </c>
      <c r="AU17" s="614"/>
      <c r="AV17" s="615"/>
      <c r="AW17" s="279" t="s">
        <v>2062</v>
      </c>
      <c r="AX17" s="613" t="str">
        <f>予選リーグ!N23</f>
        <v>竹田直入</v>
      </c>
      <c r="AY17" s="614"/>
      <c r="AZ17" s="614"/>
      <c r="BA17" s="618" t="str">
        <f>予選リーグ!M23</f>
        <v>寒田．敷戸</v>
      </c>
      <c r="BB17" s="619"/>
      <c r="BC17" s="620"/>
    </row>
    <row r="18" spans="1:55" s="281" customFormat="1" ht="54.75" customHeight="1" thickBot="1" x14ac:dyDescent="0.6">
      <c r="A18" s="632"/>
      <c r="B18" s="634"/>
      <c r="C18" s="634"/>
      <c r="D18" s="653" t="s">
        <v>51</v>
      </c>
      <c r="E18" s="627"/>
      <c r="F18" s="628">
        <v>1</v>
      </c>
      <c r="G18" s="624"/>
      <c r="H18" s="624"/>
      <c r="I18" s="280" t="s">
        <v>2062</v>
      </c>
      <c r="J18" s="624">
        <v>0</v>
      </c>
      <c r="K18" s="624"/>
      <c r="L18" s="625"/>
      <c r="M18" s="621" t="str">
        <f>予選リーグ!D24</f>
        <v>ＫＩＮＧＳ</v>
      </c>
      <c r="N18" s="622"/>
      <c r="O18" s="630"/>
      <c r="P18" s="626" t="s">
        <v>51</v>
      </c>
      <c r="Q18" s="627"/>
      <c r="R18" s="628">
        <v>0</v>
      </c>
      <c r="S18" s="624"/>
      <c r="T18" s="624"/>
      <c r="U18" s="280" t="s">
        <v>2062</v>
      </c>
      <c r="V18" s="624">
        <v>3</v>
      </c>
      <c r="W18" s="624"/>
      <c r="X18" s="625"/>
      <c r="Y18" s="621" t="str">
        <f>予選リーグ!G24</f>
        <v>金池長浜</v>
      </c>
      <c r="Z18" s="622"/>
      <c r="AA18" s="623"/>
      <c r="AC18" s="632"/>
      <c r="AD18" s="634"/>
      <c r="AE18" s="634"/>
      <c r="AF18" s="653" t="s">
        <v>51</v>
      </c>
      <c r="AG18" s="627"/>
      <c r="AH18" s="628">
        <v>4</v>
      </c>
      <c r="AI18" s="624"/>
      <c r="AJ18" s="624"/>
      <c r="AK18" s="280" t="s">
        <v>2062</v>
      </c>
      <c r="AL18" s="624">
        <v>1</v>
      </c>
      <c r="AM18" s="624"/>
      <c r="AN18" s="625"/>
      <c r="AO18" s="621" t="str">
        <f>予選リーグ!J24</f>
        <v>明治</v>
      </c>
      <c r="AP18" s="622"/>
      <c r="AQ18" s="630"/>
      <c r="AR18" s="626" t="s">
        <v>51</v>
      </c>
      <c r="AS18" s="627"/>
      <c r="AT18" s="628">
        <v>3</v>
      </c>
      <c r="AU18" s="624"/>
      <c r="AV18" s="624"/>
      <c r="AW18" s="280" t="s">
        <v>2062</v>
      </c>
      <c r="AX18" s="624">
        <v>0</v>
      </c>
      <c r="AY18" s="624"/>
      <c r="AZ18" s="625"/>
      <c r="BA18" s="621" t="str">
        <f>予選リーグ!M24</f>
        <v>スマイス　スポーツＡ</v>
      </c>
      <c r="BB18" s="622"/>
      <c r="BC18" s="623"/>
    </row>
    <row r="19" spans="1:55" ht="54.75" customHeight="1" x14ac:dyDescent="0.45">
      <c r="A19" s="631" t="s">
        <v>2065</v>
      </c>
      <c r="B19" s="633">
        <f>予選リーグ!B25</f>
        <v>0.5625</v>
      </c>
      <c r="C19" s="633"/>
      <c r="D19" s="635" t="s">
        <v>4</v>
      </c>
      <c r="E19" s="617"/>
      <c r="F19" s="614" t="str">
        <f>予選リーグ!C25</f>
        <v>ＫＩＮＧＳ</v>
      </c>
      <c r="G19" s="614"/>
      <c r="H19" s="615"/>
      <c r="I19" s="279" t="s">
        <v>2062</v>
      </c>
      <c r="J19" s="613" t="str">
        <f>予選リーグ!E25</f>
        <v>ドリームキッズ</v>
      </c>
      <c r="K19" s="614"/>
      <c r="L19" s="614"/>
      <c r="M19" s="618" t="str">
        <f>予選リーグ!D25</f>
        <v>リノス</v>
      </c>
      <c r="N19" s="619"/>
      <c r="O19" s="629"/>
      <c r="P19" s="616" t="s">
        <v>4</v>
      </c>
      <c r="Q19" s="617"/>
      <c r="R19" s="615" t="str">
        <f>予選リーグ!F25</f>
        <v>金池長浜</v>
      </c>
      <c r="S19" s="636"/>
      <c r="T19" s="636"/>
      <c r="U19" s="279" t="s">
        <v>2062</v>
      </c>
      <c r="V19" s="636" t="str">
        <f>予選リーグ!H25</f>
        <v>太陽大分西</v>
      </c>
      <c r="W19" s="636"/>
      <c r="X19" s="613"/>
      <c r="Y19" s="618" t="str">
        <f>予選リーグ!G25</f>
        <v>明野東</v>
      </c>
      <c r="Z19" s="619"/>
      <c r="AA19" s="620"/>
      <c r="AC19" s="631" t="s">
        <v>2065</v>
      </c>
      <c r="AD19" s="633">
        <f>予選リーグ!B25</f>
        <v>0.5625</v>
      </c>
      <c r="AE19" s="633"/>
      <c r="AF19" s="635" t="s">
        <v>4</v>
      </c>
      <c r="AG19" s="617"/>
      <c r="AH19" s="614" t="str">
        <f>予選リーグ!I25</f>
        <v>明治</v>
      </c>
      <c r="AI19" s="614"/>
      <c r="AJ19" s="615"/>
      <c r="AK19" s="279" t="s">
        <v>2062</v>
      </c>
      <c r="AL19" s="613" t="str">
        <f>予選リーグ!K25</f>
        <v>鶴見少年</v>
      </c>
      <c r="AM19" s="614"/>
      <c r="AN19" s="614"/>
      <c r="AO19" s="618" t="str">
        <f>予選リーグ!J25</f>
        <v>ブルーウイング</v>
      </c>
      <c r="AP19" s="619"/>
      <c r="AQ19" s="629"/>
      <c r="AR19" s="616" t="s">
        <v>4</v>
      </c>
      <c r="AS19" s="617"/>
      <c r="AT19" s="614" t="str">
        <f>予選リーグ!L25</f>
        <v>スマイス　スポーツＡ</v>
      </c>
      <c r="AU19" s="614"/>
      <c r="AV19" s="615"/>
      <c r="AW19" s="279" t="s">
        <v>2062</v>
      </c>
      <c r="AX19" s="613" t="str">
        <f>予選リーグ!N25</f>
        <v>鶴居</v>
      </c>
      <c r="AY19" s="614"/>
      <c r="AZ19" s="614"/>
      <c r="BA19" s="618" t="str">
        <f>予選リーグ!M25</f>
        <v>西の台</v>
      </c>
      <c r="BB19" s="619"/>
      <c r="BC19" s="620"/>
    </row>
    <row r="20" spans="1:55" s="281" customFormat="1" ht="54.75" customHeight="1" thickBot="1" x14ac:dyDescent="0.6">
      <c r="A20" s="632"/>
      <c r="B20" s="634"/>
      <c r="C20" s="634"/>
      <c r="D20" s="653" t="s">
        <v>51</v>
      </c>
      <c r="E20" s="627"/>
      <c r="F20" s="628">
        <v>2</v>
      </c>
      <c r="G20" s="624"/>
      <c r="H20" s="624"/>
      <c r="I20" s="280" t="s">
        <v>2062</v>
      </c>
      <c r="J20" s="624">
        <v>0</v>
      </c>
      <c r="K20" s="624"/>
      <c r="L20" s="625"/>
      <c r="M20" s="621" t="str">
        <f>予選リーグ!D26</f>
        <v>カティオーラＵ－１２</v>
      </c>
      <c r="N20" s="622"/>
      <c r="O20" s="630"/>
      <c r="P20" s="626" t="s">
        <v>51</v>
      </c>
      <c r="Q20" s="627"/>
      <c r="R20" s="628">
        <v>0</v>
      </c>
      <c r="S20" s="624"/>
      <c r="T20" s="624"/>
      <c r="U20" s="280" t="s">
        <v>2062</v>
      </c>
      <c r="V20" s="624">
        <v>0</v>
      </c>
      <c r="W20" s="624"/>
      <c r="X20" s="625"/>
      <c r="Y20" s="621" t="str">
        <f>予選リーグ!G26</f>
        <v>玖珠</v>
      </c>
      <c r="Z20" s="622"/>
      <c r="AA20" s="623"/>
      <c r="AC20" s="632"/>
      <c r="AD20" s="634"/>
      <c r="AE20" s="634"/>
      <c r="AF20" s="653" t="s">
        <v>51</v>
      </c>
      <c r="AG20" s="627"/>
      <c r="AH20" s="628">
        <v>1</v>
      </c>
      <c r="AI20" s="624"/>
      <c r="AJ20" s="624"/>
      <c r="AK20" s="280" t="s">
        <v>2062</v>
      </c>
      <c r="AL20" s="624">
        <v>6</v>
      </c>
      <c r="AM20" s="624"/>
      <c r="AN20" s="625"/>
      <c r="AO20" s="621" t="str">
        <f>予選リーグ!J26</f>
        <v>きつき</v>
      </c>
      <c r="AP20" s="622"/>
      <c r="AQ20" s="630"/>
      <c r="AR20" s="626" t="s">
        <v>51</v>
      </c>
      <c r="AS20" s="627"/>
      <c r="AT20" s="628">
        <v>0</v>
      </c>
      <c r="AU20" s="624"/>
      <c r="AV20" s="624"/>
      <c r="AW20" s="280" t="s">
        <v>2062</v>
      </c>
      <c r="AX20" s="624">
        <v>2</v>
      </c>
      <c r="AY20" s="624"/>
      <c r="AZ20" s="625"/>
      <c r="BA20" s="621" t="str">
        <f>予選リーグ!M26</f>
        <v>竹田直入</v>
      </c>
      <c r="BB20" s="622"/>
      <c r="BC20" s="623"/>
    </row>
    <row r="21" spans="1:55" ht="54.75" customHeight="1" x14ac:dyDescent="0.45">
      <c r="A21" s="631" t="s">
        <v>2066</v>
      </c>
      <c r="B21" s="633">
        <f>予選リーグ!B29</f>
        <v>0.60416666666666663</v>
      </c>
      <c r="C21" s="633"/>
      <c r="D21" s="635" t="s">
        <v>4</v>
      </c>
      <c r="E21" s="617"/>
      <c r="F21" s="614" t="str">
        <f>予選リーグ!C29</f>
        <v>カティオーラＵ－１２</v>
      </c>
      <c r="G21" s="614"/>
      <c r="H21" s="615"/>
      <c r="I21" s="279" t="s">
        <v>2062</v>
      </c>
      <c r="J21" s="613" t="str">
        <f>予選リーグ!E29</f>
        <v>和田</v>
      </c>
      <c r="K21" s="614"/>
      <c r="L21" s="614"/>
      <c r="M21" s="618" t="str">
        <f>予選リーグ!D29</f>
        <v>ＫＩＮＧＳ</v>
      </c>
      <c r="N21" s="619"/>
      <c r="O21" s="629"/>
      <c r="P21" s="616" t="s">
        <v>4</v>
      </c>
      <c r="Q21" s="617"/>
      <c r="R21" s="615" t="str">
        <f>予選リーグ!F29</f>
        <v>玖珠</v>
      </c>
      <c r="S21" s="636"/>
      <c r="T21" s="636"/>
      <c r="U21" s="279" t="s">
        <v>2062</v>
      </c>
      <c r="V21" s="636" t="str">
        <f>予選リーグ!H29</f>
        <v>ミネルバ</v>
      </c>
      <c r="W21" s="636"/>
      <c r="X21" s="613"/>
      <c r="Y21" s="618" t="str">
        <f>予選リーグ!G29</f>
        <v>金池長浜</v>
      </c>
      <c r="Z21" s="619"/>
      <c r="AA21" s="620"/>
      <c r="AC21" s="631" t="s">
        <v>2066</v>
      </c>
      <c r="AD21" s="633">
        <f>予選リーグ!B29</f>
        <v>0.60416666666666663</v>
      </c>
      <c r="AE21" s="633"/>
      <c r="AF21" s="635" t="s">
        <v>4</v>
      </c>
      <c r="AG21" s="617"/>
      <c r="AH21" s="614" t="str">
        <f>予選リーグ!I29</f>
        <v>きつき</v>
      </c>
      <c r="AI21" s="614"/>
      <c r="AJ21" s="615"/>
      <c r="AK21" s="279" t="s">
        <v>2062</v>
      </c>
      <c r="AL21" s="613" t="str">
        <f>予選リーグ!K29</f>
        <v>臼杵</v>
      </c>
      <c r="AM21" s="614"/>
      <c r="AN21" s="614"/>
      <c r="AO21" s="618" t="str">
        <f>予選リーグ!J29</f>
        <v>明治</v>
      </c>
      <c r="AP21" s="619"/>
      <c r="AQ21" s="629"/>
      <c r="AR21" s="616" t="s">
        <v>4</v>
      </c>
      <c r="AS21" s="617"/>
      <c r="AT21" s="614" t="str">
        <f>予選リーグ!L29</f>
        <v>竹田直入</v>
      </c>
      <c r="AU21" s="614"/>
      <c r="AV21" s="615"/>
      <c r="AW21" s="279" t="s">
        <v>2062</v>
      </c>
      <c r="AX21" s="613" t="str">
        <f>予選リーグ!N29</f>
        <v>ティエラ</v>
      </c>
      <c r="AY21" s="614"/>
      <c r="AZ21" s="614"/>
      <c r="BA21" s="618" t="str">
        <f>予選リーグ!M29</f>
        <v>スマイス　スポーツＡ</v>
      </c>
      <c r="BB21" s="619"/>
      <c r="BC21" s="620"/>
    </row>
    <row r="22" spans="1:55" s="281" customFormat="1" ht="54.75" customHeight="1" thickBot="1" x14ac:dyDescent="0.6">
      <c r="A22" s="632"/>
      <c r="B22" s="634"/>
      <c r="C22" s="634"/>
      <c r="D22" s="653" t="s">
        <v>51</v>
      </c>
      <c r="E22" s="627"/>
      <c r="F22" s="628">
        <v>3</v>
      </c>
      <c r="G22" s="624"/>
      <c r="H22" s="624"/>
      <c r="I22" s="280" t="s">
        <v>2062</v>
      </c>
      <c r="J22" s="624">
        <v>0</v>
      </c>
      <c r="K22" s="624"/>
      <c r="L22" s="625"/>
      <c r="M22" s="621" t="str">
        <f>予選リーグ!D30</f>
        <v>ドリームキッズ</v>
      </c>
      <c r="N22" s="622"/>
      <c r="O22" s="630"/>
      <c r="P22" s="626" t="s">
        <v>51</v>
      </c>
      <c r="Q22" s="627"/>
      <c r="R22" s="628">
        <v>1</v>
      </c>
      <c r="S22" s="624"/>
      <c r="T22" s="624"/>
      <c r="U22" s="280" t="s">
        <v>2062</v>
      </c>
      <c r="V22" s="624">
        <v>0</v>
      </c>
      <c r="W22" s="624"/>
      <c r="X22" s="625"/>
      <c r="Y22" s="621" t="str">
        <f>予選リーグ!G30</f>
        <v>太陽大分西</v>
      </c>
      <c r="Z22" s="622"/>
      <c r="AA22" s="623"/>
      <c r="AC22" s="632"/>
      <c r="AD22" s="634"/>
      <c r="AE22" s="634"/>
      <c r="AF22" s="653" t="s">
        <v>51</v>
      </c>
      <c r="AG22" s="627"/>
      <c r="AH22" s="628">
        <v>2</v>
      </c>
      <c r="AI22" s="624"/>
      <c r="AJ22" s="624"/>
      <c r="AK22" s="280" t="s">
        <v>2062</v>
      </c>
      <c r="AL22" s="624">
        <v>1</v>
      </c>
      <c r="AM22" s="624"/>
      <c r="AN22" s="625"/>
      <c r="AO22" s="621" t="str">
        <f>予選リーグ!J30</f>
        <v>鶴見少年</v>
      </c>
      <c r="AP22" s="622"/>
      <c r="AQ22" s="630"/>
      <c r="AR22" s="626" t="s">
        <v>51</v>
      </c>
      <c r="AS22" s="627"/>
      <c r="AT22" s="628">
        <v>0</v>
      </c>
      <c r="AU22" s="624"/>
      <c r="AV22" s="624"/>
      <c r="AW22" s="280" t="s">
        <v>2062</v>
      </c>
      <c r="AX22" s="624">
        <v>2</v>
      </c>
      <c r="AY22" s="624"/>
      <c r="AZ22" s="625"/>
      <c r="BA22" s="621" t="str">
        <f>予選リーグ!M30</f>
        <v>鶴居</v>
      </c>
      <c r="BB22" s="622"/>
      <c r="BC22" s="623"/>
    </row>
    <row r="23" spans="1:55" ht="54.75" customHeight="1" x14ac:dyDescent="0.45">
      <c r="A23" s="631" t="s">
        <v>2067</v>
      </c>
      <c r="B23" s="633">
        <f>予選リーグ!B31</f>
        <v>0.64583333333333337</v>
      </c>
      <c r="C23" s="633"/>
      <c r="D23" s="635" t="s">
        <v>4</v>
      </c>
      <c r="E23" s="617"/>
      <c r="F23" s="614" t="str">
        <f>予選リーグ!C31</f>
        <v>ドリームキッズ</v>
      </c>
      <c r="G23" s="614"/>
      <c r="H23" s="615"/>
      <c r="I23" s="279" t="s">
        <v>2062</v>
      </c>
      <c r="J23" s="613" t="str">
        <f>予選リーグ!E31</f>
        <v>国東</v>
      </c>
      <c r="K23" s="614"/>
      <c r="L23" s="614"/>
      <c r="M23" s="618" t="str">
        <f>予選リーグ!D31</f>
        <v>カティオーラＵ－１２</v>
      </c>
      <c r="N23" s="619"/>
      <c r="O23" s="629"/>
      <c r="P23" s="616" t="s">
        <v>4</v>
      </c>
      <c r="Q23" s="617"/>
      <c r="R23" s="615" t="str">
        <f>予選リーグ!F31</f>
        <v>太陽大分西</v>
      </c>
      <c r="S23" s="636"/>
      <c r="T23" s="636"/>
      <c r="U23" s="279" t="s">
        <v>2062</v>
      </c>
      <c r="V23" s="636" t="str">
        <f>予選リーグ!H31</f>
        <v>ＷＡＹＳ</v>
      </c>
      <c r="W23" s="636"/>
      <c r="X23" s="613"/>
      <c r="Y23" s="618" t="str">
        <f>予選リーグ!G31</f>
        <v>玖珠</v>
      </c>
      <c r="Z23" s="619"/>
      <c r="AA23" s="620"/>
      <c r="AC23" s="631" t="s">
        <v>2067</v>
      </c>
      <c r="AD23" s="633">
        <f>予選リーグ!B31</f>
        <v>0.64583333333333337</v>
      </c>
      <c r="AE23" s="633"/>
      <c r="AF23" s="635" t="s">
        <v>4</v>
      </c>
      <c r="AG23" s="617"/>
      <c r="AH23" s="614" t="str">
        <f>予選リーグ!I31</f>
        <v>鶴見少年</v>
      </c>
      <c r="AI23" s="614"/>
      <c r="AJ23" s="615"/>
      <c r="AK23" s="279" t="s">
        <v>2062</v>
      </c>
      <c r="AL23" s="613" t="str">
        <f>予選リーグ!K31</f>
        <v>スマイス・セレソン</v>
      </c>
      <c r="AM23" s="614"/>
      <c r="AN23" s="614"/>
      <c r="AO23" s="618" t="str">
        <f>予選リーグ!J31</f>
        <v>きつき</v>
      </c>
      <c r="AP23" s="619"/>
      <c r="AQ23" s="629"/>
      <c r="AR23" s="616" t="s">
        <v>4</v>
      </c>
      <c r="AS23" s="617"/>
      <c r="AT23" s="614" t="str">
        <f>予選リーグ!L31</f>
        <v>鶴居</v>
      </c>
      <c r="AU23" s="614"/>
      <c r="AV23" s="615"/>
      <c r="AW23" s="279" t="s">
        <v>2062</v>
      </c>
      <c r="AX23" s="613" t="str">
        <f>予選リーグ!N31</f>
        <v>寒田．敷戸</v>
      </c>
      <c r="AY23" s="614"/>
      <c r="AZ23" s="614"/>
      <c r="BA23" s="618" t="str">
        <f>予選リーグ!M31</f>
        <v>竹田直入</v>
      </c>
      <c r="BB23" s="619"/>
      <c r="BC23" s="620"/>
    </row>
    <row r="24" spans="1:55" ht="54.75" customHeight="1" thickBot="1" x14ac:dyDescent="0.6">
      <c r="A24" s="632"/>
      <c r="B24" s="634"/>
      <c r="C24" s="634"/>
      <c r="D24" s="653" t="s">
        <v>51</v>
      </c>
      <c r="E24" s="627"/>
      <c r="F24" s="628">
        <v>8</v>
      </c>
      <c r="G24" s="624"/>
      <c r="H24" s="624"/>
      <c r="I24" s="280" t="s">
        <v>2062</v>
      </c>
      <c r="J24" s="624">
        <v>0</v>
      </c>
      <c r="K24" s="624"/>
      <c r="L24" s="625"/>
      <c r="M24" s="621" t="str">
        <f>予選リーグ!D32</f>
        <v>和田</v>
      </c>
      <c r="N24" s="622"/>
      <c r="O24" s="630"/>
      <c r="P24" s="626" t="s">
        <v>51</v>
      </c>
      <c r="Q24" s="627"/>
      <c r="R24" s="628">
        <v>0</v>
      </c>
      <c r="S24" s="624"/>
      <c r="T24" s="624"/>
      <c r="U24" s="280" t="s">
        <v>2062</v>
      </c>
      <c r="V24" s="624">
        <v>0</v>
      </c>
      <c r="W24" s="624"/>
      <c r="X24" s="625"/>
      <c r="Y24" s="621" t="str">
        <f>予選リーグ!G32</f>
        <v>ミネルバ</v>
      </c>
      <c r="Z24" s="622"/>
      <c r="AA24" s="623"/>
      <c r="AB24" s="281"/>
      <c r="AC24" s="632"/>
      <c r="AD24" s="634"/>
      <c r="AE24" s="634"/>
      <c r="AF24" s="653" t="s">
        <v>51</v>
      </c>
      <c r="AG24" s="627"/>
      <c r="AH24" s="628">
        <v>1</v>
      </c>
      <c r="AI24" s="624"/>
      <c r="AJ24" s="624"/>
      <c r="AK24" s="280" t="s">
        <v>2062</v>
      </c>
      <c r="AL24" s="624">
        <v>4</v>
      </c>
      <c r="AM24" s="624"/>
      <c r="AN24" s="625"/>
      <c r="AO24" s="621" t="str">
        <f>予選リーグ!J32</f>
        <v>臼杵</v>
      </c>
      <c r="AP24" s="622"/>
      <c r="AQ24" s="630"/>
      <c r="AR24" s="626" t="s">
        <v>51</v>
      </c>
      <c r="AS24" s="627"/>
      <c r="AT24" s="628">
        <v>4</v>
      </c>
      <c r="AU24" s="624"/>
      <c r="AV24" s="624"/>
      <c r="AW24" s="280" t="s">
        <v>2062</v>
      </c>
      <c r="AX24" s="624">
        <v>1</v>
      </c>
      <c r="AY24" s="624"/>
      <c r="AZ24" s="625"/>
      <c r="BA24" s="621" t="str">
        <f>予選リーグ!M32</f>
        <v>ティエラ</v>
      </c>
      <c r="BB24" s="622"/>
      <c r="BC24" s="623"/>
    </row>
    <row r="25" spans="1:55" ht="14.25" customHeight="1" x14ac:dyDescent="0.45"/>
    <row r="29" spans="1:55" ht="27.75" hidden="1" customHeight="1" x14ac:dyDescent="0.45">
      <c r="A29" s="282"/>
      <c r="B29" s="283"/>
      <c r="C29" s="283"/>
      <c r="D29" s="284"/>
      <c r="E29" s="284"/>
      <c r="F29" s="264"/>
      <c r="G29" s="264"/>
      <c r="H29" s="264"/>
      <c r="I29" s="285"/>
      <c r="J29" s="264"/>
      <c r="K29" s="264"/>
      <c r="L29" s="264"/>
      <c r="M29" s="264"/>
      <c r="N29" s="264"/>
      <c r="O29" s="264"/>
      <c r="P29" s="284"/>
      <c r="Q29" s="284"/>
      <c r="R29" s="264"/>
      <c r="S29" s="264"/>
      <c r="T29" s="264"/>
      <c r="U29" s="285"/>
      <c r="V29" s="264"/>
      <c r="W29" s="264"/>
      <c r="X29" s="264"/>
      <c r="Y29" s="264"/>
      <c r="Z29" s="264"/>
      <c r="AA29" s="264"/>
      <c r="AC29" s="282"/>
      <c r="AD29" s="283"/>
      <c r="AE29" s="283"/>
      <c r="AF29" s="284"/>
      <c r="AG29" s="284"/>
      <c r="AH29" s="264"/>
      <c r="AI29" s="264"/>
      <c r="AJ29" s="264"/>
      <c r="AK29" s="285"/>
      <c r="AL29" s="264"/>
      <c r="AM29" s="264"/>
      <c r="AN29" s="264"/>
      <c r="AO29" s="264"/>
      <c r="AP29" s="264"/>
      <c r="AQ29" s="264"/>
      <c r="AR29" s="284"/>
      <c r="AS29" s="284"/>
      <c r="AT29" s="264"/>
      <c r="AU29" s="264"/>
      <c r="AV29" s="264"/>
      <c r="AW29" s="285"/>
      <c r="AX29" s="264"/>
      <c r="AY29" s="264"/>
      <c r="AZ29" s="264"/>
      <c r="BA29" s="264"/>
      <c r="BB29" s="264"/>
      <c r="BC29" s="264"/>
    </row>
    <row r="30" spans="1:55" ht="27.75" hidden="1" customHeight="1" x14ac:dyDescent="0.45">
      <c r="A30" s="282"/>
      <c r="B30" s="283"/>
      <c r="C30" s="283"/>
      <c r="D30" s="286"/>
      <c r="E30" s="286"/>
      <c r="F30" s="286"/>
      <c r="G30" s="286"/>
      <c r="H30" s="286"/>
      <c r="I30" s="287"/>
      <c r="J30" s="286"/>
      <c r="K30" s="286"/>
      <c r="L30" s="286"/>
      <c r="M30" s="264"/>
      <c r="N30" s="264"/>
      <c r="O30" s="264"/>
      <c r="P30" s="286"/>
      <c r="Q30" s="286"/>
      <c r="R30" s="286"/>
      <c r="S30" s="286"/>
      <c r="T30" s="286"/>
      <c r="U30" s="287"/>
      <c r="V30" s="286"/>
      <c r="W30" s="286"/>
      <c r="X30" s="286"/>
      <c r="Y30" s="264"/>
      <c r="Z30" s="264"/>
      <c r="AA30" s="264"/>
      <c r="AC30" s="282"/>
      <c r="AD30" s="283"/>
      <c r="AE30" s="283"/>
      <c r="AF30" s="286"/>
      <c r="AG30" s="286"/>
      <c r="AH30" s="286"/>
      <c r="AI30" s="286"/>
      <c r="AJ30" s="286"/>
      <c r="AK30" s="287"/>
      <c r="AL30" s="286"/>
      <c r="AM30" s="286"/>
      <c r="AN30" s="286"/>
      <c r="AO30" s="264"/>
      <c r="AP30" s="264"/>
      <c r="AQ30" s="264"/>
      <c r="AR30" s="286"/>
      <c r="AS30" s="286"/>
      <c r="AT30" s="286"/>
      <c r="AU30" s="286"/>
      <c r="AV30" s="286"/>
      <c r="AW30" s="287"/>
      <c r="AX30" s="286"/>
      <c r="AY30" s="286"/>
      <c r="AZ30" s="286"/>
      <c r="BA30" s="264"/>
      <c r="BB30" s="264"/>
      <c r="BC30" s="264"/>
    </row>
    <row r="31" spans="1:55" ht="27.75" hidden="1" customHeight="1" x14ac:dyDescent="0.45">
      <c r="A31" s="282"/>
      <c r="B31" s="283"/>
      <c r="C31" s="283"/>
      <c r="D31" s="284"/>
      <c r="E31" s="284"/>
      <c r="F31" s="264"/>
      <c r="G31" s="264"/>
      <c r="H31" s="264"/>
      <c r="I31" s="285"/>
      <c r="J31" s="264"/>
      <c r="K31" s="264"/>
      <c r="L31" s="264"/>
      <c r="M31" s="264"/>
      <c r="N31" s="264"/>
      <c r="O31" s="264"/>
      <c r="P31" s="284"/>
      <c r="Q31" s="284"/>
      <c r="R31" s="264"/>
      <c r="S31" s="264"/>
      <c r="T31" s="264"/>
      <c r="U31" s="285"/>
      <c r="V31" s="264"/>
      <c r="W31" s="264"/>
      <c r="X31" s="264"/>
      <c r="Y31" s="264"/>
      <c r="Z31" s="264"/>
      <c r="AA31" s="264"/>
      <c r="AC31" s="282"/>
      <c r="AD31" s="283"/>
      <c r="AE31" s="283"/>
      <c r="AF31" s="284"/>
      <c r="AG31" s="284"/>
      <c r="AH31" s="264"/>
      <c r="AI31" s="264"/>
      <c r="AJ31" s="264"/>
      <c r="AK31" s="285"/>
      <c r="AL31" s="264"/>
      <c r="AM31" s="264"/>
      <c r="AN31" s="264"/>
      <c r="AO31" s="264"/>
      <c r="AP31" s="264"/>
      <c r="AQ31" s="264"/>
      <c r="AR31" s="284"/>
      <c r="AS31" s="284"/>
      <c r="AT31" s="264"/>
      <c r="AU31" s="264"/>
      <c r="AV31" s="264"/>
      <c r="AW31" s="285"/>
      <c r="AX31" s="264"/>
      <c r="AY31" s="264"/>
      <c r="AZ31" s="264"/>
      <c r="BA31" s="264"/>
      <c r="BB31" s="264"/>
      <c r="BC31" s="264"/>
    </row>
    <row r="32" spans="1:55" ht="27.75" hidden="1" customHeight="1" x14ac:dyDescent="0.45">
      <c r="A32" s="282"/>
      <c r="B32" s="283"/>
      <c r="C32" s="283"/>
      <c r="D32" s="286"/>
      <c r="E32" s="286"/>
      <c r="F32" s="286"/>
      <c r="G32" s="286"/>
      <c r="H32" s="286"/>
      <c r="I32" s="287"/>
      <c r="J32" s="286"/>
      <c r="K32" s="286"/>
      <c r="L32" s="286"/>
      <c r="M32" s="264"/>
      <c r="N32" s="264"/>
      <c r="O32" s="264"/>
      <c r="P32" s="286"/>
      <c r="Q32" s="286"/>
      <c r="R32" s="286"/>
      <c r="S32" s="286"/>
      <c r="T32" s="286"/>
      <c r="U32" s="287"/>
      <c r="V32" s="286"/>
      <c r="W32" s="286"/>
      <c r="X32" s="286"/>
      <c r="Y32" s="264"/>
      <c r="Z32" s="264"/>
      <c r="AA32" s="264"/>
      <c r="AC32" s="282"/>
      <c r="AD32" s="283"/>
      <c r="AE32" s="283"/>
      <c r="AF32" s="286"/>
      <c r="AG32" s="286"/>
      <c r="AH32" s="286"/>
      <c r="AI32" s="286"/>
      <c r="AJ32" s="286"/>
      <c r="AK32" s="287"/>
      <c r="AL32" s="286"/>
      <c r="AM32" s="286"/>
      <c r="AN32" s="286"/>
      <c r="AO32" s="264"/>
      <c r="AP32" s="264"/>
      <c r="AQ32" s="264"/>
      <c r="AR32" s="286"/>
      <c r="AS32" s="286"/>
      <c r="AT32" s="286"/>
      <c r="AU32" s="286"/>
      <c r="AV32" s="286"/>
      <c r="AW32" s="287"/>
      <c r="AX32" s="286"/>
      <c r="AY32" s="286"/>
      <c r="AZ32" s="286"/>
      <c r="BA32" s="264"/>
      <c r="BB32" s="264"/>
      <c r="BC32" s="264"/>
    </row>
    <row r="33" spans="1:56" ht="27.75" hidden="1" customHeight="1" x14ac:dyDescent="0.45">
      <c r="A33" s="282"/>
      <c r="B33" s="283"/>
      <c r="C33" s="283"/>
      <c r="D33" s="284"/>
      <c r="E33" s="284"/>
      <c r="F33" s="264"/>
      <c r="G33" s="264"/>
      <c r="H33" s="264"/>
      <c r="I33" s="285"/>
      <c r="J33" s="264"/>
      <c r="K33" s="264"/>
      <c r="L33" s="264"/>
      <c r="M33" s="264"/>
      <c r="N33" s="264"/>
      <c r="O33" s="264"/>
      <c r="P33" s="284"/>
      <c r="Q33" s="284"/>
      <c r="R33" s="264"/>
      <c r="S33" s="264"/>
      <c r="T33" s="264"/>
      <c r="U33" s="285"/>
      <c r="V33" s="264"/>
      <c r="W33" s="264"/>
      <c r="X33" s="264"/>
      <c r="Y33" s="264"/>
      <c r="Z33" s="264"/>
      <c r="AA33" s="264"/>
      <c r="AC33" s="282"/>
      <c r="AD33" s="283"/>
      <c r="AE33" s="283"/>
      <c r="AF33" s="284"/>
      <c r="AG33" s="284"/>
      <c r="AH33" s="264"/>
      <c r="AI33" s="264"/>
      <c r="AJ33" s="264"/>
      <c r="AK33" s="285"/>
      <c r="AL33" s="264"/>
      <c r="AM33" s="264"/>
      <c r="AN33" s="264"/>
      <c r="AO33" s="264"/>
      <c r="AP33" s="264"/>
      <c r="AQ33" s="264"/>
      <c r="AR33" s="284"/>
      <c r="AS33" s="284"/>
      <c r="AT33" s="264"/>
      <c r="AU33" s="264"/>
      <c r="AV33" s="264"/>
      <c r="AW33" s="285"/>
      <c r="AX33" s="264"/>
      <c r="AY33" s="264"/>
      <c r="AZ33" s="264"/>
      <c r="BA33" s="264"/>
      <c r="BB33" s="264"/>
      <c r="BC33" s="264"/>
    </row>
    <row r="34" spans="1:56" ht="27.75" hidden="1" customHeight="1" x14ac:dyDescent="0.45">
      <c r="A34" s="282"/>
      <c r="B34" s="283"/>
      <c r="C34" s="283"/>
      <c r="D34" s="286"/>
      <c r="E34" s="286"/>
      <c r="F34" s="286"/>
      <c r="G34" s="286"/>
      <c r="H34" s="286"/>
      <c r="I34" s="287"/>
      <c r="J34" s="286"/>
      <c r="K34" s="286"/>
      <c r="L34" s="286"/>
      <c r="M34" s="264"/>
      <c r="N34" s="264"/>
      <c r="O34" s="264"/>
      <c r="P34" s="286"/>
      <c r="Q34" s="286"/>
      <c r="R34" s="286"/>
      <c r="S34" s="286"/>
      <c r="T34" s="286"/>
      <c r="U34" s="287"/>
      <c r="V34" s="286"/>
      <c r="W34" s="286"/>
      <c r="X34" s="286"/>
      <c r="Y34" s="264"/>
      <c r="Z34" s="264"/>
      <c r="AA34" s="264"/>
      <c r="AC34" s="282"/>
      <c r="AD34" s="283"/>
      <c r="AE34" s="283"/>
      <c r="AF34" s="286"/>
      <c r="AG34" s="286"/>
      <c r="AH34" s="286"/>
      <c r="AI34" s="286"/>
      <c r="AJ34" s="286"/>
      <c r="AK34" s="287"/>
      <c r="AL34" s="286"/>
      <c r="AM34" s="286"/>
      <c r="AN34" s="286"/>
      <c r="AO34" s="264"/>
      <c r="AP34" s="264"/>
      <c r="AQ34" s="264"/>
      <c r="AR34" s="286"/>
      <c r="AS34" s="286"/>
      <c r="AT34" s="286"/>
      <c r="AU34" s="286"/>
      <c r="AV34" s="286"/>
      <c r="AW34" s="287"/>
      <c r="AX34" s="286"/>
      <c r="AY34" s="286"/>
      <c r="AZ34" s="286"/>
      <c r="BA34" s="264"/>
      <c r="BB34" s="264"/>
      <c r="BC34" s="264"/>
    </row>
    <row r="35" spans="1:56" ht="27.75" hidden="1" customHeight="1" x14ac:dyDescent="0.45">
      <c r="A35" s="282"/>
      <c r="B35" s="283"/>
      <c r="C35" s="283"/>
      <c r="D35" s="284"/>
      <c r="E35" s="284"/>
      <c r="F35" s="264"/>
      <c r="G35" s="264"/>
      <c r="H35" s="264"/>
      <c r="I35" s="285"/>
      <c r="J35" s="264"/>
      <c r="K35" s="264"/>
      <c r="L35" s="264"/>
      <c r="M35" s="264"/>
      <c r="N35" s="264"/>
      <c r="O35" s="264"/>
      <c r="P35" s="284"/>
      <c r="Q35" s="284"/>
      <c r="R35" s="264"/>
      <c r="S35" s="264"/>
      <c r="T35" s="264"/>
      <c r="U35" s="285"/>
      <c r="V35" s="264"/>
      <c r="W35" s="264"/>
      <c r="X35" s="264"/>
      <c r="Y35" s="264"/>
      <c r="Z35" s="264"/>
      <c r="AA35" s="264"/>
      <c r="AC35" s="282"/>
      <c r="AD35" s="283"/>
      <c r="AE35" s="283"/>
      <c r="AF35" s="284"/>
      <c r="AG35" s="284"/>
      <c r="AH35" s="264"/>
      <c r="AI35" s="264"/>
      <c r="AJ35" s="264"/>
      <c r="AK35" s="285"/>
      <c r="AL35" s="264"/>
      <c r="AM35" s="264"/>
      <c r="AN35" s="264"/>
      <c r="AO35" s="264"/>
      <c r="AP35" s="264"/>
      <c r="AQ35" s="264"/>
      <c r="AR35" s="284"/>
      <c r="AS35" s="284"/>
      <c r="AT35" s="264"/>
      <c r="AU35" s="264"/>
      <c r="AV35" s="264"/>
      <c r="AW35" s="285"/>
      <c r="AX35" s="264"/>
      <c r="AY35" s="264"/>
      <c r="AZ35" s="264"/>
      <c r="BA35" s="264"/>
      <c r="BB35" s="264"/>
      <c r="BC35" s="264"/>
    </row>
    <row r="36" spans="1:56" ht="27.75" hidden="1" customHeight="1" x14ac:dyDescent="0.45">
      <c r="A36" s="282"/>
      <c r="B36" s="283"/>
      <c r="C36" s="283"/>
      <c r="D36" s="286"/>
      <c r="E36" s="286"/>
      <c r="F36" s="286"/>
      <c r="G36" s="286"/>
      <c r="H36" s="286"/>
      <c r="I36" s="287"/>
      <c r="J36" s="286"/>
      <c r="K36" s="286"/>
      <c r="L36" s="286"/>
      <c r="M36" s="264"/>
      <c r="N36" s="264"/>
      <c r="O36" s="264"/>
      <c r="P36" s="286"/>
      <c r="Q36" s="286"/>
      <c r="R36" s="286"/>
      <c r="S36" s="286"/>
      <c r="T36" s="286"/>
      <c r="U36" s="287"/>
      <c r="V36" s="286"/>
      <c r="W36" s="286"/>
      <c r="X36" s="286"/>
      <c r="Y36" s="264"/>
      <c r="Z36" s="264"/>
      <c r="AA36" s="264"/>
      <c r="AC36" s="282"/>
      <c r="AD36" s="283"/>
      <c r="AE36" s="283"/>
      <c r="AF36" s="286"/>
      <c r="AG36" s="286"/>
      <c r="AH36" s="286"/>
      <c r="AI36" s="286"/>
      <c r="AJ36" s="286"/>
      <c r="AK36" s="287"/>
      <c r="AL36" s="286"/>
      <c r="AM36" s="286"/>
      <c r="AN36" s="286"/>
      <c r="AO36" s="264"/>
      <c r="AP36" s="264"/>
      <c r="AQ36" s="264"/>
      <c r="AR36" s="286"/>
      <c r="AS36" s="286"/>
      <c r="AT36" s="286"/>
      <c r="AU36" s="286"/>
      <c r="AV36" s="286"/>
      <c r="AW36" s="287"/>
      <c r="AX36" s="286"/>
      <c r="AY36" s="286"/>
      <c r="AZ36" s="286"/>
      <c r="BA36" s="264"/>
      <c r="BB36" s="264"/>
      <c r="BC36" s="264"/>
    </row>
    <row r="37" spans="1:56" ht="27.75" hidden="1" customHeight="1" x14ac:dyDescent="0.45">
      <c r="A37" s="282"/>
      <c r="B37" s="283"/>
      <c r="C37" s="283"/>
      <c r="D37" s="284"/>
      <c r="E37" s="284"/>
      <c r="F37" s="264"/>
      <c r="G37" s="264"/>
      <c r="H37" s="264"/>
      <c r="I37" s="285"/>
      <c r="J37" s="264"/>
      <c r="K37" s="264"/>
      <c r="L37" s="264"/>
      <c r="M37" s="264"/>
      <c r="N37" s="264"/>
      <c r="O37" s="264"/>
      <c r="P37" s="284"/>
      <c r="Q37" s="284"/>
      <c r="R37" s="264"/>
      <c r="S37" s="264"/>
      <c r="T37" s="264"/>
      <c r="U37" s="285"/>
      <c r="V37" s="264"/>
      <c r="W37" s="264"/>
      <c r="X37" s="264"/>
      <c r="Y37" s="264"/>
      <c r="Z37" s="264"/>
      <c r="AA37" s="264"/>
      <c r="AC37" s="282"/>
      <c r="AD37" s="283"/>
      <c r="AE37" s="283"/>
      <c r="AF37" s="284"/>
      <c r="AG37" s="284"/>
      <c r="AH37" s="264"/>
      <c r="AI37" s="264"/>
      <c r="AJ37" s="264"/>
      <c r="AK37" s="285"/>
      <c r="AL37" s="264"/>
      <c r="AM37" s="264"/>
      <c r="AN37" s="264"/>
      <c r="AO37" s="264"/>
      <c r="AP37" s="264"/>
      <c r="AQ37" s="264"/>
      <c r="AR37" s="284"/>
      <c r="AS37" s="284"/>
      <c r="AT37" s="264"/>
      <c r="AU37" s="264"/>
      <c r="AV37" s="264"/>
      <c r="AW37" s="285"/>
      <c r="AX37" s="264"/>
      <c r="AY37" s="264"/>
      <c r="AZ37" s="264"/>
      <c r="BA37" s="264"/>
      <c r="BB37" s="264"/>
      <c r="BC37" s="264"/>
    </row>
    <row r="38" spans="1:56" ht="27.75" hidden="1" customHeight="1" x14ac:dyDescent="0.45">
      <c r="A38" s="282"/>
      <c r="B38" s="283"/>
      <c r="C38" s="283"/>
      <c r="D38" s="286"/>
      <c r="E38" s="286"/>
      <c r="F38" s="286"/>
      <c r="G38" s="286"/>
      <c r="H38" s="286"/>
      <c r="I38" s="287"/>
      <c r="J38" s="286"/>
      <c r="K38" s="286"/>
      <c r="L38" s="286"/>
      <c r="M38" s="264"/>
      <c r="N38" s="264"/>
      <c r="O38" s="264"/>
      <c r="P38" s="286"/>
      <c r="Q38" s="286"/>
      <c r="R38" s="286"/>
      <c r="S38" s="286"/>
      <c r="T38" s="286"/>
      <c r="U38" s="287"/>
      <c r="V38" s="286"/>
      <c r="W38" s="286"/>
      <c r="X38" s="286"/>
      <c r="Y38" s="264"/>
      <c r="Z38" s="264"/>
      <c r="AA38" s="264"/>
      <c r="AC38" s="282"/>
      <c r="AD38" s="283"/>
      <c r="AE38" s="283"/>
      <c r="AF38" s="286"/>
      <c r="AG38" s="286"/>
      <c r="AH38" s="286"/>
      <c r="AI38" s="286"/>
      <c r="AJ38" s="286"/>
      <c r="AK38" s="287"/>
      <c r="AL38" s="286"/>
      <c r="AM38" s="286"/>
      <c r="AN38" s="286"/>
      <c r="AO38" s="264"/>
      <c r="AP38" s="264"/>
      <c r="AQ38" s="264"/>
      <c r="AR38" s="286"/>
      <c r="AS38" s="286"/>
      <c r="AT38" s="286"/>
      <c r="AU38" s="286"/>
      <c r="AV38" s="286"/>
      <c r="AW38" s="287"/>
      <c r="AX38" s="286"/>
      <c r="AY38" s="286"/>
      <c r="AZ38" s="286"/>
      <c r="BA38" s="264"/>
      <c r="BB38" s="264"/>
      <c r="BC38" s="264"/>
    </row>
    <row r="39" spans="1:56" ht="27.75" hidden="1" customHeight="1" x14ac:dyDescent="0.45">
      <c r="A39" s="282"/>
      <c r="B39" s="283"/>
      <c r="C39" s="283"/>
      <c r="D39" s="284"/>
      <c r="E39" s="284"/>
      <c r="F39" s="264"/>
      <c r="G39" s="264"/>
      <c r="H39" s="264"/>
      <c r="I39" s="285"/>
      <c r="J39" s="264"/>
      <c r="K39" s="264"/>
      <c r="L39" s="264"/>
      <c r="M39" s="264"/>
      <c r="N39" s="264"/>
      <c r="O39" s="264"/>
      <c r="P39" s="284"/>
      <c r="Q39" s="284"/>
      <c r="R39" s="264"/>
      <c r="S39" s="264"/>
      <c r="T39" s="264"/>
      <c r="U39" s="285"/>
      <c r="V39" s="264"/>
      <c r="W39" s="264"/>
      <c r="X39" s="264"/>
      <c r="Y39" s="264"/>
      <c r="Z39" s="264"/>
      <c r="AA39" s="264"/>
      <c r="AC39" s="282"/>
      <c r="AD39" s="283"/>
      <c r="AE39" s="283"/>
      <c r="AF39" s="284"/>
      <c r="AG39" s="284"/>
      <c r="AH39" s="264"/>
      <c r="AI39" s="264"/>
      <c r="AJ39" s="264"/>
      <c r="AK39" s="285"/>
      <c r="AL39" s="264"/>
      <c r="AM39" s="264"/>
      <c r="AN39" s="264"/>
      <c r="AO39" s="264"/>
      <c r="AP39" s="264"/>
      <c r="AQ39" s="264"/>
      <c r="AR39" s="284"/>
      <c r="AS39" s="284"/>
      <c r="AT39" s="264"/>
      <c r="AU39" s="264"/>
      <c r="AV39" s="264"/>
      <c r="AW39" s="285"/>
      <c r="AX39" s="264"/>
      <c r="AY39" s="264"/>
      <c r="AZ39" s="264"/>
      <c r="BA39" s="264"/>
      <c r="BB39" s="264"/>
      <c r="BC39" s="264"/>
    </row>
    <row r="40" spans="1:56" ht="27.75" hidden="1" customHeight="1" x14ac:dyDescent="0.45">
      <c r="A40" s="282"/>
      <c r="B40" s="283"/>
      <c r="C40" s="283"/>
      <c r="D40" s="286"/>
      <c r="E40" s="286"/>
      <c r="F40" s="286"/>
      <c r="G40" s="286"/>
      <c r="H40" s="286"/>
      <c r="I40" s="287"/>
      <c r="J40" s="286"/>
      <c r="K40" s="286"/>
      <c r="L40" s="286"/>
      <c r="M40" s="264"/>
      <c r="N40" s="264"/>
      <c r="O40" s="264"/>
      <c r="P40" s="286"/>
      <c r="Q40" s="286"/>
      <c r="R40" s="286"/>
      <c r="S40" s="286"/>
      <c r="T40" s="286"/>
      <c r="U40" s="287"/>
      <c r="V40" s="286"/>
      <c r="W40" s="286"/>
      <c r="X40" s="286"/>
      <c r="Y40" s="264"/>
      <c r="Z40" s="264"/>
      <c r="AA40" s="264"/>
      <c r="AC40" s="282"/>
      <c r="AD40" s="283"/>
      <c r="AE40" s="283"/>
      <c r="AF40" s="286"/>
      <c r="AG40" s="286"/>
      <c r="AH40" s="286"/>
      <c r="AI40" s="286"/>
      <c r="AJ40" s="286"/>
      <c r="AK40" s="287"/>
      <c r="AL40" s="286"/>
      <c r="AM40" s="286"/>
      <c r="AN40" s="286"/>
      <c r="AO40" s="264"/>
      <c r="AP40" s="264"/>
      <c r="AQ40" s="264"/>
      <c r="AR40" s="286"/>
      <c r="AS40" s="286"/>
      <c r="AT40" s="286"/>
      <c r="AU40" s="286"/>
      <c r="AV40" s="286"/>
      <c r="AW40" s="287"/>
      <c r="AX40" s="286"/>
      <c r="AY40" s="286"/>
      <c r="AZ40" s="286"/>
      <c r="BA40" s="264"/>
      <c r="BB40" s="264"/>
      <c r="BC40" s="264"/>
    </row>
    <row r="42" spans="1:56" x14ac:dyDescent="0.45">
      <c r="N42" s="288"/>
      <c r="O42" s="288"/>
      <c r="P42" s="288"/>
      <c r="Q42" s="288"/>
      <c r="R42" s="288"/>
      <c r="S42" s="288"/>
      <c r="T42" s="288"/>
      <c r="U42" s="288"/>
      <c r="V42" s="288"/>
      <c r="W42" s="288"/>
      <c r="X42" s="288"/>
      <c r="Y42" s="288"/>
      <c r="Z42" s="288"/>
    </row>
    <row r="43" spans="1:56" x14ac:dyDescent="0.45">
      <c r="F43" s="289" t="s">
        <v>41</v>
      </c>
      <c r="G43" s="290" t="s">
        <v>42</v>
      </c>
      <c r="H43" s="291">
        <v>3</v>
      </c>
      <c r="J43" s="292" t="s">
        <v>2008</v>
      </c>
      <c r="K43" s="291">
        <v>1</v>
      </c>
      <c r="M43" s="292" t="s">
        <v>52</v>
      </c>
      <c r="N43" s="291">
        <v>0</v>
      </c>
      <c r="P43" s="272"/>
      <c r="Q43" s="272"/>
      <c r="R43" s="288"/>
      <c r="S43" s="288"/>
      <c r="T43" s="288"/>
      <c r="U43" s="288"/>
      <c r="V43" s="288"/>
      <c r="W43" s="288"/>
      <c r="X43" s="288"/>
      <c r="Y43" s="288"/>
      <c r="Z43" s="288"/>
      <c r="AA43" s="288"/>
      <c r="AB43" s="267"/>
      <c r="AC43" s="267"/>
      <c r="AD43" s="267"/>
      <c r="AE43" s="267"/>
      <c r="AF43" s="267"/>
      <c r="AG43" s="267"/>
      <c r="AH43" s="289" t="s">
        <v>41</v>
      </c>
      <c r="AI43" s="290" t="s">
        <v>42</v>
      </c>
      <c r="AJ43" s="291">
        <v>3</v>
      </c>
      <c r="AK43" s="267"/>
      <c r="AL43" s="292" t="s">
        <v>2008</v>
      </c>
      <c r="AM43" s="291">
        <v>1</v>
      </c>
      <c r="AN43" s="267"/>
      <c r="AO43" s="292" t="s">
        <v>52</v>
      </c>
      <c r="AP43" s="291">
        <v>0</v>
      </c>
      <c r="AQ43" s="267"/>
      <c r="AT43" s="288"/>
      <c r="AU43" s="288"/>
      <c r="AV43" s="288"/>
      <c r="AW43" s="288"/>
      <c r="AX43" s="288"/>
      <c r="AY43" s="288"/>
      <c r="AZ43" s="288"/>
      <c r="BA43" s="288"/>
      <c r="BB43" s="288"/>
      <c r="BC43" s="288"/>
      <c r="BD43" s="267"/>
    </row>
    <row r="44" spans="1:56" ht="17.5" thickBot="1" x14ac:dyDescent="0.6">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7"/>
      <c r="BD44" s="267"/>
    </row>
    <row r="45" spans="1:56" ht="53.25" customHeight="1" thickBot="1" x14ac:dyDescent="0.6">
      <c r="A45" s="663" t="s">
        <v>2068</v>
      </c>
      <c r="B45" s="664"/>
      <c r="C45" s="665"/>
      <c r="D45" s="639" t="str">
        <f>A46</f>
        <v>和田</v>
      </c>
      <c r="E45" s="640"/>
      <c r="F45" s="640"/>
      <c r="G45" s="640" t="str">
        <f>A48</f>
        <v>リノス</v>
      </c>
      <c r="H45" s="640"/>
      <c r="I45" s="640"/>
      <c r="J45" s="640" t="str">
        <f>A50</f>
        <v>カティオーラＵ－１２</v>
      </c>
      <c r="K45" s="640"/>
      <c r="L45" s="640"/>
      <c r="M45" s="293" t="s">
        <v>42</v>
      </c>
      <c r="N45" s="294" t="s">
        <v>2008</v>
      </c>
      <c r="O45" s="295" t="s">
        <v>43</v>
      </c>
      <c r="P45" s="294" t="s">
        <v>2069</v>
      </c>
      <c r="Q45" s="294" t="s">
        <v>2070</v>
      </c>
      <c r="R45" s="294" t="s">
        <v>2071</v>
      </c>
      <c r="S45" s="656" t="s">
        <v>2072</v>
      </c>
      <c r="T45" s="657"/>
      <c r="U45" s="656" t="s">
        <v>2073</v>
      </c>
      <c r="V45" s="657"/>
      <c r="W45" s="656" t="s">
        <v>2074</v>
      </c>
      <c r="X45" s="657"/>
      <c r="Y45" s="668" t="s">
        <v>2075</v>
      </c>
      <c r="Z45" s="669"/>
      <c r="AA45" s="272"/>
      <c r="AB45" s="273"/>
      <c r="AC45" s="663" t="s">
        <v>2076</v>
      </c>
      <c r="AD45" s="664"/>
      <c r="AE45" s="665"/>
      <c r="AF45" s="639" t="str">
        <f>AC46</f>
        <v>臼杵</v>
      </c>
      <c r="AG45" s="640"/>
      <c r="AH45" s="640"/>
      <c r="AI45" s="640" t="str">
        <f>AC48</f>
        <v>ブルーウイング</v>
      </c>
      <c r="AJ45" s="640"/>
      <c r="AK45" s="640"/>
      <c r="AL45" s="640" t="str">
        <f>AC50</f>
        <v>きつき</v>
      </c>
      <c r="AM45" s="640"/>
      <c r="AN45" s="640"/>
      <c r="AO45" s="293" t="s">
        <v>42</v>
      </c>
      <c r="AP45" s="294" t="s">
        <v>2008</v>
      </c>
      <c r="AQ45" s="295" t="s">
        <v>43</v>
      </c>
      <c r="AR45" s="294" t="s">
        <v>2069</v>
      </c>
      <c r="AS45" s="294" t="s">
        <v>2070</v>
      </c>
      <c r="AT45" s="294" t="s">
        <v>2071</v>
      </c>
      <c r="AU45" s="656" t="s">
        <v>2072</v>
      </c>
      <c r="AV45" s="657"/>
      <c r="AW45" s="656" t="s">
        <v>2073</v>
      </c>
      <c r="AX45" s="657"/>
      <c r="AY45" s="656" t="s">
        <v>2074</v>
      </c>
      <c r="AZ45" s="657"/>
      <c r="BA45" s="668" t="s">
        <v>2075</v>
      </c>
      <c r="BB45" s="669"/>
    </row>
    <row r="46" spans="1:56" ht="26.25" customHeight="1" x14ac:dyDescent="0.45">
      <c r="A46" s="677" t="str">
        <f>予選リーグ!D5</f>
        <v>和田</v>
      </c>
      <c r="B46" s="679" t="s">
        <v>44</v>
      </c>
      <c r="C46" s="680"/>
      <c r="D46" s="296"/>
      <c r="E46" s="297"/>
      <c r="F46" s="298"/>
      <c r="G46" s="299"/>
      <c r="H46" s="279" t="str">
        <f>IF(G47="","",IF(G47&gt;I47,"○",IF(G47&lt;I47,"●",IF(G47=I47,"△"))))</f>
        <v>●</v>
      </c>
      <c r="I46" s="300"/>
      <c r="J46" s="279"/>
      <c r="K46" s="279" t="str">
        <f>IF(J47="","",IF(J47&gt;L47,"○",IF(J47&lt;L47,"●",IF(J47=L47,"△"))))</f>
        <v>●</v>
      </c>
      <c r="L46" s="300"/>
      <c r="M46" s="735">
        <f>COUNTIF(D46:L46,"○")</f>
        <v>0</v>
      </c>
      <c r="N46" s="637">
        <f>COUNTIF(D46:L46,"△")</f>
        <v>0</v>
      </c>
      <c r="O46" s="637">
        <f>COUNTIF(D46:L46,"●")</f>
        <v>2</v>
      </c>
      <c r="P46" s="733">
        <f>SUM(D47,G47,J47)</f>
        <v>0</v>
      </c>
      <c r="Q46" s="733">
        <f>SUM(F47,I47,L47)</f>
        <v>6</v>
      </c>
      <c r="R46" s="637">
        <f>(M46*4)+(N46*1)</f>
        <v>0</v>
      </c>
      <c r="S46" s="651">
        <f>RANK(R46,R$46:R$51)</f>
        <v>3</v>
      </c>
      <c r="T46" s="650" t="s">
        <v>53</v>
      </c>
      <c r="U46" s="736">
        <f>P46-Q46</f>
        <v>-6</v>
      </c>
      <c r="V46" s="737"/>
      <c r="W46" s="666">
        <f>RANK(U46,U$46:U$51)</f>
        <v>3</v>
      </c>
      <c r="X46" s="670" t="s">
        <v>53</v>
      </c>
      <c r="Y46" s="671">
        <v>3</v>
      </c>
      <c r="Z46" s="672"/>
      <c r="AA46" s="272"/>
      <c r="AC46" s="677" t="str">
        <f>予選リーグ!J5</f>
        <v>臼杵</v>
      </c>
      <c r="AD46" s="679" t="s">
        <v>44</v>
      </c>
      <c r="AE46" s="680"/>
      <c r="AF46" s="301"/>
      <c r="AG46" s="301"/>
      <c r="AH46" s="302"/>
      <c r="AI46" s="299"/>
      <c r="AJ46" s="279" t="str">
        <f>IF(AI47="","",IF(AI47&gt;AK47,"○",IF(AI47&lt;AK47,"●",IF(AI47=AK47,"△"))))</f>
        <v>●</v>
      </c>
      <c r="AK46" s="300"/>
      <c r="AL46" s="279"/>
      <c r="AM46" s="279" t="str">
        <f>IF(AL47="","",IF(AL47&gt;AN47,"○",IF(AL47&lt;AN47,"●",IF(AL47=AN47,"△"))))</f>
        <v>●</v>
      </c>
      <c r="AN46" s="300"/>
      <c r="AO46" s="734">
        <f>COUNTIF(AF46:AN46,"○")</f>
        <v>0</v>
      </c>
      <c r="AP46" s="647">
        <f>COUNTIF(AF46:AN46,"△")</f>
        <v>0</v>
      </c>
      <c r="AQ46" s="647">
        <f>COUNTIF(AF46:AN46,"●")</f>
        <v>2</v>
      </c>
      <c r="AR46" s="729">
        <f>SUM(AF47,AI47,AL47)</f>
        <v>1</v>
      </c>
      <c r="AS46" s="729">
        <f>SUM(AH47,AK47,AN47)</f>
        <v>7</v>
      </c>
      <c r="AT46" s="637">
        <f>(AO46*4)+(AP46*1)</f>
        <v>0</v>
      </c>
      <c r="AU46" s="723">
        <f>RANK(AT46,AT$46:AT$51)</f>
        <v>3</v>
      </c>
      <c r="AV46" s="722" t="s">
        <v>53</v>
      </c>
      <c r="AW46" s="720">
        <f>AR46-AS46</f>
        <v>-6</v>
      </c>
      <c r="AX46" s="721"/>
      <c r="AY46" s="718">
        <f>RANK(AW46,AW$46:AW$51)</f>
        <v>3</v>
      </c>
      <c r="AZ46" s="719" t="s">
        <v>53</v>
      </c>
      <c r="BA46" s="742">
        <v>3</v>
      </c>
      <c r="BB46" s="743"/>
    </row>
    <row r="47" spans="1:56" ht="26.25" customHeight="1" x14ac:dyDescent="0.45">
      <c r="A47" s="678"/>
      <c r="B47" s="675" t="s">
        <v>45</v>
      </c>
      <c r="C47" s="676"/>
      <c r="D47" s="303"/>
      <c r="E47" s="304"/>
      <c r="F47" s="305"/>
      <c r="G47" s="306">
        <f>F14</f>
        <v>0</v>
      </c>
      <c r="H47" s="307" t="s">
        <v>2077</v>
      </c>
      <c r="I47" s="308">
        <f>J14</f>
        <v>3</v>
      </c>
      <c r="J47" s="309">
        <f>J22</f>
        <v>0</v>
      </c>
      <c r="K47" s="310" t="s">
        <v>2077</v>
      </c>
      <c r="L47" s="308">
        <f>F22</f>
        <v>3</v>
      </c>
      <c r="M47" s="728"/>
      <c r="N47" s="638"/>
      <c r="O47" s="638"/>
      <c r="P47" s="660"/>
      <c r="Q47" s="660"/>
      <c r="R47" s="638"/>
      <c r="S47" s="652"/>
      <c r="T47" s="648"/>
      <c r="U47" s="643"/>
      <c r="V47" s="644"/>
      <c r="W47" s="667"/>
      <c r="X47" s="662"/>
      <c r="Y47" s="673"/>
      <c r="Z47" s="674"/>
      <c r="AA47" s="272"/>
      <c r="AC47" s="678"/>
      <c r="AD47" s="675" t="s">
        <v>45</v>
      </c>
      <c r="AE47" s="676"/>
      <c r="AF47" s="311"/>
      <c r="AG47" s="304"/>
      <c r="AH47" s="305"/>
      <c r="AI47" s="306">
        <f>AH14</f>
        <v>0</v>
      </c>
      <c r="AJ47" s="307" t="s">
        <v>2077</v>
      </c>
      <c r="AK47" s="308">
        <f>AL14</f>
        <v>5</v>
      </c>
      <c r="AL47" s="309">
        <f>AL22</f>
        <v>1</v>
      </c>
      <c r="AM47" s="310" t="s">
        <v>2077</v>
      </c>
      <c r="AN47" s="308">
        <f>AH22</f>
        <v>2</v>
      </c>
      <c r="AO47" s="728"/>
      <c r="AP47" s="638"/>
      <c r="AQ47" s="638"/>
      <c r="AR47" s="660"/>
      <c r="AS47" s="660"/>
      <c r="AT47" s="638"/>
      <c r="AU47" s="652"/>
      <c r="AV47" s="648"/>
      <c r="AW47" s="643"/>
      <c r="AX47" s="644"/>
      <c r="AY47" s="667"/>
      <c r="AZ47" s="662"/>
      <c r="BA47" s="673"/>
      <c r="BB47" s="674"/>
    </row>
    <row r="48" spans="1:56" ht="26.25" customHeight="1" x14ac:dyDescent="0.45">
      <c r="A48" s="724" t="str">
        <f>予選リーグ!C7</f>
        <v>リノス</v>
      </c>
      <c r="B48" s="725" t="s">
        <v>44</v>
      </c>
      <c r="C48" s="726"/>
      <c r="D48" s="312"/>
      <c r="E48" s="313" t="str">
        <f>IF(D49="","",IF(D49&gt;F49,"○",IF(D49&lt;F49,"●",IF(D49=F49,"△"))))</f>
        <v>○</v>
      </c>
      <c r="F48" s="314"/>
      <c r="G48" s="315"/>
      <c r="H48" s="316"/>
      <c r="I48" s="317"/>
      <c r="J48" s="318"/>
      <c r="K48" s="319" t="str">
        <f>IF(J49="","",IF(J49&gt;L49,"○",IF(J49&lt;L49,"●",IF(J49=L49,"△"))))</f>
        <v>○</v>
      </c>
      <c r="L48" s="314"/>
      <c r="M48" s="727">
        <f>COUNTIF(D48:L48,"○")</f>
        <v>2</v>
      </c>
      <c r="N48" s="654">
        <f>COUNTIF(D48:L48,"△")</f>
        <v>0</v>
      </c>
      <c r="O48" s="654">
        <f>COUNTIF(D48:L48,"●")</f>
        <v>0</v>
      </c>
      <c r="P48" s="658">
        <f>SUM(D49,G49,J49)</f>
        <v>4</v>
      </c>
      <c r="Q48" s="658">
        <f>SUM(F49,I49,L49)</f>
        <v>0</v>
      </c>
      <c r="R48" s="647">
        <f>(M48*4)+(N48*1)</f>
        <v>8</v>
      </c>
      <c r="S48" s="652">
        <f>RANK(R48,R$46:R$51)</f>
        <v>1</v>
      </c>
      <c r="T48" s="648" t="s">
        <v>53</v>
      </c>
      <c r="U48" s="641">
        <f>P48-Q48</f>
        <v>4</v>
      </c>
      <c r="V48" s="642"/>
      <c r="W48" s="667">
        <f>RANK(U48,U$46:U$51)</f>
        <v>1</v>
      </c>
      <c r="X48" s="661" t="s">
        <v>53</v>
      </c>
      <c r="Y48" s="739">
        <v>1</v>
      </c>
      <c r="Z48" s="740"/>
      <c r="AA48" s="272"/>
      <c r="AC48" s="724" t="str">
        <f>予選リーグ!I7</f>
        <v>ブルーウイング</v>
      </c>
      <c r="AD48" s="725" t="s">
        <v>44</v>
      </c>
      <c r="AE48" s="726"/>
      <c r="AF48" s="313"/>
      <c r="AG48" s="313" t="str">
        <f>IF(AF49="","",IF(AF49&gt;AH49,"○",IF(AF49&lt;AH49,"●",IF(AF49=AH49,"△"))))</f>
        <v>○</v>
      </c>
      <c r="AH48" s="314"/>
      <c r="AI48" s="315"/>
      <c r="AJ48" s="316"/>
      <c r="AK48" s="317"/>
      <c r="AL48" s="318"/>
      <c r="AM48" s="319" t="str">
        <f>IF(AL49="","",IF(AL49&gt;AN49,"○",IF(AL49&lt;AN49,"●",IF(AL49=AN49,"△"))))</f>
        <v>○</v>
      </c>
      <c r="AN48" s="314"/>
      <c r="AO48" s="727">
        <f>COUNTIF(AF48:AN48,"○")</f>
        <v>2</v>
      </c>
      <c r="AP48" s="654">
        <f>COUNTIF(AF48:AN48,"△")</f>
        <v>0</v>
      </c>
      <c r="AQ48" s="654">
        <f>COUNTIF(AF48:AN48,"●")</f>
        <v>0</v>
      </c>
      <c r="AR48" s="658">
        <f>SUM(AF49,AI49,AL49)</f>
        <v>9</v>
      </c>
      <c r="AS48" s="658">
        <f>SUM(AH49,AK49,AN49)</f>
        <v>1</v>
      </c>
      <c r="AT48" s="647">
        <f>(AO48*4)+(AP48*1)</f>
        <v>8</v>
      </c>
      <c r="AU48" s="652">
        <f>RANK(AT48,AT$46:AT$51)</f>
        <v>1</v>
      </c>
      <c r="AV48" s="648" t="s">
        <v>53</v>
      </c>
      <c r="AW48" s="641">
        <f>AR48-AS48</f>
        <v>8</v>
      </c>
      <c r="AX48" s="642"/>
      <c r="AY48" s="667">
        <f>RANK(AW48,AW$46:AW$51)</f>
        <v>1</v>
      </c>
      <c r="AZ48" s="661" t="s">
        <v>53</v>
      </c>
      <c r="BA48" s="739">
        <v>1</v>
      </c>
      <c r="BB48" s="740"/>
    </row>
    <row r="49" spans="1:54" ht="26.25" customHeight="1" x14ac:dyDescent="0.45">
      <c r="A49" s="678"/>
      <c r="B49" s="675" t="s">
        <v>45</v>
      </c>
      <c r="C49" s="676"/>
      <c r="D49" s="320">
        <f>I47</f>
        <v>3</v>
      </c>
      <c r="E49" s="307" t="s">
        <v>2077</v>
      </c>
      <c r="F49" s="308">
        <f>G47</f>
        <v>0</v>
      </c>
      <c r="G49" s="321"/>
      <c r="H49" s="304"/>
      <c r="I49" s="322"/>
      <c r="J49" s="323">
        <f>F18</f>
        <v>1</v>
      </c>
      <c r="K49" s="307" t="s">
        <v>2077</v>
      </c>
      <c r="L49" s="324">
        <f>J18</f>
        <v>0</v>
      </c>
      <c r="M49" s="728"/>
      <c r="N49" s="638"/>
      <c r="O49" s="638"/>
      <c r="P49" s="660"/>
      <c r="Q49" s="660"/>
      <c r="R49" s="638"/>
      <c r="S49" s="652"/>
      <c r="T49" s="648"/>
      <c r="U49" s="643"/>
      <c r="V49" s="644"/>
      <c r="W49" s="667"/>
      <c r="X49" s="662"/>
      <c r="Y49" s="739"/>
      <c r="Z49" s="740"/>
      <c r="AA49" s="272"/>
      <c r="AC49" s="678"/>
      <c r="AD49" s="675" t="s">
        <v>45</v>
      </c>
      <c r="AE49" s="676"/>
      <c r="AF49" s="309">
        <f>AK47</f>
        <v>5</v>
      </c>
      <c r="AG49" s="307" t="s">
        <v>2077</v>
      </c>
      <c r="AH49" s="308">
        <f>AI47</f>
        <v>0</v>
      </c>
      <c r="AI49" s="321"/>
      <c r="AJ49" s="304"/>
      <c r="AK49" s="322"/>
      <c r="AL49" s="323">
        <f>AH18</f>
        <v>4</v>
      </c>
      <c r="AM49" s="307" t="s">
        <v>2077</v>
      </c>
      <c r="AN49" s="324">
        <f>AL18</f>
        <v>1</v>
      </c>
      <c r="AO49" s="728"/>
      <c r="AP49" s="638"/>
      <c r="AQ49" s="638"/>
      <c r="AR49" s="660"/>
      <c r="AS49" s="660"/>
      <c r="AT49" s="638"/>
      <c r="AU49" s="652"/>
      <c r="AV49" s="648"/>
      <c r="AW49" s="643"/>
      <c r="AX49" s="644"/>
      <c r="AY49" s="667"/>
      <c r="AZ49" s="662"/>
      <c r="BA49" s="739"/>
      <c r="BB49" s="740"/>
    </row>
    <row r="50" spans="1:54" ht="26.25" customHeight="1" x14ac:dyDescent="0.45">
      <c r="A50" s="724" t="str">
        <f>予選リーグ!E7</f>
        <v>カティオーラＵ－１２</v>
      </c>
      <c r="B50" s="725" t="s">
        <v>44</v>
      </c>
      <c r="C50" s="726"/>
      <c r="D50" s="312"/>
      <c r="E50" s="313" t="str">
        <f>IF(D51="","",IF(D51&gt;F51,"○",IF(D51&lt;F51,"●",IF(D51=F51,"△"))))</f>
        <v>○</v>
      </c>
      <c r="F50" s="314"/>
      <c r="G50" s="318"/>
      <c r="H50" s="313" t="str">
        <f>IF(G51="","",IF(G51&gt;I51,"○",IF(G51&lt;I51,"●",IF(G51=I51,"△"))))</f>
        <v>●</v>
      </c>
      <c r="I50" s="314"/>
      <c r="J50" s="315"/>
      <c r="K50" s="316"/>
      <c r="L50" s="317"/>
      <c r="M50" s="727">
        <f>COUNTIF(D50:L50,"○")</f>
        <v>1</v>
      </c>
      <c r="N50" s="654">
        <f>COUNTIF(D50:L50,"△")</f>
        <v>0</v>
      </c>
      <c r="O50" s="654">
        <f>COUNTIF(D50:L50,"●")</f>
        <v>1</v>
      </c>
      <c r="P50" s="658">
        <f>SUM(D51,G51,J51)</f>
        <v>3</v>
      </c>
      <c r="Q50" s="658">
        <f>SUM(F51,I51,L51)</f>
        <v>1</v>
      </c>
      <c r="R50" s="647">
        <f>(M50*4)+(N50*1)</f>
        <v>4</v>
      </c>
      <c r="S50" s="652">
        <f>RANK(R50,R$46:R$51)</f>
        <v>2</v>
      </c>
      <c r="T50" s="648" t="s">
        <v>53</v>
      </c>
      <c r="U50" s="641">
        <f>P50-Q50</f>
        <v>2</v>
      </c>
      <c r="V50" s="642"/>
      <c r="W50" s="667">
        <f>RANK(U50,U$46:U$51)</f>
        <v>2</v>
      </c>
      <c r="X50" s="661" t="s">
        <v>53</v>
      </c>
      <c r="Y50" s="673">
        <v>2</v>
      </c>
      <c r="Z50" s="674"/>
      <c r="AA50" s="272"/>
      <c r="AC50" s="724" t="str">
        <f>予選リーグ!K7</f>
        <v>きつき</v>
      </c>
      <c r="AD50" s="725" t="s">
        <v>44</v>
      </c>
      <c r="AE50" s="726"/>
      <c r="AF50" s="313"/>
      <c r="AG50" s="313" t="str">
        <f>IF(AF51="","",IF(AF51&gt;AH51,"○",IF(AF51&lt;AH51,"●",IF(AF51=AH51,"△"))))</f>
        <v>○</v>
      </c>
      <c r="AH50" s="314"/>
      <c r="AI50" s="318"/>
      <c r="AJ50" s="313" t="str">
        <f>IF(AI51="","",IF(AI51&gt;AK51,"○",IF(AI51&lt;AK51,"●",IF(AI51=AK51,"△"))))</f>
        <v>●</v>
      </c>
      <c r="AK50" s="314"/>
      <c r="AL50" s="315"/>
      <c r="AM50" s="316"/>
      <c r="AN50" s="317"/>
      <c r="AO50" s="727">
        <f>COUNTIF(AF50:AN50,"○")</f>
        <v>1</v>
      </c>
      <c r="AP50" s="654">
        <f>COUNTIF(AF50:AN50,"△")</f>
        <v>0</v>
      </c>
      <c r="AQ50" s="654">
        <f>COUNTIF(AF50:AN50,"●")</f>
        <v>1</v>
      </c>
      <c r="AR50" s="658">
        <f>SUM(AF51,AI51,AL51)</f>
        <v>3</v>
      </c>
      <c r="AS50" s="658">
        <f>SUM(AH51,AK51,AN51)</f>
        <v>5</v>
      </c>
      <c r="AT50" s="647">
        <f>(AO50*4)+(AP50*1)</f>
        <v>4</v>
      </c>
      <c r="AU50" s="652">
        <f>RANK(AT50,AT$46:AT$51)</f>
        <v>2</v>
      </c>
      <c r="AV50" s="648" t="s">
        <v>53</v>
      </c>
      <c r="AW50" s="641">
        <f>AR50-AS50</f>
        <v>-2</v>
      </c>
      <c r="AX50" s="642"/>
      <c r="AY50" s="667">
        <f>RANK(AW50,AW$46:AW$51)</f>
        <v>2</v>
      </c>
      <c r="AZ50" s="661" t="s">
        <v>53</v>
      </c>
      <c r="BA50" s="673">
        <v>2</v>
      </c>
      <c r="BB50" s="674"/>
    </row>
    <row r="51" spans="1:54" ht="26.25" customHeight="1" thickBot="1" x14ac:dyDescent="0.6">
      <c r="A51" s="730"/>
      <c r="B51" s="731" t="s">
        <v>45</v>
      </c>
      <c r="C51" s="732"/>
      <c r="D51" s="325">
        <f>L47</f>
        <v>3</v>
      </c>
      <c r="E51" s="326" t="s">
        <v>2077</v>
      </c>
      <c r="F51" s="327">
        <f>J47</f>
        <v>0</v>
      </c>
      <c r="G51" s="328">
        <f>L49</f>
        <v>0</v>
      </c>
      <c r="H51" s="326" t="s">
        <v>2077</v>
      </c>
      <c r="I51" s="329">
        <f>J49</f>
        <v>1</v>
      </c>
      <c r="J51" s="330"/>
      <c r="K51" s="331"/>
      <c r="L51" s="332"/>
      <c r="M51" s="741"/>
      <c r="N51" s="655"/>
      <c r="O51" s="655"/>
      <c r="P51" s="659"/>
      <c r="Q51" s="659"/>
      <c r="R51" s="655"/>
      <c r="S51" s="738"/>
      <c r="T51" s="649"/>
      <c r="U51" s="645"/>
      <c r="V51" s="646"/>
      <c r="W51" s="687"/>
      <c r="X51" s="686"/>
      <c r="Y51" s="744"/>
      <c r="Z51" s="745"/>
      <c r="AA51" s="272"/>
      <c r="AC51" s="730"/>
      <c r="AD51" s="731" t="s">
        <v>45</v>
      </c>
      <c r="AE51" s="732"/>
      <c r="AF51" s="333">
        <f>AN47</f>
        <v>2</v>
      </c>
      <c r="AG51" s="326" t="s">
        <v>2077</v>
      </c>
      <c r="AH51" s="327">
        <f>AL47</f>
        <v>1</v>
      </c>
      <c r="AI51" s="328">
        <f>AN49</f>
        <v>1</v>
      </c>
      <c r="AJ51" s="326" t="s">
        <v>2077</v>
      </c>
      <c r="AK51" s="329">
        <f>AL49</f>
        <v>4</v>
      </c>
      <c r="AL51" s="330"/>
      <c r="AM51" s="331"/>
      <c r="AN51" s="332"/>
      <c r="AO51" s="741"/>
      <c r="AP51" s="655"/>
      <c r="AQ51" s="655"/>
      <c r="AR51" s="659"/>
      <c r="AS51" s="659"/>
      <c r="AT51" s="655"/>
      <c r="AU51" s="738"/>
      <c r="AV51" s="649"/>
      <c r="AW51" s="645"/>
      <c r="AX51" s="646"/>
      <c r="AY51" s="687"/>
      <c r="AZ51" s="686"/>
      <c r="BA51" s="744"/>
      <c r="BB51" s="745"/>
    </row>
    <row r="52" spans="1:54" ht="15" customHeight="1" thickBot="1" x14ac:dyDescent="0.6">
      <c r="A52" s="285"/>
      <c r="B52" s="285"/>
      <c r="C52" s="285"/>
      <c r="D52" s="285"/>
      <c r="E52" s="285"/>
      <c r="F52" s="285"/>
      <c r="G52" s="285"/>
      <c r="H52" s="285"/>
      <c r="I52" s="285"/>
      <c r="J52" s="285"/>
      <c r="K52" s="285"/>
      <c r="L52" s="285"/>
      <c r="M52" s="285"/>
      <c r="N52" s="285"/>
      <c r="O52" s="285"/>
      <c r="P52" s="285"/>
      <c r="Q52" s="285"/>
      <c r="R52" s="285"/>
      <c r="S52" s="285"/>
      <c r="T52" s="285"/>
      <c r="U52" s="285"/>
      <c r="V52" s="285"/>
      <c r="W52" s="285"/>
      <c r="X52" s="285"/>
      <c r="Y52" s="285"/>
      <c r="Z52" s="334"/>
      <c r="AA52" s="272"/>
      <c r="AC52" s="334"/>
      <c r="AD52" s="334"/>
      <c r="AE52" s="334"/>
      <c r="AF52" s="334"/>
      <c r="AG52" s="334"/>
      <c r="AH52" s="334"/>
      <c r="AI52" s="334"/>
      <c r="AJ52" s="334"/>
      <c r="AK52" s="334"/>
      <c r="AL52" s="334"/>
      <c r="AM52" s="334"/>
      <c r="AN52" s="334"/>
      <c r="AO52" s="334"/>
      <c r="AP52" s="334"/>
      <c r="AQ52" s="334"/>
      <c r="AR52" s="334"/>
      <c r="AS52" s="334"/>
      <c r="AT52" s="334"/>
      <c r="AU52" s="285"/>
      <c r="AV52" s="285"/>
      <c r="AW52" s="285"/>
      <c r="AX52" s="285"/>
      <c r="AY52" s="285"/>
      <c r="AZ52" s="285"/>
      <c r="BA52" s="285"/>
      <c r="BB52" s="334"/>
    </row>
    <row r="53" spans="1:54" ht="54" customHeight="1" thickBot="1" x14ac:dyDescent="0.6">
      <c r="A53" s="663" t="s">
        <v>2078</v>
      </c>
      <c r="B53" s="664"/>
      <c r="C53" s="665"/>
      <c r="D53" s="639" t="str">
        <f>A54</f>
        <v>ミネルバ</v>
      </c>
      <c r="E53" s="640"/>
      <c r="F53" s="640"/>
      <c r="G53" s="640" t="str">
        <f>A56</f>
        <v>明野東</v>
      </c>
      <c r="H53" s="640"/>
      <c r="I53" s="640"/>
      <c r="J53" s="640" t="str">
        <f>A58</f>
        <v>玖珠</v>
      </c>
      <c r="K53" s="640"/>
      <c r="L53" s="640"/>
      <c r="M53" s="293" t="s">
        <v>42</v>
      </c>
      <c r="N53" s="294" t="s">
        <v>2008</v>
      </c>
      <c r="O53" s="295" t="s">
        <v>43</v>
      </c>
      <c r="P53" s="294" t="s">
        <v>2069</v>
      </c>
      <c r="Q53" s="294" t="s">
        <v>2070</v>
      </c>
      <c r="R53" s="294" t="s">
        <v>2071</v>
      </c>
      <c r="S53" s="656" t="s">
        <v>2072</v>
      </c>
      <c r="T53" s="657"/>
      <c r="U53" s="656" t="s">
        <v>2073</v>
      </c>
      <c r="V53" s="657"/>
      <c r="W53" s="656" t="s">
        <v>2074</v>
      </c>
      <c r="X53" s="657"/>
      <c r="Y53" s="668" t="s">
        <v>2075</v>
      </c>
      <c r="Z53" s="669"/>
      <c r="AA53" s="272"/>
      <c r="AC53" s="663" t="s">
        <v>2079</v>
      </c>
      <c r="AD53" s="664"/>
      <c r="AE53" s="665"/>
      <c r="AF53" s="639" t="str">
        <f>AC54</f>
        <v>ティエラ</v>
      </c>
      <c r="AG53" s="640"/>
      <c r="AH53" s="640"/>
      <c r="AI53" s="640" t="str">
        <f>AC56</f>
        <v>西の台</v>
      </c>
      <c r="AJ53" s="640"/>
      <c r="AK53" s="640"/>
      <c r="AL53" s="640" t="str">
        <f>AC58</f>
        <v>竹田直入</v>
      </c>
      <c r="AM53" s="640"/>
      <c r="AN53" s="640"/>
      <c r="AO53" s="293" t="s">
        <v>42</v>
      </c>
      <c r="AP53" s="294" t="s">
        <v>2008</v>
      </c>
      <c r="AQ53" s="295" t="s">
        <v>43</v>
      </c>
      <c r="AR53" s="294" t="s">
        <v>2069</v>
      </c>
      <c r="AS53" s="294" t="s">
        <v>2070</v>
      </c>
      <c r="AT53" s="294" t="s">
        <v>2071</v>
      </c>
      <c r="AU53" s="656" t="s">
        <v>2072</v>
      </c>
      <c r="AV53" s="657"/>
      <c r="AW53" s="656" t="s">
        <v>2073</v>
      </c>
      <c r="AX53" s="657"/>
      <c r="AY53" s="656" t="s">
        <v>2074</v>
      </c>
      <c r="AZ53" s="657"/>
      <c r="BA53" s="668" t="s">
        <v>2075</v>
      </c>
      <c r="BB53" s="669"/>
    </row>
    <row r="54" spans="1:54" ht="26.25" customHeight="1" x14ac:dyDescent="0.45">
      <c r="A54" s="677" t="str">
        <f>予選リーグ!G5</f>
        <v>ミネルバ</v>
      </c>
      <c r="B54" s="679" t="s">
        <v>44</v>
      </c>
      <c r="C54" s="680"/>
      <c r="D54" s="301"/>
      <c r="E54" s="301"/>
      <c r="F54" s="302"/>
      <c r="G54" s="299"/>
      <c r="H54" s="279" t="str">
        <f>IF(G55="","",IF(G55&gt;I55,"○",IF(G55&lt;I55,"●",IF(G55=I55,"△"))))</f>
        <v>○</v>
      </c>
      <c r="I54" s="300"/>
      <c r="J54" s="279"/>
      <c r="K54" s="279" t="str">
        <f>IF(J55="","",IF(J55&gt;L55,"○",IF(J55&lt;L55,"●",IF(J55=L55,"△"))))</f>
        <v>●</v>
      </c>
      <c r="L54" s="300"/>
      <c r="M54" s="734">
        <f>COUNTIF(D54:L54,"○")</f>
        <v>1</v>
      </c>
      <c r="N54" s="647">
        <f>COUNTIF(D54:L54,"△")</f>
        <v>0</v>
      </c>
      <c r="O54" s="647">
        <f>COUNTIF(D54:L54,"●")</f>
        <v>1</v>
      </c>
      <c r="P54" s="729">
        <f>SUM(D55,G55,J55)</f>
        <v>5</v>
      </c>
      <c r="Q54" s="729">
        <f>SUM(F55,I55,L55)</f>
        <v>1</v>
      </c>
      <c r="R54" s="637">
        <f>(M54*4)+(N54*1)</f>
        <v>4</v>
      </c>
      <c r="S54" s="723">
        <f>RANK(R54,$R$54:$R$59)</f>
        <v>2</v>
      </c>
      <c r="T54" s="722" t="s">
        <v>53</v>
      </c>
      <c r="U54" s="720">
        <f>P54-Q54</f>
        <v>4</v>
      </c>
      <c r="V54" s="721"/>
      <c r="W54" s="718">
        <f>RANK(U54,$U$54:$V$59)</f>
        <v>1</v>
      </c>
      <c r="X54" s="719" t="s">
        <v>53</v>
      </c>
      <c r="Y54" s="742">
        <v>2</v>
      </c>
      <c r="Z54" s="743"/>
      <c r="AA54" s="272"/>
      <c r="AC54" s="677" t="str">
        <f>予選リーグ!M5</f>
        <v>ティエラ</v>
      </c>
      <c r="AD54" s="679" t="s">
        <v>44</v>
      </c>
      <c r="AE54" s="680"/>
      <c r="AF54" s="301"/>
      <c r="AG54" s="301"/>
      <c r="AH54" s="302"/>
      <c r="AI54" s="299"/>
      <c r="AJ54" s="279" t="str">
        <f>IF(AI55="","",IF(AI55&gt;AK55,"○",IF(AI55&lt;AK55,"●",IF(AI55=AK55,"△"))))</f>
        <v>△</v>
      </c>
      <c r="AK54" s="300"/>
      <c r="AL54" s="279"/>
      <c r="AM54" s="279" t="str">
        <f>IF(AL55="","",IF(AL55&gt;AN55,"○",IF(AL55&lt;AN55,"●",IF(AL55=AN55,"△"))))</f>
        <v>○</v>
      </c>
      <c r="AN54" s="300"/>
      <c r="AO54" s="734">
        <f>COUNTIF(AF54:AN54,"○")</f>
        <v>1</v>
      </c>
      <c r="AP54" s="647">
        <f>COUNTIF(AF54:AN54,"△")</f>
        <v>1</v>
      </c>
      <c r="AQ54" s="647">
        <f>COUNTIF(AF54:AN54,"●")</f>
        <v>0</v>
      </c>
      <c r="AR54" s="729">
        <f>SUM(AF55,AI55,AL55)</f>
        <v>3</v>
      </c>
      <c r="AS54" s="729">
        <f>SUM(AH55,AK55,AN55)</f>
        <v>1</v>
      </c>
      <c r="AT54" s="637">
        <f>(AO54*4)+(AP54*1)</f>
        <v>5</v>
      </c>
      <c r="AU54" s="723">
        <f>RANK(AT54,$AT$54:$AT$59)</f>
        <v>1</v>
      </c>
      <c r="AV54" s="722" t="s">
        <v>53</v>
      </c>
      <c r="AW54" s="720">
        <f>AR54-AS54</f>
        <v>2</v>
      </c>
      <c r="AX54" s="721"/>
      <c r="AY54" s="718">
        <f>RANK(AW54,$AW$54:$AW$59)</f>
        <v>2</v>
      </c>
      <c r="AZ54" s="719" t="s">
        <v>53</v>
      </c>
      <c r="BA54" s="748">
        <v>1</v>
      </c>
      <c r="BB54" s="749"/>
    </row>
    <row r="55" spans="1:54" ht="26.25" customHeight="1" x14ac:dyDescent="0.45">
      <c r="A55" s="678"/>
      <c r="B55" s="675" t="s">
        <v>45</v>
      </c>
      <c r="C55" s="676"/>
      <c r="D55" s="311"/>
      <c r="E55" s="304"/>
      <c r="F55" s="305"/>
      <c r="G55" s="306">
        <f>R14</f>
        <v>5</v>
      </c>
      <c r="H55" s="307" t="s">
        <v>2077</v>
      </c>
      <c r="I55" s="308">
        <f>V14</f>
        <v>0</v>
      </c>
      <c r="J55" s="309">
        <f>V22</f>
        <v>0</v>
      </c>
      <c r="K55" s="310" t="s">
        <v>2077</v>
      </c>
      <c r="L55" s="308">
        <f>R22</f>
        <v>1</v>
      </c>
      <c r="M55" s="728"/>
      <c r="N55" s="638"/>
      <c r="O55" s="638"/>
      <c r="P55" s="660"/>
      <c r="Q55" s="660"/>
      <c r="R55" s="638"/>
      <c r="S55" s="652"/>
      <c r="T55" s="648"/>
      <c r="U55" s="643"/>
      <c r="V55" s="644"/>
      <c r="W55" s="667"/>
      <c r="X55" s="662"/>
      <c r="Y55" s="673"/>
      <c r="Z55" s="674"/>
      <c r="AA55" s="272"/>
      <c r="AC55" s="678"/>
      <c r="AD55" s="675" t="s">
        <v>45</v>
      </c>
      <c r="AE55" s="676"/>
      <c r="AF55" s="311"/>
      <c r="AG55" s="304"/>
      <c r="AH55" s="305"/>
      <c r="AI55" s="306">
        <f>AT14</f>
        <v>1</v>
      </c>
      <c r="AJ55" s="307" t="s">
        <v>2077</v>
      </c>
      <c r="AK55" s="308">
        <f>AX14</f>
        <v>1</v>
      </c>
      <c r="AL55" s="309">
        <f>AX22</f>
        <v>2</v>
      </c>
      <c r="AM55" s="310" t="s">
        <v>2077</v>
      </c>
      <c r="AN55" s="308">
        <f>AT22</f>
        <v>0</v>
      </c>
      <c r="AO55" s="728"/>
      <c r="AP55" s="638"/>
      <c r="AQ55" s="638"/>
      <c r="AR55" s="660"/>
      <c r="AS55" s="660"/>
      <c r="AT55" s="638"/>
      <c r="AU55" s="652"/>
      <c r="AV55" s="648"/>
      <c r="AW55" s="643"/>
      <c r="AX55" s="644"/>
      <c r="AY55" s="667"/>
      <c r="AZ55" s="662"/>
      <c r="BA55" s="739"/>
      <c r="BB55" s="740"/>
    </row>
    <row r="56" spans="1:54" ht="26.25" customHeight="1" x14ac:dyDescent="0.45">
      <c r="A56" s="724" t="str">
        <f>予選リーグ!F7</f>
        <v>明野東</v>
      </c>
      <c r="B56" s="725" t="s">
        <v>44</v>
      </c>
      <c r="C56" s="726"/>
      <c r="D56" s="313"/>
      <c r="E56" s="313" t="str">
        <f>IF(D57="","",IF(D57&gt;F57,"○",IF(D57&lt;F57,"●",IF(D57=F57,"△"))))</f>
        <v>●</v>
      </c>
      <c r="F56" s="314"/>
      <c r="G56" s="315"/>
      <c r="H56" s="316"/>
      <c r="I56" s="317"/>
      <c r="J56" s="318"/>
      <c r="K56" s="319" t="str">
        <f>IF(J57="","",IF(J57&gt;L57,"○",IF(J57&lt;L57,"●",IF(J57=L57,"△"))))</f>
        <v>●</v>
      </c>
      <c r="L56" s="314"/>
      <c r="M56" s="727">
        <f>COUNTIF(D56:L56,"○")</f>
        <v>0</v>
      </c>
      <c r="N56" s="654">
        <f>COUNTIF(D56:L56,"△")</f>
        <v>0</v>
      </c>
      <c r="O56" s="654">
        <f>COUNTIF(D56:L56,"●")</f>
        <v>2</v>
      </c>
      <c r="P56" s="658">
        <f>SUM(D57,G57,J57)</f>
        <v>0</v>
      </c>
      <c r="Q56" s="658">
        <f>SUM(F57,I57,L57)</f>
        <v>8</v>
      </c>
      <c r="R56" s="647">
        <f>(M56*4)+(N56*1)</f>
        <v>0</v>
      </c>
      <c r="S56" s="652">
        <f>RANK(R56,$R$54:$R$59)</f>
        <v>3</v>
      </c>
      <c r="T56" s="648" t="s">
        <v>53</v>
      </c>
      <c r="U56" s="641">
        <f>P56-Q56</f>
        <v>-8</v>
      </c>
      <c r="V56" s="642"/>
      <c r="W56" s="667">
        <f>RANK(U56,$U$54:$V$59)</f>
        <v>3</v>
      </c>
      <c r="X56" s="661" t="s">
        <v>53</v>
      </c>
      <c r="Y56" s="673">
        <v>3</v>
      </c>
      <c r="Z56" s="674"/>
      <c r="AA56" s="272"/>
      <c r="AC56" s="724" t="str">
        <f>予選リーグ!L7</f>
        <v>西の台</v>
      </c>
      <c r="AD56" s="725" t="s">
        <v>44</v>
      </c>
      <c r="AE56" s="726"/>
      <c r="AF56" s="313"/>
      <c r="AG56" s="313" t="str">
        <f>IF(AF57="","",IF(AF57&gt;AH57,"○",IF(AF57&lt;AH57,"●",IF(AF57=AH57,"△"))))</f>
        <v>△</v>
      </c>
      <c r="AH56" s="314"/>
      <c r="AI56" s="315"/>
      <c r="AJ56" s="316"/>
      <c r="AK56" s="317"/>
      <c r="AL56" s="318"/>
      <c r="AM56" s="319" t="str">
        <f>IF(AL57="","",IF(AL57&gt;AN57,"○",IF(AL57&lt;AN57,"●",IF(AL57=AN57,"△"))))</f>
        <v>○</v>
      </c>
      <c r="AN56" s="314"/>
      <c r="AO56" s="727">
        <f>COUNTIF(AF56:AN56,"○")</f>
        <v>1</v>
      </c>
      <c r="AP56" s="654">
        <f>COUNTIF(AF56:AN56,"△")</f>
        <v>1</v>
      </c>
      <c r="AQ56" s="654">
        <f>COUNTIF(AF56:AN56,"●")</f>
        <v>0</v>
      </c>
      <c r="AR56" s="658">
        <f>SUM(AF57,AI57,AL57)</f>
        <v>4</v>
      </c>
      <c r="AS56" s="658">
        <f>SUM(AH57,AK57,AN57)</f>
        <v>1</v>
      </c>
      <c r="AT56" s="647">
        <f>(AO56*4)+(AP56*1)</f>
        <v>5</v>
      </c>
      <c r="AU56" s="652">
        <f>RANK(AT56,$AT$54:$AT$59)</f>
        <v>1</v>
      </c>
      <c r="AV56" s="648" t="s">
        <v>53</v>
      </c>
      <c r="AW56" s="641">
        <f>AR56-AS56</f>
        <v>3</v>
      </c>
      <c r="AX56" s="642"/>
      <c r="AY56" s="667">
        <f>RANK(AW56,$AW$54:$AW$59)</f>
        <v>1</v>
      </c>
      <c r="AZ56" s="661" t="s">
        <v>53</v>
      </c>
      <c r="BA56" s="673">
        <v>2</v>
      </c>
      <c r="BB56" s="674"/>
    </row>
    <row r="57" spans="1:54" ht="26.25" customHeight="1" x14ac:dyDescent="0.45">
      <c r="A57" s="678"/>
      <c r="B57" s="675" t="s">
        <v>45</v>
      </c>
      <c r="C57" s="676"/>
      <c r="D57" s="309">
        <f>I55</f>
        <v>0</v>
      </c>
      <c r="E57" s="307" t="s">
        <v>2077</v>
      </c>
      <c r="F57" s="308">
        <f>G55</f>
        <v>5</v>
      </c>
      <c r="G57" s="321"/>
      <c r="H57" s="304"/>
      <c r="I57" s="322"/>
      <c r="J57" s="323">
        <f>R18</f>
        <v>0</v>
      </c>
      <c r="K57" s="307" t="s">
        <v>2077</v>
      </c>
      <c r="L57" s="324">
        <f>V18</f>
        <v>3</v>
      </c>
      <c r="M57" s="728"/>
      <c r="N57" s="638"/>
      <c r="O57" s="638"/>
      <c r="P57" s="660"/>
      <c r="Q57" s="660"/>
      <c r="R57" s="638"/>
      <c r="S57" s="652"/>
      <c r="T57" s="648"/>
      <c r="U57" s="643"/>
      <c r="V57" s="644"/>
      <c r="W57" s="667"/>
      <c r="X57" s="662"/>
      <c r="Y57" s="673"/>
      <c r="Z57" s="674"/>
      <c r="AA57" s="272"/>
      <c r="AC57" s="678"/>
      <c r="AD57" s="675" t="s">
        <v>45</v>
      </c>
      <c r="AE57" s="676"/>
      <c r="AF57" s="309">
        <f>AK55</f>
        <v>1</v>
      </c>
      <c r="AG57" s="307" t="s">
        <v>2077</v>
      </c>
      <c r="AH57" s="308">
        <f>AI55</f>
        <v>1</v>
      </c>
      <c r="AI57" s="321"/>
      <c r="AJ57" s="304"/>
      <c r="AK57" s="322"/>
      <c r="AL57" s="323">
        <f>AT18</f>
        <v>3</v>
      </c>
      <c r="AM57" s="307" t="s">
        <v>2077</v>
      </c>
      <c r="AN57" s="324">
        <f>AX18</f>
        <v>0</v>
      </c>
      <c r="AO57" s="728"/>
      <c r="AP57" s="638"/>
      <c r="AQ57" s="638"/>
      <c r="AR57" s="660"/>
      <c r="AS57" s="660"/>
      <c r="AT57" s="638"/>
      <c r="AU57" s="652"/>
      <c r="AV57" s="648"/>
      <c r="AW57" s="643"/>
      <c r="AX57" s="644"/>
      <c r="AY57" s="667"/>
      <c r="AZ57" s="662"/>
      <c r="BA57" s="673"/>
      <c r="BB57" s="674"/>
    </row>
    <row r="58" spans="1:54" ht="26.25" customHeight="1" x14ac:dyDescent="0.45">
      <c r="A58" s="724" t="str">
        <f>予選リーグ!H7</f>
        <v>玖珠</v>
      </c>
      <c r="B58" s="725" t="s">
        <v>44</v>
      </c>
      <c r="C58" s="726"/>
      <c r="D58" s="313"/>
      <c r="E58" s="313" t="str">
        <f>IF(D59="","",IF(D59&gt;F59,"○",IF(D59&lt;F59,"●",IF(D59=F59,"△"))))</f>
        <v>○</v>
      </c>
      <c r="F58" s="314"/>
      <c r="G58" s="318"/>
      <c r="H58" s="313" t="str">
        <f>IF(G59="","",IF(G59&gt;I59,"○",IF(G59&lt;I59,"●",IF(G59=I59,"△"))))</f>
        <v>○</v>
      </c>
      <c r="I58" s="314"/>
      <c r="J58" s="315"/>
      <c r="K58" s="316"/>
      <c r="L58" s="317"/>
      <c r="M58" s="727">
        <f>COUNTIF(D58:L58,"○")</f>
        <v>2</v>
      </c>
      <c r="N58" s="654">
        <f>COUNTIF(D58:L58,"△")</f>
        <v>0</v>
      </c>
      <c r="O58" s="654">
        <f>COUNTIF(D58:L58,"●")</f>
        <v>0</v>
      </c>
      <c r="P58" s="658">
        <f>SUM(D59,G59,J59)</f>
        <v>4</v>
      </c>
      <c r="Q58" s="658">
        <f>SUM(F59,I59,L59)</f>
        <v>0</v>
      </c>
      <c r="R58" s="647">
        <f>(M58*4)+(N58*1)</f>
        <v>8</v>
      </c>
      <c r="S58" s="652">
        <f>RANK(R58,$R$54:$R$59)</f>
        <v>1</v>
      </c>
      <c r="T58" s="648" t="s">
        <v>53</v>
      </c>
      <c r="U58" s="641">
        <f>P58-Q58</f>
        <v>4</v>
      </c>
      <c r="V58" s="642"/>
      <c r="W58" s="667">
        <f>RANK(U58,$U$54:$V$59)</f>
        <v>1</v>
      </c>
      <c r="X58" s="661" t="s">
        <v>53</v>
      </c>
      <c r="Y58" s="739">
        <v>1</v>
      </c>
      <c r="Z58" s="740"/>
      <c r="AA58" s="272"/>
      <c r="AC58" s="724" t="str">
        <f>予選リーグ!N7</f>
        <v>竹田直入</v>
      </c>
      <c r="AD58" s="725" t="s">
        <v>44</v>
      </c>
      <c r="AE58" s="726"/>
      <c r="AF58" s="313"/>
      <c r="AG58" s="313" t="str">
        <f>IF(AF59="","",IF(AF59&gt;AH59,"○",IF(AF59&lt;AH59,"●",IF(AF59=AH59,"△"))))</f>
        <v>●</v>
      </c>
      <c r="AH58" s="314"/>
      <c r="AI58" s="318"/>
      <c r="AJ58" s="313" t="str">
        <f>IF(AI59="","",IF(AI59&gt;AK59,"○",IF(AI59&lt;AK59,"●",IF(AI59=AK59,"△"))))</f>
        <v>●</v>
      </c>
      <c r="AK58" s="314"/>
      <c r="AL58" s="315"/>
      <c r="AM58" s="316"/>
      <c r="AN58" s="317"/>
      <c r="AO58" s="727">
        <f>COUNTIF(AF58:AN58,"○")</f>
        <v>0</v>
      </c>
      <c r="AP58" s="654">
        <f>COUNTIF(AF58:AN58,"△")</f>
        <v>0</v>
      </c>
      <c r="AQ58" s="654">
        <f>COUNTIF(AF58:AN58,"●")</f>
        <v>2</v>
      </c>
      <c r="AR58" s="658">
        <f>SUM(AF59,AI59,AL59)</f>
        <v>0</v>
      </c>
      <c r="AS58" s="658">
        <f>SUM(AH59,AK59,AN59)</f>
        <v>5</v>
      </c>
      <c r="AT58" s="647">
        <f>(AO58*4)+(AP58*1)</f>
        <v>0</v>
      </c>
      <c r="AU58" s="652">
        <f>RANK(AT58,$AT$54:$AT$59)</f>
        <v>3</v>
      </c>
      <c r="AV58" s="648" t="s">
        <v>53</v>
      </c>
      <c r="AW58" s="641">
        <f>AR58-AS58</f>
        <v>-5</v>
      </c>
      <c r="AX58" s="642"/>
      <c r="AY58" s="667">
        <f>RANK(AW58,$AW$54:$AW$59)</f>
        <v>3</v>
      </c>
      <c r="AZ58" s="661" t="s">
        <v>53</v>
      </c>
      <c r="BA58" s="673">
        <v>3</v>
      </c>
      <c r="BB58" s="674"/>
    </row>
    <row r="59" spans="1:54" ht="26.25" customHeight="1" thickBot="1" x14ac:dyDescent="0.6">
      <c r="A59" s="730"/>
      <c r="B59" s="731" t="s">
        <v>45</v>
      </c>
      <c r="C59" s="732"/>
      <c r="D59" s="333">
        <f>L55</f>
        <v>1</v>
      </c>
      <c r="E59" s="326" t="s">
        <v>2077</v>
      </c>
      <c r="F59" s="327">
        <f>J55</f>
        <v>0</v>
      </c>
      <c r="G59" s="328">
        <f>L57</f>
        <v>3</v>
      </c>
      <c r="H59" s="326" t="s">
        <v>2077</v>
      </c>
      <c r="I59" s="329">
        <f>J57</f>
        <v>0</v>
      </c>
      <c r="J59" s="330"/>
      <c r="K59" s="331"/>
      <c r="L59" s="332"/>
      <c r="M59" s="741"/>
      <c r="N59" s="655"/>
      <c r="O59" s="655"/>
      <c r="P59" s="659"/>
      <c r="Q59" s="659"/>
      <c r="R59" s="655"/>
      <c r="S59" s="738"/>
      <c r="T59" s="649"/>
      <c r="U59" s="645"/>
      <c r="V59" s="646"/>
      <c r="W59" s="687"/>
      <c r="X59" s="686"/>
      <c r="Y59" s="746"/>
      <c r="Z59" s="747"/>
      <c r="AA59" s="272"/>
      <c r="AC59" s="730"/>
      <c r="AD59" s="731" t="s">
        <v>45</v>
      </c>
      <c r="AE59" s="732"/>
      <c r="AF59" s="333">
        <f>AN55</f>
        <v>0</v>
      </c>
      <c r="AG59" s="326" t="s">
        <v>2077</v>
      </c>
      <c r="AH59" s="327">
        <f>AL55</f>
        <v>2</v>
      </c>
      <c r="AI59" s="328">
        <f>AN57</f>
        <v>0</v>
      </c>
      <c r="AJ59" s="326" t="s">
        <v>2077</v>
      </c>
      <c r="AK59" s="329">
        <f>AL57</f>
        <v>3</v>
      </c>
      <c r="AL59" s="330"/>
      <c r="AM59" s="331"/>
      <c r="AN59" s="332"/>
      <c r="AO59" s="741"/>
      <c r="AP59" s="655"/>
      <c r="AQ59" s="655"/>
      <c r="AR59" s="659"/>
      <c r="AS59" s="659"/>
      <c r="AT59" s="655"/>
      <c r="AU59" s="738"/>
      <c r="AV59" s="649"/>
      <c r="AW59" s="645"/>
      <c r="AX59" s="646"/>
      <c r="AY59" s="687"/>
      <c r="AZ59" s="686"/>
      <c r="BA59" s="744"/>
      <c r="BB59" s="745"/>
    </row>
    <row r="60" spans="1:54" ht="17.5" thickBot="1" x14ac:dyDescent="0.6">
      <c r="A60" s="285"/>
      <c r="B60" s="285"/>
      <c r="C60" s="285"/>
      <c r="D60" s="285"/>
      <c r="E60" s="285"/>
      <c r="F60" s="285"/>
      <c r="G60" s="285"/>
      <c r="H60" s="285"/>
      <c r="I60" s="285"/>
      <c r="J60" s="285"/>
      <c r="K60" s="285"/>
      <c r="L60" s="285"/>
      <c r="M60" s="285"/>
      <c r="N60" s="285"/>
      <c r="O60" s="285"/>
      <c r="P60" s="285"/>
      <c r="Q60" s="285"/>
      <c r="R60" s="285"/>
      <c r="S60" s="285"/>
      <c r="T60" s="285"/>
      <c r="U60" s="285"/>
      <c r="V60" s="285"/>
      <c r="W60" s="285"/>
      <c r="X60" s="285"/>
      <c r="Y60" s="334"/>
      <c r="Z60" s="334"/>
      <c r="AA60" s="272"/>
      <c r="AC60" s="335"/>
      <c r="AD60" s="335"/>
      <c r="AE60" s="335"/>
      <c r="AF60" s="335"/>
      <c r="AG60" s="335"/>
      <c r="AH60" s="335"/>
      <c r="AI60" s="335"/>
      <c r="AJ60" s="335"/>
      <c r="AK60" s="335"/>
      <c r="AL60" s="335"/>
      <c r="AM60" s="335"/>
      <c r="AN60" s="335"/>
      <c r="AO60" s="334"/>
      <c r="AP60" s="334"/>
      <c r="AQ60" s="334"/>
      <c r="AR60" s="334"/>
      <c r="AS60" s="334"/>
      <c r="AT60" s="334"/>
      <c r="AU60" s="285"/>
      <c r="AV60" s="285"/>
      <c r="AW60" s="285"/>
      <c r="AX60" s="285"/>
      <c r="AY60" s="285"/>
      <c r="AZ60" s="285"/>
      <c r="BA60" s="334"/>
      <c r="BB60" s="460" t="s">
        <v>11876</v>
      </c>
    </row>
    <row r="61" spans="1:54" ht="54" customHeight="1" thickBot="1" x14ac:dyDescent="0.6">
      <c r="A61" s="663" t="s">
        <v>2080</v>
      </c>
      <c r="B61" s="664"/>
      <c r="C61" s="665"/>
      <c r="D61" s="639" t="str">
        <f>A62</f>
        <v>国東</v>
      </c>
      <c r="E61" s="640"/>
      <c r="F61" s="640"/>
      <c r="G61" s="640" t="str">
        <f>A64</f>
        <v>ＫＩＮＧＳ</v>
      </c>
      <c r="H61" s="640"/>
      <c r="I61" s="640"/>
      <c r="J61" s="640" t="str">
        <f>A66</f>
        <v>ドリームキッズ</v>
      </c>
      <c r="K61" s="640"/>
      <c r="L61" s="640"/>
      <c r="M61" s="293" t="s">
        <v>42</v>
      </c>
      <c r="N61" s="294" t="s">
        <v>2008</v>
      </c>
      <c r="O61" s="295" t="s">
        <v>43</v>
      </c>
      <c r="P61" s="294" t="s">
        <v>2069</v>
      </c>
      <c r="Q61" s="294" t="s">
        <v>2070</v>
      </c>
      <c r="R61" s="294" t="s">
        <v>2071</v>
      </c>
      <c r="S61" s="656" t="s">
        <v>2072</v>
      </c>
      <c r="T61" s="657"/>
      <c r="U61" s="656" t="s">
        <v>2073</v>
      </c>
      <c r="V61" s="657"/>
      <c r="W61" s="656" t="s">
        <v>2074</v>
      </c>
      <c r="X61" s="657"/>
      <c r="Y61" s="668" t="s">
        <v>2075</v>
      </c>
      <c r="Z61" s="669"/>
      <c r="AA61" s="272"/>
      <c r="AC61" s="663" t="s">
        <v>2081</v>
      </c>
      <c r="AD61" s="664"/>
      <c r="AE61" s="665"/>
      <c r="AF61" s="639" t="str">
        <f>AC62</f>
        <v>スマイス・セレソン</v>
      </c>
      <c r="AG61" s="640"/>
      <c r="AH61" s="640"/>
      <c r="AI61" s="640" t="str">
        <f>AC64</f>
        <v>明治</v>
      </c>
      <c r="AJ61" s="640"/>
      <c r="AK61" s="640"/>
      <c r="AL61" s="640" t="str">
        <f>AC66</f>
        <v>鶴見少年</v>
      </c>
      <c r="AM61" s="640"/>
      <c r="AN61" s="640"/>
      <c r="AO61" s="293" t="s">
        <v>42</v>
      </c>
      <c r="AP61" s="294" t="s">
        <v>2008</v>
      </c>
      <c r="AQ61" s="295" t="s">
        <v>43</v>
      </c>
      <c r="AR61" s="294" t="s">
        <v>2069</v>
      </c>
      <c r="AS61" s="294" t="s">
        <v>2070</v>
      </c>
      <c r="AT61" s="294" t="s">
        <v>2071</v>
      </c>
      <c r="AU61" s="656" t="s">
        <v>2072</v>
      </c>
      <c r="AV61" s="657"/>
      <c r="AW61" s="656" t="s">
        <v>2073</v>
      </c>
      <c r="AX61" s="657"/>
      <c r="AY61" s="656" t="s">
        <v>2074</v>
      </c>
      <c r="AZ61" s="657"/>
      <c r="BA61" s="668" t="s">
        <v>2075</v>
      </c>
      <c r="BB61" s="669"/>
    </row>
    <row r="62" spans="1:54" ht="26.25" customHeight="1" x14ac:dyDescent="0.45">
      <c r="A62" s="677" t="str">
        <f>予選リーグ!D10</f>
        <v>国東</v>
      </c>
      <c r="B62" s="679" t="s">
        <v>44</v>
      </c>
      <c r="C62" s="680"/>
      <c r="D62" s="301"/>
      <c r="E62" s="301"/>
      <c r="F62" s="302"/>
      <c r="G62" s="299"/>
      <c r="H62" s="279" t="str">
        <f>IF(G63="","",IF(G63&gt;I63,"○",IF(G63&lt;I63,"●",IF(G63=I63,"△"))))</f>
        <v>●</v>
      </c>
      <c r="I62" s="300"/>
      <c r="J62" s="279"/>
      <c r="K62" s="279" t="str">
        <f>IF(J63="","",IF(J63&gt;L63,"○",IF(J63&lt;L63,"●",IF(J63=L63,"△"))))</f>
        <v>●</v>
      </c>
      <c r="L62" s="300"/>
      <c r="M62" s="734">
        <f>COUNTIF(D62:L62,"○")</f>
        <v>0</v>
      </c>
      <c r="N62" s="647">
        <f>COUNTIF(D62:L62,"△")</f>
        <v>0</v>
      </c>
      <c r="O62" s="647">
        <f>COUNTIF(D62:L62,"●")</f>
        <v>2</v>
      </c>
      <c r="P62" s="729">
        <f>SUM(D63,G63,J63)</f>
        <v>0</v>
      </c>
      <c r="Q62" s="729">
        <f>SUM(F63,I63,L63)</f>
        <v>14</v>
      </c>
      <c r="R62" s="637">
        <f>(M62*4)+(N62*1)</f>
        <v>0</v>
      </c>
      <c r="S62" s="723">
        <f>RANK(R62,$R$62:$R$67)</f>
        <v>3</v>
      </c>
      <c r="T62" s="722" t="s">
        <v>53</v>
      </c>
      <c r="U62" s="720">
        <f>P62-Q62</f>
        <v>-14</v>
      </c>
      <c r="V62" s="721"/>
      <c r="W62" s="718">
        <f>RANK(U62,$U$62:$V$67)</f>
        <v>3</v>
      </c>
      <c r="X62" s="719" t="s">
        <v>53</v>
      </c>
      <c r="Y62" s="742">
        <v>3</v>
      </c>
      <c r="Z62" s="743"/>
      <c r="AA62" s="272"/>
      <c r="AC62" s="677" t="str">
        <f>予選リーグ!J10</f>
        <v>スマイス・セレソン</v>
      </c>
      <c r="AD62" s="679" t="s">
        <v>44</v>
      </c>
      <c r="AE62" s="680"/>
      <c r="AF62" s="301"/>
      <c r="AG62" s="301"/>
      <c r="AH62" s="302"/>
      <c r="AI62" s="299"/>
      <c r="AJ62" s="279" t="str">
        <f>IF(AI63="","",IF(AI63&gt;AK63,"○",IF(AI63&lt;AK63,"●",IF(AI63=AK63,"△"))))</f>
        <v>○</v>
      </c>
      <c r="AK62" s="300"/>
      <c r="AL62" s="279"/>
      <c r="AM62" s="279" t="str">
        <f>IF(AL63="","",IF(AL63&gt;AN63,"○",IF(AL63&lt;AN63,"●",IF(AL63=AN63,"△"))))</f>
        <v>○</v>
      </c>
      <c r="AN62" s="300"/>
      <c r="AO62" s="734">
        <f>COUNTIF(AF62:AN62,"○")</f>
        <v>2</v>
      </c>
      <c r="AP62" s="647">
        <f>COUNTIF(AF62:AN62,"△")</f>
        <v>0</v>
      </c>
      <c r="AQ62" s="647">
        <f>COUNTIF(AF62:AN62,"●")</f>
        <v>0</v>
      </c>
      <c r="AR62" s="729">
        <f>SUM(AF63,AI63,AL63)</f>
        <v>6</v>
      </c>
      <c r="AS62" s="729">
        <f>SUM(AH63,AK63,AN63)</f>
        <v>1</v>
      </c>
      <c r="AT62" s="637">
        <f>(AO62*4)+(AP62*1)</f>
        <v>8</v>
      </c>
      <c r="AU62" s="723">
        <f>RANK(AT62,$AT$62:$AT$67)</f>
        <v>1</v>
      </c>
      <c r="AV62" s="722" t="s">
        <v>53</v>
      </c>
      <c r="AW62" s="720">
        <f>AR62-AS62</f>
        <v>5</v>
      </c>
      <c r="AX62" s="721"/>
      <c r="AY62" s="718">
        <f>RANK(AW62,$AW$62:$AW$67)</f>
        <v>1</v>
      </c>
      <c r="AZ62" s="719" t="s">
        <v>53</v>
      </c>
      <c r="BA62" s="748">
        <v>1</v>
      </c>
      <c r="BB62" s="749"/>
    </row>
    <row r="63" spans="1:54" ht="26.25" customHeight="1" x14ac:dyDescent="0.45">
      <c r="A63" s="678"/>
      <c r="B63" s="675" t="s">
        <v>45</v>
      </c>
      <c r="C63" s="676"/>
      <c r="D63" s="311"/>
      <c r="E63" s="304"/>
      <c r="F63" s="305"/>
      <c r="G63" s="306">
        <f>F16</f>
        <v>0</v>
      </c>
      <c r="H63" s="307" t="s">
        <v>2077</v>
      </c>
      <c r="I63" s="308">
        <f>J16</f>
        <v>6</v>
      </c>
      <c r="J63" s="309">
        <f>J24</f>
        <v>0</v>
      </c>
      <c r="K63" s="310" t="s">
        <v>2077</v>
      </c>
      <c r="L63" s="308">
        <f>F24</f>
        <v>8</v>
      </c>
      <c r="M63" s="728"/>
      <c r="N63" s="638"/>
      <c r="O63" s="638"/>
      <c r="P63" s="660"/>
      <c r="Q63" s="660"/>
      <c r="R63" s="638"/>
      <c r="S63" s="652"/>
      <c r="T63" s="648"/>
      <c r="U63" s="643"/>
      <c r="V63" s="644"/>
      <c r="W63" s="667"/>
      <c r="X63" s="662"/>
      <c r="Y63" s="673"/>
      <c r="Z63" s="674"/>
      <c r="AA63" s="272"/>
      <c r="AC63" s="678"/>
      <c r="AD63" s="675" t="s">
        <v>45</v>
      </c>
      <c r="AE63" s="676"/>
      <c r="AF63" s="311"/>
      <c r="AG63" s="304"/>
      <c r="AH63" s="305"/>
      <c r="AI63" s="306">
        <f>AH16</f>
        <v>2</v>
      </c>
      <c r="AJ63" s="307" t="s">
        <v>2077</v>
      </c>
      <c r="AK63" s="308">
        <f>AL16</f>
        <v>0</v>
      </c>
      <c r="AL63" s="309">
        <f>AL24</f>
        <v>4</v>
      </c>
      <c r="AM63" s="310" t="s">
        <v>2077</v>
      </c>
      <c r="AN63" s="308">
        <f>AH24</f>
        <v>1</v>
      </c>
      <c r="AO63" s="728"/>
      <c r="AP63" s="638"/>
      <c r="AQ63" s="638"/>
      <c r="AR63" s="660"/>
      <c r="AS63" s="660"/>
      <c r="AT63" s="638"/>
      <c r="AU63" s="652"/>
      <c r="AV63" s="648"/>
      <c r="AW63" s="643"/>
      <c r="AX63" s="644"/>
      <c r="AY63" s="667"/>
      <c r="AZ63" s="662"/>
      <c r="BA63" s="739"/>
      <c r="BB63" s="740"/>
    </row>
    <row r="64" spans="1:54" ht="26.25" customHeight="1" x14ac:dyDescent="0.45">
      <c r="A64" s="724" t="str">
        <f>予選リーグ!C12</f>
        <v>ＫＩＮＧＳ</v>
      </c>
      <c r="B64" s="725" t="s">
        <v>44</v>
      </c>
      <c r="C64" s="726"/>
      <c r="D64" s="313"/>
      <c r="E64" s="313" t="str">
        <f>IF(D65="","",IF(D65&gt;F65,"○",IF(D65&lt;F65,"●",IF(D65=F65,"△"))))</f>
        <v>○</v>
      </c>
      <c r="F64" s="314"/>
      <c r="G64" s="315"/>
      <c r="H64" s="316"/>
      <c r="I64" s="317"/>
      <c r="J64" s="318"/>
      <c r="K64" s="319" t="str">
        <f>IF(J65="","",IF(J65&gt;L65,"○",IF(J65&lt;L65,"●",IF(J65=L65,"△"))))</f>
        <v>○</v>
      </c>
      <c r="L64" s="314"/>
      <c r="M64" s="727">
        <f>COUNTIF(D64:L64,"○")</f>
        <v>2</v>
      </c>
      <c r="N64" s="654">
        <f>COUNTIF(D64:L64,"△")</f>
        <v>0</v>
      </c>
      <c r="O64" s="654">
        <f>COUNTIF(D64:L64,"●")</f>
        <v>0</v>
      </c>
      <c r="P64" s="658">
        <f>SUM(D65,G65,J65)</f>
        <v>8</v>
      </c>
      <c r="Q64" s="658">
        <f>SUM(F65,I65,L65)</f>
        <v>0</v>
      </c>
      <c r="R64" s="647">
        <f>(M64*4)+(N64*1)</f>
        <v>8</v>
      </c>
      <c r="S64" s="652">
        <f>RANK(R64,$R$62:$R$67)</f>
        <v>1</v>
      </c>
      <c r="T64" s="648" t="s">
        <v>53</v>
      </c>
      <c r="U64" s="641">
        <f>P64-Q64</f>
        <v>8</v>
      </c>
      <c r="V64" s="642"/>
      <c r="W64" s="667">
        <f>RANK(U64,$U$62:$V$67)</f>
        <v>1</v>
      </c>
      <c r="X64" s="661" t="s">
        <v>53</v>
      </c>
      <c r="Y64" s="739">
        <v>1</v>
      </c>
      <c r="Z64" s="740"/>
      <c r="AA64" s="272"/>
      <c r="AC64" s="724" t="str">
        <f>予選リーグ!I12</f>
        <v>明治</v>
      </c>
      <c r="AD64" s="725" t="s">
        <v>44</v>
      </c>
      <c r="AE64" s="726"/>
      <c r="AF64" s="313"/>
      <c r="AG64" s="313" t="str">
        <f>IF(AF65="","",IF(AF65&gt;AH65,"○",IF(AF65&lt;AH65,"●",IF(AF65=AH65,"△"))))</f>
        <v>●</v>
      </c>
      <c r="AH64" s="314"/>
      <c r="AI64" s="315"/>
      <c r="AJ64" s="316"/>
      <c r="AK64" s="317"/>
      <c r="AL64" s="318"/>
      <c r="AM64" s="319" t="str">
        <f>IF(AL65="","",IF(AL65&gt;AN65,"○",IF(AL65&lt;AN65,"●",IF(AL65=AN65,"△"))))</f>
        <v>●</v>
      </c>
      <c r="AN64" s="314"/>
      <c r="AO64" s="727">
        <f>COUNTIF(AF64:AN64,"○")</f>
        <v>0</v>
      </c>
      <c r="AP64" s="654">
        <f>COUNTIF(AF64:AN64,"△")</f>
        <v>0</v>
      </c>
      <c r="AQ64" s="654">
        <f>COUNTIF(AF64:AN64,"●")</f>
        <v>2</v>
      </c>
      <c r="AR64" s="658">
        <f>SUM(AF65,AI65,AL65)</f>
        <v>1</v>
      </c>
      <c r="AS64" s="658">
        <f>SUM(AH65,AK65,AN65)</f>
        <v>8</v>
      </c>
      <c r="AT64" s="647">
        <f>(AO64*4)+(AP64*1)</f>
        <v>0</v>
      </c>
      <c r="AU64" s="652">
        <f>RANK(AT64,$AT$62:$AT$67)</f>
        <v>3</v>
      </c>
      <c r="AV64" s="648" t="s">
        <v>53</v>
      </c>
      <c r="AW64" s="641">
        <f>AR64-AS64</f>
        <v>-7</v>
      </c>
      <c r="AX64" s="642"/>
      <c r="AY64" s="667">
        <f>RANK(AW64,$AW$62:$AW$67)</f>
        <v>3</v>
      </c>
      <c r="AZ64" s="661" t="s">
        <v>53</v>
      </c>
      <c r="BA64" s="673">
        <v>3</v>
      </c>
      <c r="BB64" s="674"/>
    </row>
    <row r="65" spans="1:67" ht="26.25" customHeight="1" x14ac:dyDescent="0.45">
      <c r="A65" s="678"/>
      <c r="B65" s="675" t="s">
        <v>45</v>
      </c>
      <c r="C65" s="676"/>
      <c r="D65" s="309">
        <f>I63</f>
        <v>6</v>
      </c>
      <c r="E65" s="307" t="s">
        <v>2077</v>
      </c>
      <c r="F65" s="308">
        <f>G63</f>
        <v>0</v>
      </c>
      <c r="G65" s="321"/>
      <c r="H65" s="304"/>
      <c r="I65" s="322"/>
      <c r="J65" s="323">
        <f>F20</f>
        <v>2</v>
      </c>
      <c r="K65" s="307" t="s">
        <v>2077</v>
      </c>
      <c r="L65" s="324">
        <f>J20</f>
        <v>0</v>
      </c>
      <c r="M65" s="728"/>
      <c r="N65" s="638"/>
      <c r="O65" s="638"/>
      <c r="P65" s="660"/>
      <c r="Q65" s="660"/>
      <c r="R65" s="638"/>
      <c r="S65" s="652"/>
      <c r="T65" s="648"/>
      <c r="U65" s="643"/>
      <c r="V65" s="644"/>
      <c r="W65" s="667"/>
      <c r="X65" s="662"/>
      <c r="Y65" s="739"/>
      <c r="Z65" s="740"/>
      <c r="AA65" s="272"/>
      <c r="AC65" s="678"/>
      <c r="AD65" s="675" t="s">
        <v>45</v>
      </c>
      <c r="AE65" s="676"/>
      <c r="AF65" s="309">
        <f>AK63</f>
        <v>0</v>
      </c>
      <c r="AG65" s="307" t="s">
        <v>2077</v>
      </c>
      <c r="AH65" s="308">
        <f>AI63</f>
        <v>2</v>
      </c>
      <c r="AI65" s="321"/>
      <c r="AJ65" s="304"/>
      <c r="AK65" s="322"/>
      <c r="AL65" s="323">
        <f>AH20</f>
        <v>1</v>
      </c>
      <c r="AM65" s="307" t="s">
        <v>2077</v>
      </c>
      <c r="AN65" s="324">
        <f>AL20</f>
        <v>6</v>
      </c>
      <c r="AO65" s="728"/>
      <c r="AP65" s="638"/>
      <c r="AQ65" s="638"/>
      <c r="AR65" s="660"/>
      <c r="AS65" s="660"/>
      <c r="AT65" s="638"/>
      <c r="AU65" s="652"/>
      <c r="AV65" s="648"/>
      <c r="AW65" s="643"/>
      <c r="AX65" s="644"/>
      <c r="AY65" s="667"/>
      <c r="AZ65" s="662"/>
      <c r="BA65" s="673"/>
      <c r="BB65" s="674"/>
    </row>
    <row r="66" spans="1:67" ht="26.25" customHeight="1" x14ac:dyDescent="0.45">
      <c r="A66" s="724" t="str">
        <f>予選リーグ!E12</f>
        <v>ドリームキッズ</v>
      </c>
      <c r="B66" s="725" t="s">
        <v>44</v>
      </c>
      <c r="C66" s="726"/>
      <c r="D66" s="313"/>
      <c r="E66" s="313" t="str">
        <f>IF(D67="","",IF(D67&gt;F67,"○",IF(D67&lt;F67,"●",IF(D67=F67,"△"))))</f>
        <v>○</v>
      </c>
      <c r="F66" s="314"/>
      <c r="G66" s="318"/>
      <c r="H66" s="313" t="str">
        <f>IF(G67="","",IF(G67&gt;I67,"○",IF(G67&lt;I67,"●",IF(G67=I67,"△"))))</f>
        <v>●</v>
      </c>
      <c r="I66" s="314"/>
      <c r="J66" s="315"/>
      <c r="K66" s="316"/>
      <c r="L66" s="317"/>
      <c r="M66" s="727">
        <f>COUNTIF(D66:L66,"○")</f>
        <v>1</v>
      </c>
      <c r="N66" s="654">
        <f>COUNTIF(D66:L66,"△")</f>
        <v>0</v>
      </c>
      <c r="O66" s="654">
        <f>COUNTIF(D66:L66,"●")</f>
        <v>1</v>
      </c>
      <c r="P66" s="658">
        <f>SUM(D67,G67,J67)</f>
        <v>8</v>
      </c>
      <c r="Q66" s="658">
        <f>SUM(F67,I67,L67)</f>
        <v>2</v>
      </c>
      <c r="R66" s="647">
        <f>(M66*4)+(N66*1)</f>
        <v>4</v>
      </c>
      <c r="S66" s="652">
        <f>RANK(R66,$R$62:$R$67)</f>
        <v>2</v>
      </c>
      <c r="T66" s="648" t="s">
        <v>53</v>
      </c>
      <c r="U66" s="641">
        <f>P66-Q66</f>
        <v>6</v>
      </c>
      <c r="V66" s="642"/>
      <c r="W66" s="667">
        <f>RANK(U66,$U$62:$V$67)</f>
        <v>2</v>
      </c>
      <c r="X66" s="661" t="s">
        <v>53</v>
      </c>
      <c r="Y66" s="673">
        <v>2</v>
      </c>
      <c r="Z66" s="674"/>
      <c r="AA66" s="272"/>
      <c r="AC66" s="724" t="str">
        <f>予選リーグ!K12</f>
        <v>鶴見少年</v>
      </c>
      <c r="AD66" s="725" t="s">
        <v>44</v>
      </c>
      <c r="AE66" s="726"/>
      <c r="AF66" s="313"/>
      <c r="AG66" s="313" t="str">
        <f>IF(AF67="","",IF(AF67&gt;AH67,"○",IF(AF67&lt;AH67,"●",IF(AF67=AH67,"△"))))</f>
        <v>●</v>
      </c>
      <c r="AH66" s="314"/>
      <c r="AI66" s="318"/>
      <c r="AJ66" s="313" t="str">
        <f>IF(AI67="","",IF(AI67&gt;AK67,"○",IF(AI67&lt;AK67,"●",IF(AI67=AK67,"△"))))</f>
        <v>○</v>
      </c>
      <c r="AK66" s="314"/>
      <c r="AL66" s="315"/>
      <c r="AM66" s="316"/>
      <c r="AN66" s="317"/>
      <c r="AO66" s="727">
        <f>COUNTIF(AF66:AN66,"○")</f>
        <v>1</v>
      </c>
      <c r="AP66" s="654">
        <f>COUNTIF(AF66:AN66,"△")</f>
        <v>0</v>
      </c>
      <c r="AQ66" s="654">
        <f>COUNTIF(AF66:AN66,"●")</f>
        <v>1</v>
      </c>
      <c r="AR66" s="658">
        <f>SUM(AF67,AI67,AL67)</f>
        <v>7</v>
      </c>
      <c r="AS66" s="658">
        <f>SUM(AH67,AK67,AN67)</f>
        <v>5</v>
      </c>
      <c r="AT66" s="647">
        <f>(AO66*4)+(AP66*1)</f>
        <v>4</v>
      </c>
      <c r="AU66" s="652">
        <f>RANK(AT66,$AT$62:$AT$67)</f>
        <v>2</v>
      </c>
      <c r="AV66" s="648" t="s">
        <v>53</v>
      </c>
      <c r="AW66" s="641">
        <f>AR66-AS66</f>
        <v>2</v>
      </c>
      <c r="AX66" s="642"/>
      <c r="AY66" s="667">
        <f>RANK(AW66,$AW$62:$AW$67)</f>
        <v>2</v>
      </c>
      <c r="AZ66" s="661" t="s">
        <v>53</v>
      </c>
      <c r="BA66" s="673">
        <v>2</v>
      </c>
      <c r="BB66" s="674"/>
    </row>
    <row r="67" spans="1:67" ht="26.25" customHeight="1" thickBot="1" x14ac:dyDescent="0.6">
      <c r="A67" s="730"/>
      <c r="B67" s="731" t="s">
        <v>45</v>
      </c>
      <c r="C67" s="732"/>
      <c r="D67" s="333">
        <f>L63</f>
        <v>8</v>
      </c>
      <c r="E67" s="326" t="s">
        <v>2077</v>
      </c>
      <c r="F67" s="327">
        <f>J63</f>
        <v>0</v>
      </c>
      <c r="G67" s="328">
        <f>L65</f>
        <v>0</v>
      </c>
      <c r="H67" s="326" t="s">
        <v>2077</v>
      </c>
      <c r="I67" s="329">
        <f>J65</f>
        <v>2</v>
      </c>
      <c r="J67" s="330"/>
      <c r="K67" s="331"/>
      <c r="L67" s="332"/>
      <c r="M67" s="741"/>
      <c r="N67" s="655"/>
      <c r="O67" s="655"/>
      <c r="P67" s="659"/>
      <c r="Q67" s="659"/>
      <c r="R67" s="655"/>
      <c r="S67" s="738"/>
      <c r="T67" s="649"/>
      <c r="U67" s="645"/>
      <c r="V67" s="646"/>
      <c r="W67" s="687"/>
      <c r="X67" s="686"/>
      <c r="Y67" s="744"/>
      <c r="Z67" s="745"/>
      <c r="AA67" s="272"/>
      <c r="AC67" s="730"/>
      <c r="AD67" s="731" t="s">
        <v>45</v>
      </c>
      <c r="AE67" s="732"/>
      <c r="AF67" s="333">
        <f>AN63</f>
        <v>1</v>
      </c>
      <c r="AG67" s="326" t="s">
        <v>2077</v>
      </c>
      <c r="AH67" s="327">
        <f>AL63</f>
        <v>4</v>
      </c>
      <c r="AI67" s="328">
        <f>AN65</f>
        <v>6</v>
      </c>
      <c r="AJ67" s="326" t="s">
        <v>2077</v>
      </c>
      <c r="AK67" s="329">
        <f>AL65</f>
        <v>1</v>
      </c>
      <c r="AL67" s="330"/>
      <c r="AM67" s="331"/>
      <c r="AN67" s="332"/>
      <c r="AO67" s="741"/>
      <c r="AP67" s="655"/>
      <c r="AQ67" s="655"/>
      <c r="AR67" s="659"/>
      <c r="AS67" s="659"/>
      <c r="AT67" s="655"/>
      <c r="AU67" s="738"/>
      <c r="AV67" s="649"/>
      <c r="AW67" s="645"/>
      <c r="AX67" s="646"/>
      <c r="AY67" s="687"/>
      <c r="AZ67" s="686"/>
      <c r="BA67" s="744"/>
      <c r="BB67" s="745"/>
    </row>
    <row r="68" spans="1:67" ht="17.5" thickBot="1" x14ac:dyDescent="0.6">
      <c r="A68" s="285"/>
      <c r="B68" s="285"/>
      <c r="C68" s="285"/>
      <c r="D68" s="285"/>
      <c r="E68" s="285"/>
      <c r="F68" s="285"/>
      <c r="G68" s="285"/>
      <c r="H68" s="285"/>
      <c r="I68" s="285"/>
      <c r="J68" s="285"/>
      <c r="K68" s="285"/>
      <c r="L68" s="285"/>
      <c r="M68" s="285"/>
      <c r="N68" s="285"/>
      <c r="O68" s="285"/>
      <c r="P68" s="285"/>
      <c r="Q68" s="285"/>
      <c r="R68" s="285"/>
      <c r="S68" s="285"/>
      <c r="T68" s="285"/>
      <c r="U68" s="285"/>
      <c r="V68" s="285"/>
      <c r="W68" s="285"/>
      <c r="X68" s="285"/>
      <c r="Y68" s="334"/>
      <c r="Z68" s="334"/>
      <c r="AA68" s="272"/>
      <c r="AC68" s="335"/>
      <c r="AD68" s="335"/>
      <c r="AE68" s="335"/>
      <c r="AF68" s="335"/>
      <c r="AG68" s="335"/>
      <c r="AH68" s="335"/>
      <c r="AI68" s="335"/>
      <c r="AJ68" s="335"/>
      <c r="AK68" s="335"/>
      <c r="AL68" s="335"/>
      <c r="AM68" s="335"/>
      <c r="AN68" s="335"/>
      <c r="AO68" s="334"/>
      <c r="AP68" s="334"/>
      <c r="AQ68" s="334"/>
      <c r="AR68" s="334"/>
      <c r="AS68" s="334"/>
      <c r="AT68" s="334"/>
      <c r="AU68" s="285"/>
      <c r="AV68" s="285"/>
      <c r="AW68" s="285"/>
      <c r="AX68" s="285"/>
      <c r="AY68" s="285"/>
      <c r="AZ68" s="285"/>
      <c r="BA68" s="334"/>
      <c r="BB68" s="334"/>
    </row>
    <row r="69" spans="1:67" ht="54" customHeight="1" thickBot="1" x14ac:dyDescent="0.6">
      <c r="A69" s="663" t="s">
        <v>2082</v>
      </c>
      <c r="B69" s="664"/>
      <c r="C69" s="665"/>
      <c r="D69" s="639" t="str">
        <f>A70</f>
        <v>ＷＡＹＳ</v>
      </c>
      <c r="E69" s="640"/>
      <c r="F69" s="640"/>
      <c r="G69" s="640" t="str">
        <f>A72</f>
        <v>金池長浜</v>
      </c>
      <c r="H69" s="640"/>
      <c r="I69" s="640"/>
      <c r="J69" s="640" t="str">
        <f>A74</f>
        <v>太陽大分西</v>
      </c>
      <c r="K69" s="640"/>
      <c r="L69" s="640"/>
      <c r="M69" s="293" t="s">
        <v>42</v>
      </c>
      <c r="N69" s="294" t="s">
        <v>2008</v>
      </c>
      <c r="O69" s="295" t="s">
        <v>43</v>
      </c>
      <c r="P69" s="294" t="s">
        <v>2069</v>
      </c>
      <c r="Q69" s="294" t="s">
        <v>2070</v>
      </c>
      <c r="R69" s="294" t="s">
        <v>2071</v>
      </c>
      <c r="S69" s="656" t="s">
        <v>2072</v>
      </c>
      <c r="T69" s="657"/>
      <c r="U69" s="656" t="s">
        <v>2073</v>
      </c>
      <c r="V69" s="657"/>
      <c r="W69" s="656" t="s">
        <v>2074</v>
      </c>
      <c r="X69" s="657"/>
      <c r="Y69" s="668" t="s">
        <v>2075</v>
      </c>
      <c r="Z69" s="669"/>
      <c r="AA69" s="272"/>
      <c r="AC69" s="663" t="s">
        <v>2083</v>
      </c>
      <c r="AD69" s="664"/>
      <c r="AE69" s="665"/>
      <c r="AF69" s="639" t="str">
        <f>AC70</f>
        <v>寒田．敷戸</v>
      </c>
      <c r="AG69" s="640"/>
      <c r="AH69" s="640"/>
      <c r="AI69" s="640" t="str">
        <f>AC72</f>
        <v>スマイス　スポーツＡ</v>
      </c>
      <c r="AJ69" s="640"/>
      <c r="AK69" s="640"/>
      <c r="AL69" s="640" t="str">
        <f>AC74</f>
        <v>鶴居</v>
      </c>
      <c r="AM69" s="640"/>
      <c r="AN69" s="640"/>
      <c r="AO69" s="293" t="s">
        <v>42</v>
      </c>
      <c r="AP69" s="294" t="s">
        <v>2008</v>
      </c>
      <c r="AQ69" s="295" t="s">
        <v>43</v>
      </c>
      <c r="AR69" s="294" t="s">
        <v>2069</v>
      </c>
      <c r="AS69" s="294" t="s">
        <v>2070</v>
      </c>
      <c r="AT69" s="294" t="s">
        <v>2071</v>
      </c>
      <c r="AU69" s="656" t="s">
        <v>2072</v>
      </c>
      <c r="AV69" s="657"/>
      <c r="AW69" s="656" t="s">
        <v>2073</v>
      </c>
      <c r="AX69" s="657"/>
      <c r="AY69" s="656" t="s">
        <v>2074</v>
      </c>
      <c r="AZ69" s="657"/>
      <c r="BA69" s="668" t="s">
        <v>2075</v>
      </c>
      <c r="BB69" s="669"/>
    </row>
    <row r="70" spans="1:67" ht="26.25" customHeight="1" x14ac:dyDescent="0.45">
      <c r="A70" s="677" t="str">
        <f>予選リーグ!G10</f>
        <v>ＷＡＹＳ</v>
      </c>
      <c r="B70" s="679" t="s">
        <v>44</v>
      </c>
      <c r="C70" s="680"/>
      <c r="D70" s="301"/>
      <c r="E70" s="301"/>
      <c r="F70" s="302"/>
      <c r="G70" s="299"/>
      <c r="H70" s="279" t="str">
        <f>IF(G71="","",IF(G71&gt;I71,"○",IF(G71&lt;I71,"●",IF(G71=I71,"△"))))</f>
        <v>△</v>
      </c>
      <c r="I70" s="300"/>
      <c r="J70" s="279"/>
      <c r="K70" s="279" t="str">
        <f>IF(J71="","",IF(J71&gt;L71,"○",IF(J71&lt;L71,"●",IF(J71=L71,"△"))))</f>
        <v>△</v>
      </c>
      <c r="L70" s="300"/>
      <c r="M70" s="734">
        <f>COUNTIF(D70:L70,"○")</f>
        <v>0</v>
      </c>
      <c r="N70" s="647">
        <f>COUNTIF(D70:L70,"△")</f>
        <v>2</v>
      </c>
      <c r="O70" s="647">
        <f>COUNTIF(D70:L70,"●")</f>
        <v>0</v>
      </c>
      <c r="P70" s="729">
        <f>SUM(D71,G71,J71)</f>
        <v>0</v>
      </c>
      <c r="Q70" s="729">
        <f>SUM(F71,I71,L71)</f>
        <v>0</v>
      </c>
      <c r="R70" s="637">
        <f>(M70*4)+(N70*1)</f>
        <v>2</v>
      </c>
      <c r="S70" s="723">
        <f>RANK(R70,$R$70:$R$75)</f>
        <v>1</v>
      </c>
      <c r="T70" s="722" t="s">
        <v>53</v>
      </c>
      <c r="U70" s="720">
        <f>P70-Q70</f>
        <v>0</v>
      </c>
      <c r="V70" s="721"/>
      <c r="W70" s="718">
        <f>RANK(U70,$U$70:$V$75)</f>
        <v>1</v>
      </c>
      <c r="X70" s="719" t="s">
        <v>53</v>
      </c>
      <c r="Y70" s="742">
        <v>2</v>
      </c>
      <c r="Z70" s="743"/>
      <c r="AA70" s="272"/>
      <c r="AC70" s="677" t="str">
        <f>予選リーグ!M10</f>
        <v>寒田．敷戸</v>
      </c>
      <c r="AD70" s="679" t="s">
        <v>44</v>
      </c>
      <c r="AE70" s="680"/>
      <c r="AF70" s="301"/>
      <c r="AG70" s="301"/>
      <c r="AH70" s="302"/>
      <c r="AI70" s="299"/>
      <c r="AJ70" s="279" t="str">
        <f>IF(AI71="","",IF(AI71&gt;AK71,"○",IF(AI71&lt;AK71,"●",IF(AI71=AK71,"△"))))</f>
        <v>●</v>
      </c>
      <c r="AK70" s="300"/>
      <c r="AL70" s="279"/>
      <c r="AM70" s="279" t="str">
        <f>IF(AL71="","",IF(AL71&gt;AN71,"○",IF(AL71&lt;AN71,"●",IF(AL71=AN71,"△"))))</f>
        <v>●</v>
      </c>
      <c r="AN70" s="300"/>
      <c r="AO70" s="734">
        <f>COUNTIF(AF70:AN70,"○")</f>
        <v>0</v>
      </c>
      <c r="AP70" s="647">
        <f>COUNTIF(AF70:AN70,"△")</f>
        <v>0</v>
      </c>
      <c r="AQ70" s="647">
        <f>COUNTIF(AF70:AN70,"●")</f>
        <v>2</v>
      </c>
      <c r="AR70" s="729">
        <f>SUM(AF71,AI71,AL71)</f>
        <v>1</v>
      </c>
      <c r="AS70" s="729">
        <f>SUM(AH71,AK71,AN71)</f>
        <v>9</v>
      </c>
      <c r="AT70" s="637">
        <f>(AO70*4)+(AP70*1)</f>
        <v>0</v>
      </c>
      <c r="AU70" s="723">
        <f>RANK(AT70,$AT$70:$AT$75)</f>
        <v>3</v>
      </c>
      <c r="AV70" s="722" t="s">
        <v>53</v>
      </c>
      <c r="AW70" s="720">
        <f>AR70-AS70</f>
        <v>-8</v>
      </c>
      <c r="AX70" s="721"/>
      <c r="AY70" s="718">
        <f>RANK(AW70,$AW$70:$AW$75)</f>
        <v>3</v>
      </c>
      <c r="AZ70" s="719" t="s">
        <v>53</v>
      </c>
      <c r="BA70" s="742">
        <v>3</v>
      </c>
      <c r="BB70" s="743"/>
    </row>
    <row r="71" spans="1:67" ht="26.25" customHeight="1" x14ac:dyDescent="0.45">
      <c r="A71" s="678"/>
      <c r="B71" s="675" t="s">
        <v>45</v>
      </c>
      <c r="C71" s="676"/>
      <c r="D71" s="311"/>
      <c r="E71" s="304"/>
      <c r="F71" s="305"/>
      <c r="G71" s="306">
        <f>R16</f>
        <v>0</v>
      </c>
      <c r="H71" s="307" t="s">
        <v>2077</v>
      </c>
      <c r="I71" s="308">
        <f>V16</f>
        <v>0</v>
      </c>
      <c r="J71" s="309">
        <f>V24</f>
        <v>0</v>
      </c>
      <c r="K71" s="310" t="s">
        <v>2077</v>
      </c>
      <c r="L71" s="308">
        <f>R24</f>
        <v>0</v>
      </c>
      <c r="M71" s="728"/>
      <c r="N71" s="638"/>
      <c r="O71" s="638"/>
      <c r="P71" s="660"/>
      <c r="Q71" s="660"/>
      <c r="R71" s="638"/>
      <c r="S71" s="652"/>
      <c r="T71" s="648"/>
      <c r="U71" s="643"/>
      <c r="V71" s="644"/>
      <c r="W71" s="667"/>
      <c r="X71" s="662"/>
      <c r="Y71" s="673"/>
      <c r="Z71" s="674"/>
      <c r="AA71" s="272"/>
      <c r="AC71" s="678"/>
      <c r="AD71" s="675" t="s">
        <v>45</v>
      </c>
      <c r="AE71" s="676"/>
      <c r="AF71" s="311"/>
      <c r="AG71" s="304"/>
      <c r="AH71" s="305"/>
      <c r="AI71" s="306">
        <f>AT16</f>
        <v>0</v>
      </c>
      <c r="AJ71" s="307" t="s">
        <v>2077</v>
      </c>
      <c r="AK71" s="308">
        <f>AX16</f>
        <v>5</v>
      </c>
      <c r="AL71" s="309">
        <f>AX24</f>
        <v>1</v>
      </c>
      <c r="AM71" s="310" t="s">
        <v>2077</v>
      </c>
      <c r="AN71" s="308">
        <f>AT24</f>
        <v>4</v>
      </c>
      <c r="AO71" s="728"/>
      <c r="AP71" s="638"/>
      <c r="AQ71" s="638"/>
      <c r="AR71" s="660"/>
      <c r="AS71" s="660"/>
      <c r="AT71" s="638"/>
      <c r="AU71" s="652"/>
      <c r="AV71" s="648"/>
      <c r="AW71" s="643"/>
      <c r="AX71" s="644"/>
      <c r="AY71" s="667"/>
      <c r="AZ71" s="662"/>
      <c r="BA71" s="673"/>
      <c r="BB71" s="674"/>
    </row>
    <row r="72" spans="1:67" ht="26.25" customHeight="1" x14ac:dyDescent="0.45">
      <c r="A72" s="724" t="str">
        <f>予選リーグ!F12</f>
        <v>金池長浜</v>
      </c>
      <c r="B72" s="725" t="s">
        <v>44</v>
      </c>
      <c r="C72" s="726"/>
      <c r="D72" s="313"/>
      <c r="E72" s="313" t="str">
        <f>IF(D73="","",IF(D73&gt;F73,"○",IF(D73&lt;F73,"●",IF(D73=F73,"△"))))</f>
        <v>△</v>
      </c>
      <c r="F72" s="314"/>
      <c r="G72" s="315"/>
      <c r="H72" s="316"/>
      <c r="I72" s="317"/>
      <c r="J72" s="318"/>
      <c r="K72" s="319" t="str">
        <f>IF(J73="","",IF(J73&gt;L73,"○",IF(J73&lt;L73,"●",IF(J73=L73,"△"))))</f>
        <v>△</v>
      </c>
      <c r="L72" s="314"/>
      <c r="M72" s="727">
        <f>COUNTIF(D72:L72,"○")</f>
        <v>0</v>
      </c>
      <c r="N72" s="654">
        <f>COUNTIF(D72:L72,"△")</f>
        <v>2</v>
      </c>
      <c r="O72" s="654">
        <f>COUNTIF(D72:L72,"●")</f>
        <v>0</v>
      </c>
      <c r="P72" s="658">
        <f>SUM(D73,G73,J73)</f>
        <v>0</v>
      </c>
      <c r="Q72" s="658">
        <f>SUM(F73,I73,L73)</f>
        <v>0</v>
      </c>
      <c r="R72" s="647">
        <f>(M72*4)+(N72*1)</f>
        <v>2</v>
      </c>
      <c r="S72" s="652">
        <f>RANK(R72,$R$70:$R$75)</f>
        <v>1</v>
      </c>
      <c r="T72" s="648" t="s">
        <v>53</v>
      </c>
      <c r="U72" s="641">
        <f>P72-Q72</f>
        <v>0</v>
      </c>
      <c r="V72" s="642"/>
      <c r="W72" s="667">
        <f>RANK(U72,$U$70:$V$75)</f>
        <v>1</v>
      </c>
      <c r="X72" s="661" t="s">
        <v>53</v>
      </c>
      <c r="Y72" s="739">
        <v>1</v>
      </c>
      <c r="Z72" s="740"/>
      <c r="AA72" s="272"/>
      <c r="AC72" s="724" t="str">
        <f>予選リーグ!L12</f>
        <v>スマイス　スポーツＡ</v>
      </c>
      <c r="AD72" s="725" t="s">
        <v>44</v>
      </c>
      <c r="AE72" s="726"/>
      <c r="AF72" s="313"/>
      <c r="AG72" s="313" t="str">
        <f>IF(AF73="","",IF(AF73&gt;AH73,"○",IF(AF73&lt;AH73,"●",IF(AF73=AH73,"△"))))</f>
        <v>○</v>
      </c>
      <c r="AH72" s="314"/>
      <c r="AI72" s="315"/>
      <c r="AJ72" s="316"/>
      <c r="AK72" s="317"/>
      <c r="AL72" s="318"/>
      <c r="AM72" s="319" t="str">
        <f>IF(AL73="","",IF(AL73&gt;AN73,"○",IF(AL73&lt;AN73,"●",IF(AL73=AN73,"△"))))</f>
        <v>●</v>
      </c>
      <c r="AN72" s="314"/>
      <c r="AO72" s="727">
        <f>COUNTIF(AF72:AN72,"○")</f>
        <v>1</v>
      </c>
      <c r="AP72" s="654">
        <f>COUNTIF(AF72:AN72,"△")</f>
        <v>0</v>
      </c>
      <c r="AQ72" s="654">
        <f>COUNTIF(AF72:AN72,"●")</f>
        <v>1</v>
      </c>
      <c r="AR72" s="658">
        <f>SUM(AF73,AI73,AL73)</f>
        <v>5</v>
      </c>
      <c r="AS72" s="658">
        <f>SUM(AH73,AK73,AN73)</f>
        <v>2</v>
      </c>
      <c r="AT72" s="647">
        <f>(AO72*4)+(AP72*1)</f>
        <v>4</v>
      </c>
      <c r="AU72" s="652">
        <f>RANK(AT72,$AT$70:$AT$75)</f>
        <v>2</v>
      </c>
      <c r="AV72" s="648" t="s">
        <v>53</v>
      </c>
      <c r="AW72" s="641">
        <f>AR72-AS72</f>
        <v>3</v>
      </c>
      <c r="AX72" s="642"/>
      <c r="AY72" s="667">
        <f>RANK(AW72,$AW$70:$AW$75)</f>
        <v>2</v>
      </c>
      <c r="AZ72" s="661" t="s">
        <v>53</v>
      </c>
      <c r="BA72" s="673">
        <v>2</v>
      </c>
      <c r="BB72" s="674"/>
    </row>
    <row r="73" spans="1:67" ht="26.25" customHeight="1" x14ac:dyDescent="0.45">
      <c r="A73" s="678"/>
      <c r="B73" s="675" t="s">
        <v>45</v>
      </c>
      <c r="C73" s="676"/>
      <c r="D73" s="309">
        <f>I71</f>
        <v>0</v>
      </c>
      <c r="E73" s="307" t="s">
        <v>2077</v>
      </c>
      <c r="F73" s="308">
        <f>G71</f>
        <v>0</v>
      </c>
      <c r="G73" s="321"/>
      <c r="H73" s="304"/>
      <c r="I73" s="322"/>
      <c r="J73" s="323">
        <f>R20</f>
        <v>0</v>
      </c>
      <c r="K73" s="307" t="s">
        <v>2077</v>
      </c>
      <c r="L73" s="324">
        <f>V20</f>
        <v>0</v>
      </c>
      <c r="M73" s="728"/>
      <c r="N73" s="638"/>
      <c r="O73" s="638"/>
      <c r="P73" s="660"/>
      <c r="Q73" s="660"/>
      <c r="R73" s="638"/>
      <c r="S73" s="652"/>
      <c r="T73" s="648"/>
      <c r="U73" s="643"/>
      <c r="V73" s="644"/>
      <c r="W73" s="667"/>
      <c r="X73" s="662"/>
      <c r="Y73" s="739"/>
      <c r="Z73" s="740"/>
      <c r="AA73" s="272"/>
      <c r="AC73" s="678"/>
      <c r="AD73" s="675" t="s">
        <v>45</v>
      </c>
      <c r="AE73" s="676"/>
      <c r="AF73" s="309">
        <f>AK71</f>
        <v>5</v>
      </c>
      <c r="AG73" s="307" t="s">
        <v>2077</v>
      </c>
      <c r="AH73" s="308">
        <f>AI71</f>
        <v>0</v>
      </c>
      <c r="AI73" s="321"/>
      <c r="AJ73" s="304"/>
      <c r="AK73" s="322"/>
      <c r="AL73" s="323">
        <f>AT20</f>
        <v>0</v>
      </c>
      <c r="AM73" s="307" t="s">
        <v>2077</v>
      </c>
      <c r="AN73" s="324">
        <f>AX20</f>
        <v>2</v>
      </c>
      <c r="AO73" s="728"/>
      <c r="AP73" s="638"/>
      <c r="AQ73" s="638"/>
      <c r="AR73" s="660"/>
      <c r="AS73" s="660"/>
      <c r="AT73" s="638"/>
      <c r="AU73" s="652"/>
      <c r="AV73" s="648"/>
      <c r="AW73" s="643"/>
      <c r="AX73" s="644"/>
      <c r="AY73" s="667"/>
      <c r="AZ73" s="662"/>
      <c r="BA73" s="673"/>
      <c r="BB73" s="674"/>
    </row>
    <row r="74" spans="1:67" ht="26.25" customHeight="1" x14ac:dyDescent="0.45">
      <c r="A74" s="724" t="str">
        <f>予選リーグ!H12</f>
        <v>太陽大分西</v>
      </c>
      <c r="B74" s="725" t="s">
        <v>44</v>
      </c>
      <c r="C74" s="726"/>
      <c r="D74" s="313"/>
      <c r="E74" s="313" t="str">
        <f>IF(D75="","",IF(D75&gt;F75,"○",IF(D75&lt;F75,"●",IF(D75=F75,"△"))))</f>
        <v>△</v>
      </c>
      <c r="F74" s="314"/>
      <c r="G74" s="318"/>
      <c r="H74" s="313" t="str">
        <f>IF(G75="","",IF(G75&gt;I75,"○",IF(G75&lt;I75,"●",IF(G75=I75,"△"))))</f>
        <v>△</v>
      </c>
      <c r="I74" s="314"/>
      <c r="J74" s="315"/>
      <c r="K74" s="316"/>
      <c r="L74" s="317"/>
      <c r="M74" s="727">
        <f>COUNTIF(D74:L74,"○")</f>
        <v>0</v>
      </c>
      <c r="N74" s="654">
        <f>COUNTIF(D74:L74,"△")</f>
        <v>2</v>
      </c>
      <c r="O74" s="654">
        <f>COUNTIF(D74:L74,"●")</f>
        <v>0</v>
      </c>
      <c r="P74" s="658">
        <f>SUM(D75,G75,J75)</f>
        <v>0</v>
      </c>
      <c r="Q74" s="658">
        <f>SUM(F75,I75,L75)</f>
        <v>0</v>
      </c>
      <c r="R74" s="647">
        <f>(M74*4)+(N74*1)</f>
        <v>2</v>
      </c>
      <c r="S74" s="652">
        <f>RANK(R74,$R$70:$R$75)</f>
        <v>1</v>
      </c>
      <c r="T74" s="648" t="s">
        <v>53</v>
      </c>
      <c r="U74" s="641">
        <f>P74-Q74</f>
        <v>0</v>
      </c>
      <c r="V74" s="642"/>
      <c r="W74" s="667">
        <f>RANK(U74,$U$70:$V$75)</f>
        <v>1</v>
      </c>
      <c r="X74" s="661" t="s">
        <v>53</v>
      </c>
      <c r="Y74" s="673">
        <v>2</v>
      </c>
      <c r="Z74" s="674"/>
      <c r="AA74" s="272"/>
      <c r="AC74" s="724" t="str">
        <f>予選リーグ!N12</f>
        <v>鶴居</v>
      </c>
      <c r="AD74" s="725" t="s">
        <v>44</v>
      </c>
      <c r="AE74" s="726"/>
      <c r="AF74" s="313"/>
      <c r="AG74" s="313" t="str">
        <f>IF(AF75="","",IF(AF75&gt;AH75,"○",IF(AF75&lt;AH75,"●",IF(AF75=AH75,"△"))))</f>
        <v>○</v>
      </c>
      <c r="AH74" s="314"/>
      <c r="AI74" s="318"/>
      <c r="AJ74" s="313" t="str">
        <f>IF(AI75="","",IF(AI75&gt;AK75,"○",IF(AI75&lt;AK75,"●",IF(AI75=AK75,"△"))))</f>
        <v>○</v>
      </c>
      <c r="AK74" s="314"/>
      <c r="AL74" s="315"/>
      <c r="AM74" s="316"/>
      <c r="AN74" s="317"/>
      <c r="AO74" s="727">
        <f>COUNTIF(AF74:AN74,"○")</f>
        <v>2</v>
      </c>
      <c r="AP74" s="654">
        <f>COUNTIF(AF74:AN74,"△")</f>
        <v>0</v>
      </c>
      <c r="AQ74" s="654">
        <f>COUNTIF(AF74:AN74,"●")</f>
        <v>0</v>
      </c>
      <c r="AR74" s="658">
        <f>SUM(AF75,AI75,AL75)</f>
        <v>6</v>
      </c>
      <c r="AS74" s="658">
        <f>SUM(AH75,AK75,AN75)</f>
        <v>1</v>
      </c>
      <c r="AT74" s="647">
        <f>(AO74*4)+(AP74*1)</f>
        <v>8</v>
      </c>
      <c r="AU74" s="652">
        <f>RANK(AT74,$AT$70:$AT$75)</f>
        <v>1</v>
      </c>
      <c r="AV74" s="648" t="s">
        <v>53</v>
      </c>
      <c r="AW74" s="641">
        <f>AR74-AS74</f>
        <v>5</v>
      </c>
      <c r="AX74" s="642"/>
      <c r="AY74" s="667">
        <f>RANK(AW74,$AW$70:$AW$75)</f>
        <v>1</v>
      </c>
      <c r="AZ74" s="661" t="s">
        <v>53</v>
      </c>
      <c r="BA74" s="739">
        <v>1</v>
      </c>
      <c r="BB74" s="740"/>
    </row>
    <row r="75" spans="1:67" ht="26.25" customHeight="1" thickBot="1" x14ac:dyDescent="0.6">
      <c r="A75" s="730"/>
      <c r="B75" s="731" t="s">
        <v>45</v>
      </c>
      <c r="C75" s="732"/>
      <c r="D75" s="333">
        <f>L71</f>
        <v>0</v>
      </c>
      <c r="E75" s="326" t="s">
        <v>2077</v>
      </c>
      <c r="F75" s="327">
        <f>J71</f>
        <v>0</v>
      </c>
      <c r="G75" s="328">
        <f>L73</f>
        <v>0</v>
      </c>
      <c r="H75" s="326" t="s">
        <v>2077</v>
      </c>
      <c r="I75" s="329">
        <f>J73</f>
        <v>0</v>
      </c>
      <c r="J75" s="330"/>
      <c r="K75" s="331"/>
      <c r="L75" s="332"/>
      <c r="M75" s="741"/>
      <c r="N75" s="655"/>
      <c r="O75" s="655"/>
      <c r="P75" s="659"/>
      <c r="Q75" s="659"/>
      <c r="R75" s="655"/>
      <c r="S75" s="738"/>
      <c r="T75" s="649"/>
      <c r="U75" s="645"/>
      <c r="V75" s="646"/>
      <c r="W75" s="687"/>
      <c r="X75" s="686"/>
      <c r="Y75" s="744"/>
      <c r="Z75" s="745"/>
      <c r="AA75" s="272"/>
      <c r="AC75" s="730"/>
      <c r="AD75" s="731" t="s">
        <v>45</v>
      </c>
      <c r="AE75" s="732"/>
      <c r="AF75" s="333">
        <f>AN71</f>
        <v>4</v>
      </c>
      <c r="AG75" s="326" t="s">
        <v>2077</v>
      </c>
      <c r="AH75" s="327">
        <f>AL71</f>
        <v>1</v>
      </c>
      <c r="AI75" s="328">
        <f>AN73</f>
        <v>2</v>
      </c>
      <c r="AJ75" s="326" t="s">
        <v>2077</v>
      </c>
      <c r="AK75" s="329">
        <f>AL73</f>
        <v>0</v>
      </c>
      <c r="AL75" s="330"/>
      <c r="AM75" s="331"/>
      <c r="AN75" s="332"/>
      <c r="AO75" s="741"/>
      <c r="AP75" s="655"/>
      <c r="AQ75" s="655"/>
      <c r="AR75" s="659"/>
      <c r="AS75" s="659"/>
      <c r="AT75" s="655"/>
      <c r="AU75" s="738"/>
      <c r="AV75" s="649"/>
      <c r="AW75" s="645"/>
      <c r="AX75" s="646"/>
      <c r="AY75" s="687"/>
      <c r="AZ75" s="686"/>
      <c r="BA75" s="746"/>
      <c r="BB75" s="747"/>
    </row>
    <row r="76" spans="1:67" x14ac:dyDescent="0.45">
      <c r="Y76" s="272"/>
      <c r="Z76" s="460" t="s">
        <v>11876</v>
      </c>
      <c r="AA76" s="273"/>
      <c r="AC76" s="272"/>
      <c r="AD76" s="272"/>
      <c r="AE76" s="272"/>
      <c r="AF76" s="272"/>
      <c r="AG76" s="272"/>
      <c r="AH76" s="272"/>
      <c r="AI76" s="272"/>
      <c r="AJ76" s="272"/>
      <c r="AK76" s="272"/>
      <c r="AL76" s="272"/>
      <c r="AM76" s="272"/>
      <c r="AN76" s="272"/>
      <c r="AO76" s="272"/>
      <c r="AP76" s="272"/>
      <c r="BD76" s="273"/>
      <c r="BE76" s="273"/>
      <c r="BF76" s="273"/>
      <c r="BG76" s="273"/>
      <c r="BH76" s="273"/>
      <c r="BI76" s="273"/>
      <c r="BJ76" s="273"/>
      <c r="BK76" s="273"/>
      <c r="BL76" s="273"/>
      <c r="BM76" s="273"/>
      <c r="BN76" s="273"/>
      <c r="BO76" s="273"/>
    </row>
    <row r="77" spans="1:67" x14ac:dyDescent="0.45">
      <c r="Y77" s="272"/>
      <c r="Z77" s="272"/>
      <c r="AA77" s="273"/>
      <c r="AC77" s="272"/>
      <c r="AD77" s="272"/>
      <c r="AE77" s="272"/>
      <c r="AF77" s="272"/>
      <c r="AG77" s="272"/>
      <c r="AH77" s="272"/>
      <c r="AI77" s="272"/>
      <c r="AJ77" s="272"/>
      <c r="AK77" s="272"/>
      <c r="AL77" s="272"/>
      <c r="AM77" s="272"/>
      <c r="AN77" s="272"/>
      <c r="AO77" s="272"/>
      <c r="AP77" s="272"/>
      <c r="BD77" s="273"/>
      <c r="BE77" s="273"/>
      <c r="BF77" s="273"/>
      <c r="BG77" s="273"/>
      <c r="BH77" s="273"/>
      <c r="BI77" s="273"/>
      <c r="BJ77" s="273"/>
      <c r="BK77" s="273"/>
      <c r="BL77" s="273"/>
      <c r="BM77" s="273"/>
      <c r="BN77" s="273"/>
      <c r="BO77" s="273"/>
    </row>
    <row r="78" spans="1:67" x14ac:dyDescent="0.45">
      <c r="Y78" s="272"/>
      <c r="Z78" s="272"/>
      <c r="AA78" s="273"/>
      <c r="AC78" s="272"/>
      <c r="AD78" s="272"/>
      <c r="AE78" s="272"/>
      <c r="AF78" s="272"/>
      <c r="AG78" s="272"/>
      <c r="AH78" s="272"/>
      <c r="AI78" s="272"/>
      <c r="AJ78" s="272"/>
      <c r="AK78" s="272"/>
      <c r="AL78" s="272"/>
      <c r="AM78" s="272"/>
      <c r="AN78" s="272"/>
      <c r="AO78" s="272"/>
      <c r="AP78" s="272"/>
      <c r="BD78" s="273"/>
      <c r="BE78" s="273"/>
      <c r="BF78" s="273"/>
      <c r="BG78" s="273"/>
      <c r="BH78" s="273"/>
      <c r="BI78" s="273"/>
      <c r="BJ78" s="273"/>
      <c r="BK78" s="273"/>
      <c r="BL78" s="273"/>
      <c r="BM78" s="273"/>
      <c r="BN78" s="273"/>
      <c r="BO78" s="273"/>
    </row>
    <row r="79" spans="1:67" x14ac:dyDescent="0.45">
      <c r="Y79" s="272"/>
      <c r="Z79" s="272"/>
      <c r="AA79" s="273"/>
      <c r="AC79" s="272"/>
      <c r="AD79" s="272"/>
      <c r="AE79" s="272"/>
      <c r="AF79" s="272"/>
      <c r="AG79" s="272"/>
      <c r="AH79" s="272"/>
      <c r="AI79" s="272"/>
      <c r="AJ79" s="272"/>
      <c r="AK79" s="272"/>
      <c r="AL79" s="272"/>
      <c r="AM79" s="272"/>
      <c r="AN79" s="272"/>
      <c r="AO79" s="272"/>
      <c r="AP79" s="272"/>
      <c r="BD79" s="273"/>
      <c r="BE79" s="273"/>
      <c r="BF79" s="273"/>
      <c r="BG79" s="273"/>
      <c r="BH79" s="273"/>
      <c r="BI79" s="273"/>
      <c r="BJ79" s="273"/>
      <c r="BK79" s="273"/>
      <c r="BL79" s="273"/>
      <c r="BM79" s="273"/>
      <c r="BN79" s="273"/>
      <c r="BO79" s="273"/>
    </row>
    <row r="80" spans="1:67" x14ac:dyDescent="0.45">
      <c r="Y80" s="272"/>
      <c r="Z80" s="272"/>
      <c r="AA80" s="273"/>
      <c r="AC80" s="272"/>
      <c r="AD80" s="272"/>
      <c r="AE80" s="272"/>
      <c r="AF80" s="272"/>
      <c r="AG80" s="272"/>
      <c r="AH80" s="272"/>
      <c r="AI80" s="272"/>
      <c r="AJ80" s="272"/>
      <c r="AK80" s="272"/>
      <c r="AL80" s="272"/>
      <c r="AM80" s="272"/>
      <c r="AN80" s="272"/>
      <c r="AO80" s="272"/>
      <c r="AP80" s="272"/>
      <c r="BD80" s="273"/>
      <c r="BE80" s="273"/>
      <c r="BF80" s="273"/>
      <c r="BG80" s="273"/>
      <c r="BH80" s="273"/>
      <c r="BI80" s="273"/>
      <c r="BJ80" s="273"/>
      <c r="BK80" s="273"/>
      <c r="BL80" s="273"/>
      <c r="BM80" s="273"/>
      <c r="BN80" s="273"/>
      <c r="BO80" s="273"/>
    </row>
    <row r="81" spans="25:67" x14ac:dyDescent="0.45">
      <c r="Y81" s="272"/>
      <c r="Z81" s="272"/>
      <c r="AA81" s="273"/>
      <c r="AC81" s="272"/>
      <c r="AD81" s="272"/>
      <c r="AE81" s="272"/>
      <c r="AF81" s="272"/>
      <c r="AG81" s="272"/>
      <c r="AH81" s="272"/>
      <c r="AI81" s="272"/>
      <c r="AJ81" s="272"/>
      <c r="AK81" s="272"/>
      <c r="AL81" s="272"/>
      <c r="AM81" s="272"/>
      <c r="AN81" s="272"/>
      <c r="AO81" s="272"/>
      <c r="AP81" s="272"/>
      <c r="BD81" s="273"/>
      <c r="BE81" s="273"/>
      <c r="BF81" s="273"/>
      <c r="BG81" s="273"/>
      <c r="BH81" s="273"/>
      <c r="BI81" s="273"/>
      <c r="BJ81" s="273"/>
      <c r="BK81" s="273"/>
      <c r="BL81" s="273"/>
      <c r="BM81" s="273"/>
      <c r="BN81" s="273"/>
      <c r="BO81" s="273"/>
    </row>
    <row r="82" spans="25:67" x14ac:dyDescent="0.45">
      <c r="Y82" s="272"/>
      <c r="Z82" s="272"/>
      <c r="AA82" s="273"/>
      <c r="AC82" s="272"/>
      <c r="AD82" s="272"/>
      <c r="AE82" s="272"/>
      <c r="AF82" s="272"/>
      <c r="AG82" s="272"/>
      <c r="AH82" s="272"/>
      <c r="AI82" s="272"/>
      <c r="AJ82" s="272"/>
      <c r="AK82" s="272"/>
      <c r="AL82" s="272"/>
      <c r="AM82" s="272"/>
      <c r="AN82" s="272"/>
      <c r="AO82" s="272"/>
      <c r="AP82" s="272"/>
      <c r="BD82" s="273"/>
      <c r="BE82" s="273"/>
      <c r="BF82" s="273"/>
      <c r="BG82" s="273"/>
      <c r="BH82" s="273"/>
      <c r="BI82" s="273"/>
      <c r="BJ82" s="273"/>
      <c r="BK82" s="273"/>
      <c r="BL82" s="273"/>
      <c r="BM82" s="273"/>
      <c r="BN82" s="273"/>
      <c r="BO82" s="273"/>
    </row>
    <row r="83" spans="25:67" x14ac:dyDescent="0.45">
      <c r="Y83" s="272"/>
      <c r="Z83" s="272"/>
      <c r="AA83" s="273"/>
      <c r="AC83" s="272"/>
      <c r="AD83" s="272"/>
      <c r="AE83" s="272"/>
      <c r="AF83" s="272"/>
      <c r="AG83" s="272"/>
      <c r="AH83" s="272"/>
      <c r="AI83" s="272"/>
      <c r="AJ83" s="272"/>
      <c r="AK83" s="272"/>
      <c r="AL83" s="272"/>
      <c r="AM83" s="272"/>
      <c r="AN83" s="272"/>
      <c r="AO83" s="272"/>
      <c r="AP83" s="272"/>
      <c r="BD83" s="273"/>
      <c r="BE83" s="273"/>
      <c r="BF83" s="273"/>
      <c r="BG83" s="273"/>
      <c r="BH83" s="273"/>
      <c r="BI83" s="273"/>
      <c r="BJ83" s="273"/>
      <c r="BK83" s="273"/>
      <c r="BL83" s="273"/>
      <c r="BM83" s="273"/>
      <c r="BN83" s="273"/>
      <c r="BO83" s="273"/>
    </row>
  </sheetData>
  <mergeCells count="696">
    <mergeCell ref="A12:C12"/>
    <mergeCell ref="A11:C11"/>
    <mergeCell ref="F13:H13"/>
    <mergeCell ref="F14:H14"/>
    <mergeCell ref="A17:A18"/>
    <mergeCell ref="B17:C18"/>
    <mergeCell ref="D17:E17"/>
    <mergeCell ref="D18:E18"/>
    <mergeCell ref="F15:H15"/>
    <mergeCell ref="A15:A16"/>
    <mergeCell ref="B15:C16"/>
    <mergeCell ref="F17:H17"/>
    <mergeCell ref="F18:H18"/>
    <mergeCell ref="F16:H16"/>
    <mergeCell ref="AF4:AK4"/>
    <mergeCell ref="AF5:AK5"/>
    <mergeCell ref="A13:A14"/>
    <mergeCell ref="B13:C14"/>
    <mergeCell ref="D13:E13"/>
    <mergeCell ref="D14:E14"/>
    <mergeCell ref="AF6:AK6"/>
    <mergeCell ref="AF7:AK7"/>
    <mergeCell ref="D15:E15"/>
    <mergeCell ref="AF13:AG13"/>
    <mergeCell ref="AH13:AJ13"/>
    <mergeCell ref="V14:X14"/>
    <mergeCell ref="P13:Q13"/>
    <mergeCell ref="P15:Q15"/>
    <mergeCell ref="D11:O11"/>
    <mergeCell ref="D7:I7"/>
    <mergeCell ref="P4:U4"/>
    <mergeCell ref="P5:U5"/>
    <mergeCell ref="J4:O4"/>
    <mergeCell ref="P14:Q14"/>
    <mergeCell ref="M12:O12"/>
    <mergeCell ref="M15:O15"/>
    <mergeCell ref="J15:L15"/>
    <mergeCell ref="J14:L14"/>
    <mergeCell ref="A1:AA1"/>
    <mergeCell ref="AC1:BC1"/>
    <mergeCell ref="AC10:AE10"/>
    <mergeCell ref="A10:C10"/>
    <mergeCell ref="AF3:BC3"/>
    <mergeCell ref="AX4:BC4"/>
    <mergeCell ref="AL4:AQ4"/>
    <mergeCell ref="AR4:AW4"/>
    <mergeCell ref="AX7:BC7"/>
    <mergeCell ref="AR5:AW5"/>
    <mergeCell ref="J6:O6"/>
    <mergeCell ref="D6:I6"/>
    <mergeCell ref="V4:AA4"/>
    <mergeCell ref="V5:AA5"/>
    <mergeCell ref="V7:AA7"/>
    <mergeCell ref="V6:AA6"/>
    <mergeCell ref="J5:O5"/>
    <mergeCell ref="J7:O7"/>
    <mergeCell ref="A3:C3"/>
    <mergeCell ref="A4:C4"/>
    <mergeCell ref="A5:C7"/>
    <mergeCell ref="D3:AA3"/>
    <mergeCell ref="D4:I4"/>
    <mergeCell ref="D5:I5"/>
    <mergeCell ref="AC74:AC75"/>
    <mergeCell ref="AD74:AE74"/>
    <mergeCell ref="AO74:AO75"/>
    <mergeCell ref="AP74:AP75"/>
    <mergeCell ref="AD75:AE75"/>
    <mergeCell ref="AO72:AO73"/>
    <mergeCell ref="AD73:AE73"/>
    <mergeCell ref="AQ72:AQ73"/>
    <mergeCell ref="AR72:AR73"/>
    <mergeCell ref="AD72:AE72"/>
    <mergeCell ref="AP72:AP73"/>
    <mergeCell ref="BA69:BB69"/>
    <mergeCell ref="AY69:AZ69"/>
    <mergeCell ref="AU69:AV69"/>
    <mergeCell ref="AW69:AX69"/>
    <mergeCell ref="AF69:AH69"/>
    <mergeCell ref="AI69:AK69"/>
    <mergeCell ref="AQ74:AQ75"/>
    <mergeCell ref="AR74:AR75"/>
    <mergeCell ref="AS74:AS75"/>
    <mergeCell ref="AS72:AS73"/>
    <mergeCell ref="AZ74:AZ75"/>
    <mergeCell ref="BA74:BB75"/>
    <mergeCell ref="AY74:AY75"/>
    <mergeCell ref="AY72:AY73"/>
    <mergeCell ref="AZ72:AZ73"/>
    <mergeCell ref="BA72:BB73"/>
    <mergeCell ref="AT74:AT75"/>
    <mergeCell ref="AW72:AX73"/>
    <mergeCell ref="AU74:AU75"/>
    <mergeCell ref="AV74:AV75"/>
    <mergeCell ref="AW74:AX75"/>
    <mergeCell ref="AU72:AU73"/>
    <mergeCell ref="AT72:AT73"/>
    <mergeCell ref="AV72:AV73"/>
    <mergeCell ref="BA70:BB71"/>
    <mergeCell ref="AY70:AY71"/>
    <mergeCell ref="AZ70:AZ71"/>
    <mergeCell ref="AC70:AC71"/>
    <mergeCell ref="AD70:AE70"/>
    <mergeCell ref="AO70:AO71"/>
    <mergeCell ref="AP70:AP71"/>
    <mergeCell ref="AD71:AE71"/>
    <mergeCell ref="AT70:AT71"/>
    <mergeCell ref="AQ70:AQ71"/>
    <mergeCell ref="AR70:AR71"/>
    <mergeCell ref="AS70:AS71"/>
    <mergeCell ref="AW70:AX71"/>
    <mergeCell ref="AU70:AU71"/>
    <mergeCell ref="AV70:AV71"/>
    <mergeCell ref="BA66:BB67"/>
    <mergeCell ref="AS64:AS65"/>
    <mergeCell ref="AY64:AY65"/>
    <mergeCell ref="AZ64:AZ65"/>
    <mergeCell ref="BA64:BB65"/>
    <mergeCell ref="AZ66:AZ67"/>
    <mergeCell ref="AT64:AT65"/>
    <mergeCell ref="AU64:AU65"/>
    <mergeCell ref="AV64:AV65"/>
    <mergeCell ref="AW64:AX65"/>
    <mergeCell ref="AY66:AY67"/>
    <mergeCell ref="AW66:AX67"/>
    <mergeCell ref="AQ66:AQ67"/>
    <mergeCell ref="AR66:AR67"/>
    <mergeCell ref="AS66:AS67"/>
    <mergeCell ref="AT66:AT67"/>
    <mergeCell ref="AU66:AU67"/>
    <mergeCell ref="AV66:AV67"/>
    <mergeCell ref="AL69:AN69"/>
    <mergeCell ref="AC69:AE69"/>
    <mergeCell ref="AP66:AP67"/>
    <mergeCell ref="AD67:AE67"/>
    <mergeCell ref="AC66:AC67"/>
    <mergeCell ref="AD66:AE66"/>
    <mergeCell ref="AO66:AO67"/>
    <mergeCell ref="AC64:AC65"/>
    <mergeCell ref="AW61:AX61"/>
    <mergeCell ref="AU61:AV61"/>
    <mergeCell ref="AS62:AS63"/>
    <mergeCell ref="AC62:AC63"/>
    <mergeCell ref="AQ62:AQ63"/>
    <mergeCell ref="AR62:AR63"/>
    <mergeCell ref="AP62:AP63"/>
    <mergeCell ref="AC58:AC59"/>
    <mergeCell ref="AD58:AE58"/>
    <mergeCell ref="AW58:AX59"/>
    <mergeCell ref="AV62:AV63"/>
    <mergeCell ref="AU62:AU63"/>
    <mergeCell ref="AY62:AY63"/>
    <mergeCell ref="AW62:AX63"/>
    <mergeCell ref="AZ58:AZ59"/>
    <mergeCell ref="AZ62:AZ63"/>
    <mergeCell ref="AC61:AE61"/>
    <mergeCell ref="AF61:AH61"/>
    <mergeCell ref="AI61:AK61"/>
    <mergeCell ref="BA61:BB61"/>
    <mergeCell ref="AY61:AZ61"/>
    <mergeCell ref="BA62:BB63"/>
    <mergeCell ref="AD62:AE62"/>
    <mergeCell ref="AO62:AO63"/>
    <mergeCell ref="AD63:AE63"/>
    <mergeCell ref="AL61:AN61"/>
    <mergeCell ref="AT62:AT63"/>
    <mergeCell ref="AV56:AV57"/>
    <mergeCell ref="AW56:AX57"/>
    <mergeCell ref="BA56:BB57"/>
    <mergeCell ref="AO56:AO57"/>
    <mergeCell ref="AP56:AP57"/>
    <mergeCell ref="AQ58:AQ59"/>
    <mergeCell ref="AY56:AY57"/>
    <mergeCell ref="AZ56:AZ57"/>
    <mergeCell ref="AS58:AS59"/>
    <mergeCell ref="AS56:AS57"/>
    <mergeCell ref="AY58:AY59"/>
    <mergeCell ref="AT58:AT59"/>
    <mergeCell ref="AQ56:AQ57"/>
    <mergeCell ref="AR56:AR57"/>
    <mergeCell ref="AT56:AT57"/>
    <mergeCell ref="AR58:AR59"/>
    <mergeCell ref="AU56:AU57"/>
    <mergeCell ref="BA58:BB59"/>
    <mergeCell ref="AU58:AU59"/>
    <mergeCell ref="AV58:AV59"/>
    <mergeCell ref="AO58:AO59"/>
    <mergeCell ref="BA54:BB55"/>
    <mergeCell ref="AY54:AY55"/>
    <mergeCell ref="AU50:AU51"/>
    <mergeCell ref="AU54:AU55"/>
    <mergeCell ref="BA53:BB53"/>
    <mergeCell ref="AY53:AZ53"/>
    <mergeCell ref="AZ54:AZ55"/>
    <mergeCell ref="BA50:BB51"/>
    <mergeCell ref="AY50:AY51"/>
    <mergeCell ref="AZ50:AZ51"/>
    <mergeCell ref="AW54:AX55"/>
    <mergeCell ref="AV54:AV55"/>
    <mergeCell ref="AW53:AX53"/>
    <mergeCell ref="AV50:AV51"/>
    <mergeCell ref="AU53:AV53"/>
    <mergeCell ref="S61:T61"/>
    <mergeCell ref="U72:V73"/>
    <mergeCell ref="Y56:Z57"/>
    <mergeCell ref="AT48:AT49"/>
    <mergeCell ref="Y58:Z59"/>
    <mergeCell ref="X74:X75"/>
    <mergeCell ref="Y74:Z75"/>
    <mergeCell ref="X66:X67"/>
    <mergeCell ref="Y72:Z73"/>
    <mergeCell ref="W69:X69"/>
    <mergeCell ref="Y70:Z71"/>
    <mergeCell ref="U56:V57"/>
    <mergeCell ref="AS48:AS49"/>
    <mergeCell ref="W66:W67"/>
    <mergeCell ref="Y64:Z65"/>
    <mergeCell ref="Y61:Z61"/>
    <mergeCell ref="Y54:Z55"/>
    <mergeCell ref="AF53:AH53"/>
    <mergeCell ref="AT50:AT51"/>
    <mergeCell ref="AR50:AR51"/>
    <mergeCell ref="AP54:AP55"/>
    <mergeCell ref="AP58:AP59"/>
    <mergeCell ref="AD57:AE57"/>
    <mergeCell ref="AD56:AE56"/>
    <mergeCell ref="AO54:AO55"/>
    <mergeCell ref="AT54:AT55"/>
    <mergeCell ref="Y66:Z67"/>
    <mergeCell ref="Y69:Z69"/>
    <mergeCell ref="U74:V75"/>
    <mergeCell ref="X58:X59"/>
    <mergeCell ref="W72:W73"/>
    <mergeCell ref="W70:W71"/>
    <mergeCell ref="X70:X71"/>
    <mergeCell ref="W74:W75"/>
    <mergeCell ref="X72:X73"/>
    <mergeCell ref="X62:X63"/>
    <mergeCell ref="Y62:Z63"/>
    <mergeCell ref="AS54:AS55"/>
    <mergeCell ref="AR54:AR55"/>
    <mergeCell ref="AD59:AE59"/>
    <mergeCell ref="AC56:AC57"/>
    <mergeCell ref="AD64:AE64"/>
    <mergeCell ref="AO64:AO65"/>
    <mergeCell ref="AP64:AP65"/>
    <mergeCell ref="AD65:AE65"/>
    <mergeCell ref="AQ64:AQ65"/>
    <mergeCell ref="AR64:AR65"/>
    <mergeCell ref="AC72:AC73"/>
    <mergeCell ref="R62:R63"/>
    <mergeCell ref="U62:V63"/>
    <mergeCell ref="O64:O65"/>
    <mergeCell ref="P64:P65"/>
    <mergeCell ref="Q64:Q65"/>
    <mergeCell ref="R64:R65"/>
    <mergeCell ref="S62:S63"/>
    <mergeCell ref="T62:T63"/>
    <mergeCell ref="Q72:Q73"/>
    <mergeCell ref="P70:P71"/>
    <mergeCell ref="R72:R73"/>
    <mergeCell ref="S72:S73"/>
    <mergeCell ref="P72:P73"/>
    <mergeCell ref="Q70:Q71"/>
    <mergeCell ref="R70:R71"/>
    <mergeCell ref="O66:O67"/>
    <mergeCell ref="P66:P67"/>
    <mergeCell ref="Q66:Q67"/>
    <mergeCell ref="T74:T75"/>
    <mergeCell ref="O70:O71"/>
    <mergeCell ref="O72:O73"/>
    <mergeCell ref="A74:A75"/>
    <mergeCell ref="B74:C74"/>
    <mergeCell ref="M74:M75"/>
    <mergeCell ref="N74:N75"/>
    <mergeCell ref="B75:C75"/>
    <mergeCell ref="T72:T73"/>
    <mergeCell ref="A70:A71"/>
    <mergeCell ref="A72:A73"/>
    <mergeCell ref="O74:O75"/>
    <mergeCell ref="R74:R75"/>
    <mergeCell ref="B70:C70"/>
    <mergeCell ref="N72:N73"/>
    <mergeCell ref="B73:C73"/>
    <mergeCell ref="B71:C71"/>
    <mergeCell ref="M70:M71"/>
    <mergeCell ref="N70:N71"/>
    <mergeCell ref="P74:P75"/>
    <mergeCell ref="Q74:Q75"/>
    <mergeCell ref="B72:C72"/>
    <mergeCell ref="M72:M73"/>
    <mergeCell ref="S74:S75"/>
    <mergeCell ref="N66:N67"/>
    <mergeCell ref="A66:A67"/>
    <mergeCell ref="S66:S67"/>
    <mergeCell ref="R66:R67"/>
    <mergeCell ref="B66:C66"/>
    <mergeCell ref="M66:M67"/>
    <mergeCell ref="B67:C67"/>
    <mergeCell ref="U70:V71"/>
    <mergeCell ref="S70:S71"/>
    <mergeCell ref="S69:T69"/>
    <mergeCell ref="T70:T71"/>
    <mergeCell ref="U69:V69"/>
    <mergeCell ref="T66:T67"/>
    <mergeCell ref="J69:L69"/>
    <mergeCell ref="A69:C69"/>
    <mergeCell ref="D69:F69"/>
    <mergeCell ref="G69:I69"/>
    <mergeCell ref="U66:V67"/>
    <mergeCell ref="A64:A65"/>
    <mergeCell ref="B64:C64"/>
    <mergeCell ref="M64:M65"/>
    <mergeCell ref="N64:N65"/>
    <mergeCell ref="B65:C65"/>
    <mergeCell ref="Q62:Q63"/>
    <mergeCell ref="B62:C62"/>
    <mergeCell ref="M62:M63"/>
    <mergeCell ref="N62:N63"/>
    <mergeCell ref="B63:C63"/>
    <mergeCell ref="A62:A63"/>
    <mergeCell ref="A58:A59"/>
    <mergeCell ref="M58:M59"/>
    <mergeCell ref="G61:I61"/>
    <mergeCell ref="J61:L61"/>
    <mergeCell ref="O58:O59"/>
    <mergeCell ref="O62:O63"/>
    <mergeCell ref="P62:P63"/>
    <mergeCell ref="W62:W63"/>
    <mergeCell ref="X64:X65"/>
    <mergeCell ref="S64:S65"/>
    <mergeCell ref="T64:T65"/>
    <mergeCell ref="U64:V65"/>
    <mergeCell ref="W64:W65"/>
    <mergeCell ref="W61:X61"/>
    <mergeCell ref="P58:P59"/>
    <mergeCell ref="Q58:Q59"/>
    <mergeCell ref="R58:R59"/>
    <mergeCell ref="U58:V59"/>
    <mergeCell ref="T58:T59"/>
    <mergeCell ref="S58:S59"/>
    <mergeCell ref="U61:V61"/>
    <mergeCell ref="W58:W59"/>
    <mergeCell ref="N58:N59"/>
    <mergeCell ref="B59:C59"/>
    <mergeCell ref="A61:C61"/>
    <mergeCell ref="D61:F61"/>
    <mergeCell ref="B58:C58"/>
    <mergeCell ref="O56:O57"/>
    <mergeCell ref="BA12:BC12"/>
    <mergeCell ref="BA13:BC13"/>
    <mergeCell ref="AL53:AN53"/>
    <mergeCell ref="AC48:AC49"/>
    <mergeCell ref="AD48:AE48"/>
    <mergeCell ref="AX13:AZ13"/>
    <mergeCell ref="AO50:AO51"/>
    <mergeCell ref="AF14:AG14"/>
    <mergeCell ref="AR13:AS13"/>
    <mergeCell ref="AO15:AQ15"/>
    <mergeCell ref="AC54:AC55"/>
    <mergeCell ref="AD54:AE54"/>
    <mergeCell ref="AP48:AP49"/>
    <mergeCell ref="AQ48:AQ49"/>
    <mergeCell ref="AO46:AO47"/>
    <mergeCell ref="X56:X57"/>
    <mergeCell ref="AQ54:AQ55"/>
    <mergeCell ref="AD55:AE55"/>
    <mergeCell ref="AC53:AE53"/>
    <mergeCell ref="Y50:Z51"/>
    <mergeCell ref="BA45:BB45"/>
    <mergeCell ref="AY45:AZ45"/>
    <mergeCell ref="AW45:AX45"/>
    <mergeCell ref="AD50:AE50"/>
    <mergeCell ref="AD49:AE49"/>
    <mergeCell ref="AD51:AE51"/>
    <mergeCell ref="AY48:AY49"/>
    <mergeCell ref="AR48:AR49"/>
    <mergeCell ref="AF45:AH45"/>
    <mergeCell ref="AP50:AP51"/>
    <mergeCell ref="AV46:AV47"/>
    <mergeCell ref="BA46:BB47"/>
    <mergeCell ref="AT46:AT47"/>
    <mergeCell ref="AR46:AR47"/>
    <mergeCell ref="BA48:BB49"/>
    <mergeCell ref="AW48:AX49"/>
    <mergeCell ref="AU48:AU49"/>
    <mergeCell ref="AV48:AV49"/>
    <mergeCell ref="AY46:AY47"/>
    <mergeCell ref="AW46:AX47"/>
    <mergeCell ref="AZ46:AZ47"/>
    <mergeCell ref="AW50:AX51"/>
    <mergeCell ref="AS50:AS51"/>
    <mergeCell ref="AZ48:AZ49"/>
    <mergeCell ref="AQ50:AQ51"/>
    <mergeCell ref="M54:M55"/>
    <mergeCell ref="N54:N55"/>
    <mergeCell ref="AI45:AK45"/>
    <mergeCell ref="AL45:AN45"/>
    <mergeCell ref="U45:V45"/>
    <mergeCell ref="R21:T21"/>
    <mergeCell ref="M46:M47"/>
    <mergeCell ref="AC46:AC47"/>
    <mergeCell ref="AD46:AE46"/>
    <mergeCell ref="U46:V47"/>
    <mergeCell ref="S50:S51"/>
    <mergeCell ref="S48:S49"/>
    <mergeCell ref="AL24:AN24"/>
    <mergeCell ref="Y53:Z53"/>
    <mergeCell ref="U53:V53"/>
    <mergeCell ref="AI53:AK53"/>
    <mergeCell ref="O48:O49"/>
    <mergeCell ref="N48:N49"/>
    <mergeCell ref="AO48:AO49"/>
    <mergeCell ref="Y48:Z49"/>
    <mergeCell ref="AC50:AC51"/>
    <mergeCell ref="M50:M51"/>
    <mergeCell ref="W53:X53"/>
    <mergeCell ref="AS46:AS47"/>
    <mergeCell ref="AU46:AU47"/>
    <mergeCell ref="AU45:AV45"/>
    <mergeCell ref="AT24:AV24"/>
    <mergeCell ref="V17:X17"/>
    <mergeCell ref="V19:X19"/>
    <mergeCell ref="AQ46:AQ47"/>
    <mergeCell ref="Q46:Q47"/>
    <mergeCell ref="P46:P47"/>
    <mergeCell ref="AF19:AG19"/>
    <mergeCell ref="AF21:AG21"/>
    <mergeCell ref="AD19:AE20"/>
    <mergeCell ref="AF20:AG20"/>
    <mergeCell ref="Y20:AA20"/>
    <mergeCell ref="P22:Q22"/>
    <mergeCell ref="V24:X24"/>
    <mergeCell ref="Y24:AA24"/>
    <mergeCell ref="AP46:AP47"/>
    <mergeCell ref="R22:T22"/>
    <mergeCell ref="Y22:AA22"/>
    <mergeCell ref="V22:X22"/>
    <mergeCell ref="R24:T24"/>
    <mergeCell ref="AF23:AG23"/>
    <mergeCell ref="AF22:AG22"/>
    <mergeCell ref="A48:A49"/>
    <mergeCell ref="B48:C48"/>
    <mergeCell ref="M48:M49"/>
    <mergeCell ref="A50:A51"/>
    <mergeCell ref="B50:C50"/>
    <mergeCell ref="A54:A55"/>
    <mergeCell ref="B54:C54"/>
    <mergeCell ref="O54:O55"/>
    <mergeCell ref="B55:C55"/>
    <mergeCell ref="B51:C51"/>
    <mergeCell ref="A53:C53"/>
    <mergeCell ref="O50:O51"/>
    <mergeCell ref="B49:C49"/>
    <mergeCell ref="J53:L53"/>
    <mergeCell ref="P56:P57"/>
    <mergeCell ref="Q56:Q57"/>
    <mergeCell ref="A56:A57"/>
    <mergeCell ref="B56:C56"/>
    <mergeCell ref="M56:M57"/>
    <mergeCell ref="N56:N57"/>
    <mergeCell ref="B57:C57"/>
    <mergeCell ref="P54:P55"/>
    <mergeCell ref="Q54:Q55"/>
    <mergeCell ref="T56:T57"/>
    <mergeCell ref="W54:W55"/>
    <mergeCell ref="X54:X55"/>
    <mergeCell ref="U54:V55"/>
    <mergeCell ref="T54:T55"/>
    <mergeCell ref="R56:R57"/>
    <mergeCell ref="S56:S57"/>
    <mergeCell ref="R54:R55"/>
    <mergeCell ref="S54:S55"/>
    <mergeCell ref="W56:W57"/>
    <mergeCell ref="X50:X51"/>
    <mergeCell ref="W50:W51"/>
    <mergeCell ref="R50:R51"/>
    <mergeCell ref="J23:L23"/>
    <mergeCell ref="AC5:AE7"/>
    <mergeCell ref="AC11:AE11"/>
    <mergeCell ref="W48:W49"/>
    <mergeCell ref="AX5:BC5"/>
    <mergeCell ref="AX6:BC6"/>
    <mergeCell ref="AF11:AQ11"/>
    <mergeCell ref="AR6:AW6"/>
    <mergeCell ref="AR7:AW7"/>
    <mergeCell ref="AR11:BC11"/>
    <mergeCell ref="AL6:AQ6"/>
    <mergeCell ref="AL7:AQ7"/>
    <mergeCell ref="AL5:AQ5"/>
    <mergeCell ref="P6:U6"/>
    <mergeCell ref="AO12:AQ12"/>
    <mergeCell ref="P7:U7"/>
    <mergeCell ref="P11:AA11"/>
    <mergeCell ref="Y12:AA12"/>
    <mergeCell ref="J13:L13"/>
    <mergeCell ref="J22:L22"/>
    <mergeCell ref="P48:P49"/>
    <mergeCell ref="M16:O16"/>
    <mergeCell ref="M17:O17"/>
    <mergeCell ref="F19:H19"/>
    <mergeCell ref="J20:L20"/>
    <mergeCell ref="J19:L19"/>
    <mergeCell ref="D45:F45"/>
    <mergeCell ref="J16:L16"/>
    <mergeCell ref="J21:L21"/>
    <mergeCell ref="J45:L45"/>
    <mergeCell ref="M24:O24"/>
    <mergeCell ref="D16:E16"/>
    <mergeCell ref="M23:O23"/>
    <mergeCell ref="R20:T20"/>
    <mergeCell ref="Y19:AA19"/>
    <mergeCell ref="M18:O18"/>
    <mergeCell ref="A19:A20"/>
    <mergeCell ref="B19:C20"/>
    <mergeCell ref="D19:E19"/>
    <mergeCell ref="D22:E22"/>
    <mergeCell ref="F22:H22"/>
    <mergeCell ref="B21:C22"/>
    <mergeCell ref="D21:E21"/>
    <mergeCell ref="F21:H21"/>
    <mergeCell ref="M22:O22"/>
    <mergeCell ref="M21:O21"/>
    <mergeCell ref="P23:Q23"/>
    <mergeCell ref="M20:O20"/>
    <mergeCell ref="M19:O19"/>
    <mergeCell ref="J18:L18"/>
    <mergeCell ref="A45:C45"/>
    <mergeCell ref="A23:A24"/>
    <mergeCell ref="B23:C24"/>
    <mergeCell ref="F24:H24"/>
    <mergeCell ref="D24:E24"/>
    <mergeCell ref="G45:I45"/>
    <mergeCell ref="A21:A22"/>
    <mergeCell ref="J24:L24"/>
    <mergeCell ref="P24:Q24"/>
    <mergeCell ref="A46:A47"/>
    <mergeCell ref="B46:C46"/>
    <mergeCell ref="B47:C47"/>
    <mergeCell ref="D23:E23"/>
    <mergeCell ref="F23:H23"/>
    <mergeCell ref="AC3:AE3"/>
    <mergeCell ref="AC4:AE4"/>
    <mergeCell ref="AC13:AC14"/>
    <mergeCell ref="AD13:AE14"/>
    <mergeCell ref="AC12:AE12"/>
    <mergeCell ref="S45:T45"/>
    <mergeCell ref="V21:X21"/>
    <mergeCell ref="V20:X20"/>
    <mergeCell ref="AD21:AE22"/>
    <mergeCell ref="AC23:AC24"/>
    <mergeCell ref="R23:T23"/>
    <mergeCell ref="Y13:AA13"/>
    <mergeCell ref="Y14:AA14"/>
    <mergeCell ref="V15:X15"/>
    <mergeCell ref="Y15:AA15"/>
    <mergeCell ref="V13:X13"/>
    <mergeCell ref="R14:T14"/>
    <mergeCell ref="R13:T13"/>
    <mergeCell ref="AC17:AC18"/>
    <mergeCell ref="Y23:AA23"/>
    <mergeCell ref="V23:X23"/>
    <mergeCell ref="X48:X49"/>
    <mergeCell ref="AC45:AE45"/>
    <mergeCell ref="W46:W47"/>
    <mergeCell ref="Y45:Z45"/>
    <mergeCell ref="X46:X47"/>
    <mergeCell ref="Y46:Z47"/>
    <mergeCell ref="W45:X45"/>
    <mergeCell ref="AD47:AE47"/>
    <mergeCell ref="Q48:Q49"/>
    <mergeCell ref="AO14:AQ14"/>
    <mergeCell ref="AT15:AV15"/>
    <mergeCell ref="AR15:AS15"/>
    <mergeCell ref="AH14:AJ14"/>
    <mergeCell ref="AO13:AQ13"/>
    <mergeCell ref="AL14:AN14"/>
    <mergeCell ref="AR24:AS24"/>
    <mergeCell ref="AL13:AN13"/>
    <mergeCell ref="AT13:AV13"/>
    <mergeCell ref="AL18:AN18"/>
    <mergeCell ref="AT18:AV18"/>
    <mergeCell ref="AR18:AS18"/>
    <mergeCell ref="AO17:AQ17"/>
    <mergeCell ref="AL17:AN17"/>
    <mergeCell ref="AO16:AQ16"/>
    <mergeCell ref="AL16:AN16"/>
    <mergeCell ref="AL15:AN15"/>
    <mergeCell ref="AH19:AJ19"/>
    <mergeCell ref="AH21:AJ21"/>
    <mergeCell ref="AH20:AJ20"/>
    <mergeCell ref="AO18:AQ18"/>
    <mergeCell ref="AT16:AV16"/>
    <mergeCell ref="AH22:AJ22"/>
    <mergeCell ref="BA14:BC14"/>
    <mergeCell ref="AR14:AS14"/>
    <mergeCell ref="AT14:AV14"/>
    <mergeCell ref="AX14:AZ14"/>
    <mergeCell ref="BA15:BC15"/>
    <mergeCell ref="BA16:BC16"/>
    <mergeCell ref="AX15:AZ15"/>
    <mergeCell ref="AR16:AS16"/>
    <mergeCell ref="AX16:AZ16"/>
    <mergeCell ref="AX24:AZ24"/>
    <mergeCell ref="AO24:AQ24"/>
    <mergeCell ref="AO23:AQ23"/>
    <mergeCell ref="AX22:AZ22"/>
    <mergeCell ref="AT22:AV22"/>
    <mergeCell ref="AR22:AS22"/>
    <mergeCell ref="AX23:AZ23"/>
    <mergeCell ref="P19:Q19"/>
    <mergeCell ref="P16:Q16"/>
    <mergeCell ref="P17:Q17"/>
    <mergeCell ref="P18:Q18"/>
    <mergeCell ref="AF16:AG16"/>
    <mergeCell ref="AH16:AJ16"/>
    <mergeCell ref="AF17:AG17"/>
    <mergeCell ref="AH17:AJ17"/>
    <mergeCell ref="AF18:AG18"/>
    <mergeCell ref="AH18:AJ18"/>
    <mergeCell ref="AD17:AE18"/>
    <mergeCell ref="AC21:AC22"/>
    <mergeCell ref="Y21:AA21"/>
    <mergeCell ref="AH24:AJ24"/>
    <mergeCell ref="AF24:AG24"/>
    <mergeCell ref="AD23:AE24"/>
    <mergeCell ref="AH23:AJ23"/>
    <mergeCell ref="M13:O13"/>
    <mergeCell ref="M14:O14"/>
    <mergeCell ref="J17:L17"/>
    <mergeCell ref="R46:R47"/>
    <mergeCell ref="D53:F53"/>
    <mergeCell ref="U48:V49"/>
    <mergeCell ref="U50:V51"/>
    <mergeCell ref="R48:R49"/>
    <mergeCell ref="T48:T49"/>
    <mergeCell ref="T50:T51"/>
    <mergeCell ref="T46:T47"/>
    <mergeCell ref="S46:S47"/>
    <mergeCell ref="O46:O47"/>
    <mergeCell ref="N46:N47"/>
    <mergeCell ref="R15:T15"/>
    <mergeCell ref="D20:E20"/>
    <mergeCell ref="F20:H20"/>
    <mergeCell ref="P21:Q21"/>
    <mergeCell ref="P20:Q20"/>
    <mergeCell ref="N50:N51"/>
    <mergeCell ref="G53:I53"/>
    <mergeCell ref="S53:T53"/>
    <mergeCell ref="Q50:Q51"/>
    <mergeCell ref="P50:P51"/>
    <mergeCell ref="AH15:AJ15"/>
    <mergeCell ref="V16:X16"/>
    <mergeCell ref="AC15:AC16"/>
    <mergeCell ref="AD15:AE16"/>
    <mergeCell ref="AF15:AG15"/>
    <mergeCell ref="R16:T16"/>
    <mergeCell ref="Y16:AA16"/>
    <mergeCell ref="BA24:BC24"/>
    <mergeCell ref="AT23:AV23"/>
    <mergeCell ref="AO22:AQ22"/>
    <mergeCell ref="AL22:AN22"/>
    <mergeCell ref="AO21:AQ21"/>
    <mergeCell ref="AR23:AS23"/>
    <mergeCell ref="AX18:AZ18"/>
    <mergeCell ref="AR17:AS17"/>
    <mergeCell ref="R17:T17"/>
    <mergeCell ref="R18:T18"/>
    <mergeCell ref="V18:X18"/>
    <mergeCell ref="Y17:AA17"/>
    <mergeCell ref="Y18:AA18"/>
    <mergeCell ref="R19:T19"/>
    <mergeCell ref="BA19:BC19"/>
    <mergeCell ref="AC19:AC20"/>
    <mergeCell ref="AL19:AN19"/>
    <mergeCell ref="AX21:AZ21"/>
    <mergeCell ref="AT21:AV21"/>
    <mergeCell ref="AR21:AS21"/>
    <mergeCell ref="BA17:BC17"/>
    <mergeCell ref="BA18:BC18"/>
    <mergeCell ref="BA23:BC23"/>
    <mergeCell ref="AX19:AZ19"/>
    <mergeCell ref="AL20:AN20"/>
    <mergeCell ref="AR20:AS20"/>
    <mergeCell ref="AT20:AV20"/>
    <mergeCell ref="AX20:AZ20"/>
    <mergeCell ref="AO19:AQ19"/>
    <mergeCell ref="AL23:AN23"/>
    <mergeCell ref="AT19:AV19"/>
    <mergeCell ref="BA20:BC20"/>
    <mergeCell ref="BA21:BC21"/>
    <mergeCell ref="BA22:BC22"/>
    <mergeCell ref="AO20:AQ20"/>
    <mergeCell ref="AL21:AN21"/>
    <mergeCell ref="AR19:AS19"/>
    <mergeCell ref="AX17:AZ17"/>
    <mergeCell ref="AT17:AV17"/>
  </mergeCells>
  <phoneticPr fontId="5"/>
  <printOptions horizontalCentered="1" verticalCentered="1"/>
  <pageMargins left="0.39370078740157483" right="0.39370078740157483" top="0.39370078740157483" bottom="0.39370078740157483" header="0.51181102362204722" footer="0.51181102362204722"/>
  <pageSetup paperSize="9"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pageSetUpPr fitToPage="1"/>
  </sheetPr>
  <dimension ref="A1:AC89"/>
  <sheetViews>
    <sheetView zoomScale="70" zoomScaleNormal="70" workbookViewId="0">
      <selection activeCell="G3" sqref="G3:L3"/>
    </sheetView>
  </sheetViews>
  <sheetFormatPr defaultColWidth="9" defaultRowHeight="20.25" customHeight="1" x14ac:dyDescent="0.45"/>
  <cols>
    <col min="1" max="1" width="12.1328125" style="9" customWidth="1"/>
    <col min="2" max="2" width="11.86328125" style="9" bestFit="1" customWidth="1"/>
    <col min="3" max="3" width="3.1328125" style="9" customWidth="1"/>
    <col min="4" max="4" width="6.7265625" style="9" bestFit="1" customWidth="1"/>
    <col min="5" max="5" width="10.1328125" style="9" bestFit="1" customWidth="1"/>
    <col min="6" max="6" width="20.6328125" style="9" customWidth="1"/>
    <col min="7" max="7" width="7.6328125" style="9" customWidth="1"/>
    <col min="8" max="9" width="4.86328125" style="9" customWidth="1"/>
    <col min="10" max="10" width="5.2265625" style="9" customWidth="1"/>
    <col min="11" max="12" width="4.86328125" style="9" customWidth="1"/>
    <col min="13" max="13" width="7.6328125" style="9" customWidth="1"/>
    <col min="14" max="14" width="20.6328125" style="9" customWidth="1"/>
    <col min="15" max="15" width="5" style="9" bestFit="1" customWidth="1"/>
    <col min="16" max="16" width="12.1328125" style="9" customWidth="1"/>
    <col min="17" max="17" width="11.86328125" style="9" bestFit="1" customWidth="1"/>
    <col min="18" max="18" width="3.1328125" style="9" customWidth="1"/>
    <col min="19" max="19" width="6.7265625" style="9" bestFit="1" customWidth="1"/>
    <col min="20" max="20" width="10.1328125" style="9" bestFit="1" customWidth="1"/>
    <col min="21" max="21" width="20.6328125" style="9" customWidth="1"/>
    <col min="22" max="22" width="7.6328125" style="9" customWidth="1"/>
    <col min="23" max="24" width="4.86328125" style="9" customWidth="1"/>
    <col min="25" max="25" width="5.2265625" style="9" customWidth="1"/>
    <col min="26" max="27" width="4.86328125" style="9" customWidth="1"/>
    <col min="28" max="28" width="7.6328125" style="9" customWidth="1"/>
    <col min="29" max="29" width="20.6328125" style="9" customWidth="1"/>
    <col min="30" max="16384" width="9" style="9"/>
  </cols>
  <sheetData>
    <row r="1" spans="1:29" s="8" customFormat="1" ht="20.25" customHeight="1" x14ac:dyDescent="0.45">
      <c r="A1" s="800" t="str">
        <f>大会要項!$B$3</f>
        <v>第12回 全日本不動産協会杯争奪U-12サッカー大会【ラビットカップ】大分県大会</v>
      </c>
      <c r="B1" s="800"/>
      <c r="C1" s="800"/>
      <c r="D1" s="800"/>
      <c r="E1" s="800"/>
      <c r="F1" s="800"/>
      <c r="G1" s="800"/>
      <c r="H1" s="800"/>
      <c r="I1" s="800"/>
      <c r="J1" s="800"/>
      <c r="K1" s="800" t="s">
        <v>2009</v>
      </c>
      <c r="L1" s="800"/>
      <c r="M1" s="800"/>
      <c r="N1" s="800"/>
      <c r="O1" s="7"/>
      <c r="P1" s="800" t="str">
        <f>大会要項!$B$3</f>
        <v>第12回 全日本不動産協会杯争奪U-12サッカー大会【ラビットカップ】大分県大会</v>
      </c>
      <c r="Q1" s="800"/>
      <c r="R1" s="800"/>
      <c r="S1" s="800"/>
      <c r="T1" s="800"/>
      <c r="U1" s="800"/>
      <c r="V1" s="800"/>
      <c r="W1" s="800"/>
      <c r="X1" s="800"/>
      <c r="Y1" s="800"/>
      <c r="Z1" s="800" t="s">
        <v>2009</v>
      </c>
      <c r="AA1" s="800"/>
      <c r="AB1" s="800"/>
      <c r="AC1" s="800"/>
    </row>
    <row r="2" spans="1:29" ht="20.25" customHeight="1" x14ac:dyDescent="0.45">
      <c r="P2" s="10"/>
      <c r="Q2" s="10"/>
      <c r="R2" s="10"/>
      <c r="S2" s="10"/>
      <c r="T2" s="10"/>
      <c r="U2" s="10"/>
      <c r="V2" s="10"/>
      <c r="W2" s="10"/>
      <c r="X2" s="10"/>
      <c r="Y2" s="10"/>
      <c r="Z2" s="10"/>
      <c r="AA2" s="10"/>
      <c r="AB2" s="10"/>
      <c r="AC2" s="10"/>
    </row>
    <row r="3" spans="1:29" ht="20.25" customHeight="1" x14ac:dyDescent="0.45">
      <c r="A3" s="9" t="s">
        <v>47</v>
      </c>
      <c r="B3" s="6" t="str">
        <f>予選リーグ!C14</f>
        <v>レゾナック サッカー・ラグビー場　Bコート</v>
      </c>
      <c r="C3" s="6"/>
      <c r="D3" s="6"/>
      <c r="E3" s="6"/>
      <c r="G3" s="6" t="str">
        <f>予選リーグ!C15</f>
        <v>「A」コート</v>
      </c>
      <c r="H3" s="6"/>
      <c r="I3" s="6"/>
      <c r="J3" s="6"/>
      <c r="K3" s="6"/>
      <c r="L3" s="6"/>
      <c r="P3" s="9" t="s">
        <v>47</v>
      </c>
      <c r="Q3" s="6" t="str">
        <f>予選リーグ!C14</f>
        <v>レゾナック サッカー・ラグビー場　Bコート</v>
      </c>
      <c r="R3" s="6"/>
      <c r="S3" s="6"/>
      <c r="T3" s="6"/>
      <c r="V3" s="6" t="str">
        <f>予選リーグ!C15</f>
        <v>「A」コート</v>
      </c>
      <c r="W3" s="11"/>
      <c r="X3" s="11"/>
      <c r="Y3" s="11"/>
      <c r="Z3" s="11"/>
      <c r="AA3" s="11"/>
      <c r="AB3" s="11"/>
      <c r="AC3" s="11"/>
    </row>
    <row r="4" spans="1:29" ht="20.25" customHeight="1" x14ac:dyDescent="0.45">
      <c r="P4" s="10"/>
      <c r="Q4" s="10"/>
      <c r="R4" s="10"/>
      <c r="S4" s="10"/>
      <c r="T4" s="10"/>
      <c r="U4" s="10"/>
      <c r="V4" s="10"/>
      <c r="W4" s="10"/>
      <c r="X4" s="10"/>
      <c r="Y4" s="10"/>
      <c r="Z4" s="10"/>
      <c r="AA4" s="10"/>
      <c r="AB4" s="10"/>
      <c r="AC4" s="10"/>
    </row>
    <row r="5" spans="1:29" ht="20.25" customHeight="1" x14ac:dyDescent="0.45">
      <c r="E5" s="12" t="s">
        <v>220</v>
      </c>
      <c r="F5" s="796" t="str">
        <f>VLOOKUP(E5,組合せ抽選用!$Q:$U,5,FALSE)</f>
        <v>和田少年サッカークラブ</v>
      </c>
      <c r="G5" s="796"/>
      <c r="H5" s="796"/>
      <c r="I5" s="796"/>
      <c r="J5" s="796"/>
      <c r="K5" s="796"/>
      <c r="L5" s="796"/>
      <c r="M5" s="796" t="str">
        <f>VLOOKUP(E5,組合せ抽選用!$Q:$V,6,FALSE)</f>
        <v>中津</v>
      </c>
      <c r="N5" s="797"/>
      <c r="R5" s="10"/>
      <c r="S5" s="10"/>
      <c r="T5" s="12" t="s">
        <v>221</v>
      </c>
      <c r="U5" s="796" t="str">
        <f>VLOOKUP(T5,組合せ抽選用!$Q:$U,5,FALSE)</f>
        <v>国東ジュニアサッカークラブ</v>
      </c>
      <c r="V5" s="796"/>
      <c r="W5" s="796"/>
      <c r="X5" s="796"/>
      <c r="Y5" s="796"/>
      <c r="Z5" s="796"/>
      <c r="AA5" s="796"/>
      <c r="AB5" s="796" t="str">
        <f>VLOOKUP(T5,組合せ抽選用!$Q:$V,6,FALSE)</f>
        <v>速杵国東</v>
      </c>
      <c r="AC5" s="797"/>
    </row>
    <row r="6" spans="1:29" ht="20.25" customHeight="1" x14ac:dyDescent="0.45">
      <c r="E6" s="13" t="s">
        <v>222</v>
      </c>
      <c r="F6" s="798" t="str">
        <f>VLOOKUP(E6,組合せ抽選用!$Q:$U,5,FALSE)</f>
        <v>リノスフットボールクラブ　Ｕ－１２</v>
      </c>
      <c r="G6" s="798"/>
      <c r="H6" s="798"/>
      <c r="I6" s="798"/>
      <c r="J6" s="798"/>
      <c r="K6" s="798"/>
      <c r="L6" s="798"/>
      <c r="M6" s="798" t="str">
        <f>VLOOKUP(E6,組合せ抽選用!$Q:$V,6,FALSE)</f>
        <v>大分</v>
      </c>
      <c r="N6" s="799"/>
      <c r="P6" s="10"/>
      <c r="Q6" s="10"/>
      <c r="R6" s="10"/>
      <c r="S6" s="10"/>
      <c r="T6" s="13" t="s">
        <v>223</v>
      </c>
      <c r="U6" s="798" t="str">
        <f>VLOOKUP(T6,組合せ抽選用!$Q:$U,5,FALSE)</f>
        <v>ＫＩＮＧＳ　ＦＯＯＴＢＡＬＬＣＬＵＢ　Ｕ－１２</v>
      </c>
      <c r="V6" s="798"/>
      <c r="W6" s="798"/>
      <c r="X6" s="798"/>
      <c r="Y6" s="798"/>
      <c r="Z6" s="798"/>
      <c r="AA6" s="798"/>
      <c r="AB6" s="798" t="str">
        <f>VLOOKUP(T6,組合せ抽選用!$Q:$V,6,FALSE)</f>
        <v>大分</v>
      </c>
      <c r="AC6" s="799"/>
    </row>
    <row r="7" spans="1:29" ht="20.25" customHeight="1" x14ac:dyDescent="0.45">
      <c r="E7" s="14" t="s">
        <v>224</v>
      </c>
      <c r="F7" s="801" t="str">
        <f>VLOOKUP(E7,組合せ抽選用!$Q:$U,5,FALSE)</f>
        <v>カティオーラフットボールクラブＵ－１２</v>
      </c>
      <c r="G7" s="801"/>
      <c r="H7" s="801"/>
      <c r="I7" s="801"/>
      <c r="J7" s="801"/>
      <c r="K7" s="801"/>
      <c r="L7" s="801"/>
      <c r="M7" s="801" t="str">
        <f>VLOOKUP(E7,組合せ抽選用!$Q:$V,6,FALSE)</f>
        <v>大分</v>
      </c>
      <c r="N7" s="802"/>
      <c r="P7" s="10"/>
      <c r="Q7" s="10"/>
      <c r="R7" s="10"/>
      <c r="S7" s="10"/>
      <c r="T7" s="14" t="s">
        <v>225</v>
      </c>
      <c r="U7" s="801" t="str">
        <f>VLOOKUP(T7,組合せ抽選用!$Q:$U,5,FALSE)</f>
        <v>ドリームキッズフットボールクラブ</v>
      </c>
      <c r="V7" s="801"/>
      <c r="W7" s="801"/>
      <c r="X7" s="801"/>
      <c r="Y7" s="801"/>
      <c r="Z7" s="801"/>
      <c r="AA7" s="801"/>
      <c r="AB7" s="801" t="str">
        <f>VLOOKUP(T7,組合せ抽選用!$Q:$V,6,FALSE)</f>
        <v>大分</v>
      </c>
      <c r="AC7" s="802"/>
    </row>
    <row r="8" spans="1:29" ht="20.25" customHeight="1" x14ac:dyDescent="0.45">
      <c r="P8" s="10"/>
      <c r="Q8" s="10"/>
      <c r="R8" s="10"/>
      <c r="S8" s="10"/>
      <c r="T8" s="10"/>
      <c r="U8" s="10"/>
      <c r="V8" s="10"/>
      <c r="W8" s="10"/>
      <c r="X8" s="10"/>
      <c r="Y8" s="10"/>
      <c r="Z8" s="10"/>
      <c r="AA8" s="10"/>
      <c r="AB8" s="10"/>
      <c r="AC8" s="10"/>
    </row>
    <row r="9" spans="1:29" ht="20.25" customHeight="1" thickBot="1" x14ac:dyDescent="0.6"/>
    <row r="10" spans="1:29" ht="27.4" customHeight="1" x14ac:dyDescent="0.45">
      <c r="A10" s="365" t="s">
        <v>3235</v>
      </c>
      <c r="B10" s="789" t="s">
        <v>1434</v>
      </c>
      <c r="C10" s="790"/>
      <c r="D10" s="791"/>
      <c r="E10" s="778">
        <v>0.4375</v>
      </c>
      <c r="F10" s="781" t="str">
        <f>F5</f>
        <v>和田少年サッカークラブ</v>
      </c>
      <c r="G10" s="784">
        <f>IF(I10="","",SUM(I10:I11))</f>
        <v>0</v>
      </c>
      <c r="H10" s="793" t="s">
        <v>205</v>
      </c>
      <c r="I10" s="84">
        <v>0</v>
      </c>
      <c r="J10" s="84" t="s">
        <v>116</v>
      </c>
      <c r="K10" s="84">
        <v>1</v>
      </c>
      <c r="L10" s="793" t="s">
        <v>206</v>
      </c>
      <c r="M10" s="784">
        <f>IF(K10="","",SUM(K10:K11))</f>
        <v>3</v>
      </c>
      <c r="N10" s="775" t="str">
        <f>F6</f>
        <v>リノスフットボールクラブ　Ｕ－１２</v>
      </c>
      <c r="P10" s="365" t="s">
        <v>3235</v>
      </c>
      <c r="Q10" s="789" t="s">
        <v>11840</v>
      </c>
      <c r="R10" s="790"/>
      <c r="S10" s="791"/>
      <c r="T10" s="778">
        <v>0.47916666666666669</v>
      </c>
      <c r="U10" s="781" t="str">
        <f>U5</f>
        <v>国東ジュニアサッカークラブ</v>
      </c>
      <c r="V10" s="784">
        <f>IF(X10="","",SUM(X10:X11))</f>
        <v>0</v>
      </c>
      <c r="W10" s="793" t="s">
        <v>205</v>
      </c>
      <c r="X10" s="84">
        <v>0</v>
      </c>
      <c r="Y10" s="84" t="s">
        <v>116</v>
      </c>
      <c r="Z10" s="84">
        <v>4</v>
      </c>
      <c r="AA10" s="793" t="s">
        <v>206</v>
      </c>
      <c r="AB10" s="784">
        <f>IF(Z10="","",SUM(Z10:Z11))</f>
        <v>6</v>
      </c>
      <c r="AC10" s="775" t="str">
        <f>U6</f>
        <v>ＫＩＮＧＳ　ＦＯＯＴＢＡＬＬＣＬＵＢ　Ｕ－１２</v>
      </c>
    </row>
    <row r="11" spans="1:29" ht="27.4" customHeight="1" x14ac:dyDescent="0.45">
      <c r="A11" s="366" t="s">
        <v>3236</v>
      </c>
      <c r="B11" s="792" t="s">
        <v>3924</v>
      </c>
      <c r="C11" s="792"/>
      <c r="D11" s="789"/>
      <c r="E11" s="779"/>
      <c r="F11" s="782"/>
      <c r="G11" s="785"/>
      <c r="H11" s="794"/>
      <c r="I11" s="9">
        <v>0</v>
      </c>
      <c r="J11" s="9" t="s">
        <v>117</v>
      </c>
      <c r="K11" s="9">
        <v>2</v>
      </c>
      <c r="L11" s="794"/>
      <c r="M11" s="785"/>
      <c r="N11" s="776"/>
      <c r="P11" s="366" t="s">
        <v>3236</v>
      </c>
      <c r="Q11" s="792" t="s">
        <v>3924</v>
      </c>
      <c r="R11" s="792"/>
      <c r="S11" s="789"/>
      <c r="T11" s="779"/>
      <c r="U11" s="782"/>
      <c r="V11" s="785"/>
      <c r="W11" s="794"/>
      <c r="X11" s="9">
        <v>0</v>
      </c>
      <c r="Y11" s="9" t="s">
        <v>117</v>
      </c>
      <c r="Z11" s="9">
        <v>2</v>
      </c>
      <c r="AA11" s="794"/>
      <c r="AB11" s="785"/>
      <c r="AC11" s="776"/>
    </row>
    <row r="12" spans="1:29" ht="27.4" customHeight="1" thickBot="1" x14ac:dyDescent="0.6">
      <c r="A12" s="366" t="s">
        <v>3237</v>
      </c>
      <c r="B12" s="792" t="s">
        <v>11838</v>
      </c>
      <c r="C12" s="792"/>
      <c r="D12" s="789"/>
      <c r="E12" s="780"/>
      <c r="F12" s="783"/>
      <c r="G12" s="786"/>
      <c r="H12" s="795"/>
      <c r="I12" s="85"/>
      <c r="J12" s="85" t="s">
        <v>188</v>
      </c>
      <c r="K12" s="85"/>
      <c r="L12" s="795"/>
      <c r="M12" s="786"/>
      <c r="N12" s="777"/>
      <c r="P12" s="366" t="s">
        <v>3237</v>
      </c>
      <c r="Q12" s="792" t="s">
        <v>1434</v>
      </c>
      <c r="R12" s="792"/>
      <c r="S12" s="789"/>
      <c r="T12" s="780"/>
      <c r="U12" s="783"/>
      <c r="V12" s="786"/>
      <c r="W12" s="795"/>
      <c r="X12" s="85"/>
      <c r="Y12" s="85" t="s">
        <v>188</v>
      </c>
      <c r="Z12" s="85"/>
      <c r="AA12" s="795"/>
      <c r="AB12" s="786"/>
      <c r="AC12" s="777"/>
    </row>
    <row r="13" spans="1:29" ht="20.25" customHeight="1" thickTop="1" x14ac:dyDescent="0.45">
      <c r="A13" s="787" t="s">
        <v>1565</v>
      </c>
      <c r="B13" s="787"/>
      <c r="C13" s="787"/>
      <c r="D13" s="787"/>
      <c r="E13" s="15"/>
      <c r="F13" s="16" t="s">
        <v>190</v>
      </c>
      <c r="G13" s="16" t="s">
        <v>1552</v>
      </c>
      <c r="H13" s="16" t="s">
        <v>145</v>
      </c>
      <c r="I13" s="16"/>
      <c r="J13" s="17"/>
      <c r="K13" s="16"/>
      <c r="L13" s="16" t="s">
        <v>145</v>
      </c>
      <c r="M13" s="16" t="s">
        <v>1552</v>
      </c>
      <c r="N13" s="18" t="s">
        <v>190</v>
      </c>
      <c r="P13" s="787" t="s">
        <v>1565</v>
      </c>
      <c r="Q13" s="787"/>
      <c r="R13" s="787"/>
      <c r="S13" s="788"/>
      <c r="T13" s="15"/>
      <c r="U13" s="16" t="s">
        <v>190</v>
      </c>
      <c r="V13" s="16" t="s">
        <v>1552</v>
      </c>
      <c r="W13" s="16" t="s">
        <v>145</v>
      </c>
      <c r="X13" s="16"/>
      <c r="Y13" s="17"/>
      <c r="Z13" s="16"/>
      <c r="AA13" s="16" t="s">
        <v>145</v>
      </c>
      <c r="AB13" s="16" t="s">
        <v>1552</v>
      </c>
      <c r="AC13" s="18" t="s">
        <v>190</v>
      </c>
    </row>
    <row r="14" spans="1:29" ht="20.25" hidden="1" customHeight="1" x14ac:dyDescent="0.45">
      <c r="E14" s="19" t="s">
        <v>228</v>
      </c>
      <c r="F14" s="20" t="str">
        <f>IF(ISERROR(VLOOKUP(CONCATENATE($F$10,"_",G14),選手名簿!$A:$E,5,FALSE))=TRUE,"",VLOOKUP(CONCATENATE($F$10,"_",G14),選手名簿!$A:$E,5,FALSE))</f>
        <v/>
      </c>
      <c r="G14" s="21"/>
      <c r="H14" s="21"/>
      <c r="I14" s="21"/>
      <c r="J14" s="22"/>
      <c r="K14" s="21"/>
      <c r="L14" s="21"/>
      <c r="M14" s="21"/>
      <c r="N14" s="23" t="str">
        <f>IF(ISERROR(VLOOKUP(CONCATENATE($N$10,"_",M14),選手名簿!$A:$E,5,FALSE))=TRUE,"",VLOOKUP(CONCATENATE($N$10,"_",M14),選手名簿!$A:$E,5,FALSE))</f>
        <v/>
      </c>
      <c r="T14" s="19" t="s">
        <v>228</v>
      </c>
      <c r="U14" s="20" t="str">
        <f>IF(ISERROR(VLOOKUP(CONCATENATE($U$10,"_",V14),選手名簿!$A:$E,5,FALSE))=TRUE,"",VLOOKUP(CONCATENATE($U$10,"_",V14),選手名簿!$A:$E,5,FALSE))</f>
        <v/>
      </c>
      <c r="V14" s="21"/>
      <c r="W14" s="21"/>
      <c r="X14" s="21"/>
      <c r="Y14" s="22"/>
      <c r="Z14" s="21"/>
      <c r="AA14" s="21"/>
      <c r="AB14" s="21"/>
      <c r="AC14" s="23" t="str">
        <f>IF(ISERROR(VLOOKUP(CONCATENATE($AC$10,"_",AB14),選手名簿!$A:$E,5,FALSE))=TRUE,"",VLOOKUP(CONCATENATE($AC$10,"_",AB14),選手名簿!$A:$E,5,FALSE))</f>
        <v/>
      </c>
    </row>
    <row r="15" spans="1:29" ht="20.25" hidden="1" customHeight="1" x14ac:dyDescent="0.45">
      <c r="E15" s="19" t="s">
        <v>228</v>
      </c>
      <c r="F15" s="20" t="str">
        <f>IF(ISERROR(VLOOKUP(CONCATENATE($F$10,"_",G15),選手名簿!$A:$E,5,FALSE))=TRUE,"",VLOOKUP(CONCATENATE($F$10,"_",G15),選手名簿!$A:$E,5,FALSE))</f>
        <v/>
      </c>
      <c r="G15" s="21"/>
      <c r="H15" s="21"/>
      <c r="I15" s="21"/>
      <c r="J15" s="22"/>
      <c r="K15" s="21"/>
      <c r="L15" s="21"/>
      <c r="M15" s="21"/>
      <c r="N15" s="23" t="str">
        <f>IF(ISERROR(VLOOKUP(CONCATENATE($N$10,"_",M15),選手名簿!$A:$E,5,FALSE))=TRUE,"",VLOOKUP(CONCATENATE($N$10,"_",M15),選手名簿!$A:$E,5,FALSE))</f>
        <v/>
      </c>
      <c r="T15" s="19" t="s">
        <v>228</v>
      </c>
      <c r="U15" s="20" t="str">
        <f>IF(ISERROR(VLOOKUP(CONCATENATE($U$10,"_",V15),選手名簿!$A:$E,5,FALSE))=TRUE,"",VLOOKUP(CONCATENATE($U$10,"_",V15),選手名簿!$A:$E,5,FALSE))</f>
        <v/>
      </c>
      <c r="V15" s="21"/>
      <c r="W15" s="21"/>
      <c r="X15" s="21"/>
      <c r="Y15" s="22"/>
      <c r="Z15" s="21"/>
      <c r="AA15" s="21"/>
      <c r="AB15" s="21"/>
      <c r="AC15" s="23" t="str">
        <f>IF(ISERROR(VLOOKUP(CONCATENATE($AC$10,"_",AB15),選手名簿!$A:$E,5,FALSE))=TRUE,"",VLOOKUP(CONCATENATE($AC$10,"_",AB15),選手名簿!$A:$E,5,FALSE))</f>
        <v/>
      </c>
    </row>
    <row r="16" spans="1:29" ht="20.25" hidden="1" customHeight="1" x14ac:dyDescent="0.45">
      <c r="E16" s="19" t="s">
        <v>228</v>
      </c>
      <c r="F16" s="20" t="str">
        <f>IF(ISERROR(VLOOKUP(CONCATENATE($F$10,"_",G16),選手名簿!$A:$E,5,FALSE))=TRUE,"",VLOOKUP(CONCATENATE($F$10,"_",G16),選手名簿!$A:$E,5,FALSE))</f>
        <v/>
      </c>
      <c r="G16" s="21"/>
      <c r="H16" s="21"/>
      <c r="I16" s="21"/>
      <c r="J16" s="22"/>
      <c r="K16" s="21"/>
      <c r="L16" s="21"/>
      <c r="M16" s="21"/>
      <c r="N16" s="23" t="str">
        <f>IF(ISERROR(VLOOKUP(CONCATENATE($N$10,"_",M16),選手名簿!$A:$E,5,FALSE))=TRUE,"",VLOOKUP(CONCATENATE($N$10,"_",M16),選手名簿!$A:$E,5,FALSE))</f>
        <v/>
      </c>
      <c r="T16" s="19" t="s">
        <v>228</v>
      </c>
      <c r="U16" s="20" t="str">
        <f>IF(ISERROR(VLOOKUP(CONCATENATE($U$10,"_",V16),選手名簿!$A:$E,5,FALSE))=TRUE,"",VLOOKUP(CONCATENATE($U$10,"_",V16),選手名簿!$A:$E,5,FALSE))</f>
        <v/>
      </c>
      <c r="V16" s="21"/>
      <c r="W16" s="21"/>
      <c r="X16" s="21"/>
      <c r="Y16" s="22"/>
      <c r="Z16" s="21"/>
      <c r="AA16" s="21"/>
      <c r="AB16" s="21"/>
      <c r="AC16" s="23" t="str">
        <f>IF(ISERROR(VLOOKUP(CONCATENATE($AC$10,"_",AB16),選手名簿!$A:$E,5,FALSE))=TRUE,"",VLOOKUP(CONCATENATE($AC$10,"_",AB16),選手名簿!$A:$E,5,FALSE))</f>
        <v/>
      </c>
    </row>
    <row r="17" spans="1:29" ht="20.25" hidden="1" customHeight="1" x14ac:dyDescent="0.45">
      <c r="E17" s="19" t="s">
        <v>228</v>
      </c>
      <c r="F17" s="20" t="str">
        <f>IF(ISERROR(VLOOKUP(CONCATENATE($F$10,"_",G17),選手名簿!$A:$E,5,FALSE))=TRUE,"",VLOOKUP(CONCATENATE($F$10,"_",G17),選手名簿!$A:$E,5,FALSE))</f>
        <v/>
      </c>
      <c r="G17" s="21"/>
      <c r="H17" s="21"/>
      <c r="I17" s="21"/>
      <c r="J17" s="22"/>
      <c r="K17" s="21"/>
      <c r="L17" s="21"/>
      <c r="M17" s="21"/>
      <c r="N17" s="23" t="str">
        <f>IF(ISERROR(VLOOKUP(CONCATENATE($N$10,"_",M17),選手名簿!$A:$E,5,FALSE))=TRUE,"",VLOOKUP(CONCATENATE($N$10,"_",M17),選手名簿!$A:$E,5,FALSE))</f>
        <v/>
      </c>
      <c r="T17" s="19" t="s">
        <v>228</v>
      </c>
      <c r="U17" s="20" t="str">
        <f>IF(ISERROR(VLOOKUP(CONCATENATE($U$10,"_",V17),選手名簿!$A:$E,5,FALSE))=TRUE,"",VLOOKUP(CONCATENATE($U$10,"_",V17),選手名簿!$A:$E,5,FALSE))</f>
        <v/>
      </c>
      <c r="V17" s="21"/>
      <c r="W17" s="21"/>
      <c r="X17" s="21"/>
      <c r="Y17" s="22"/>
      <c r="Z17" s="21"/>
      <c r="AA17" s="21"/>
      <c r="AB17" s="21"/>
      <c r="AC17" s="23" t="str">
        <f>IF(ISERROR(VLOOKUP(CONCATENATE($AC$10,"_",AB17),選手名簿!$A:$E,5,FALSE))=TRUE,"",VLOOKUP(CONCATENATE($AC$10,"_",AB17),選手名簿!$A:$E,5,FALSE))</f>
        <v/>
      </c>
    </row>
    <row r="18" spans="1:29" ht="20.25" hidden="1" customHeight="1" x14ac:dyDescent="0.45">
      <c r="E18" s="19" t="s">
        <v>228</v>
      </c>
      <c r="F18" s="20" t="str">
        <f>IF(ISERROR(VLOOKUP(CONCATENATE($F$10,"_",G18),選手名簿!$A:$E,5,FALSE))=TRUE,"",VLOOKUP(CONCATENATE($F$10,"_",G18),選手名簿!$A:$E,5,FALSE))</f>
        <v/>
      </c>
      <c r="G18" s="21"/>
      <c r="H18" s="21"/>
      <c r="I18" s="21"/>
      <c r="J18" s="22"/>
      <c r="K18" s="21"/>
      <c r="L18" s="21"/>
      <c r="M18" s="21"/>
      <c r="N18" s="23" t="str">
        <f>IF(ISERROR(VLOOKUP(CONCATENATE($N$10,"_",M18),選手名簿!$A:$E,5,FALSE))=TRUE,"",VLOOKUP(CONCATENATE($N$10,"_",M18),選手名簿!$A:$E,5,FALSE))</f>
        <v/>
      </c>
      <c r="T18" s="19" t="s">
        <v>228</v>
      </c>
      <c r="U18" s="20" t="str">
        <f>IF(ISERROR(VLOOKUP(CONCATENATE($U$10,"_",V18),選手名簿!$A:$E,5,FALSE))=TRUE,"",VLOOKUP(CONCATENATE($U$10,"_",V18),選手名簿!$A:$E,5,FALSE))</f>
        <v/>
      </c>
      <c r="V18" s="21"/>
      <c r="W18" s="21"/>
      <c r="X18" s="21"/>
      <c r="Y18" s="22"/>
      <c r="Z18" s="21"/>
      <c r="AA18" s="21"/>
      <c r="AB18" s="21"/>
      <c r="AC18" s="23" t="str">
        <f>IF(ISERROR(VLOOKUP(CONCATENATE($AC$10,"_",AB18),選手名簿!$A:$E,5,FALSE))=TRUE,"",VLOOKUP(CONCATENATE($AC$10,"_",AB18),選手名簿!$A:$E,5,FALSE))</f>
        <v/>
      </c>
    </row>
    <row r="19" spans="1:29" ht="20.25" hidden="1" customHeight="1" x14ac:dyDescent="0.45">
      <c r="E19" s="19" t="s">
        <v>228</v>
      </c>
      <c r="F19" s="20" t="str">
        <f>IF(ISERROR(VLOOKUP(CONCATENATE($F$10,"_",G19),選手名簿!$A:$E,5,FALSE))=TRUE,"",VLOOKUP(CONCATENATE($F$10,"_",G19),選手名簿!$A:$E,5,FALSE))</f>
        <v/>
      </c>
      <c r="G19" s="21"/>
      <c r="H19" s="21"/>
      <c r="I19" s="21"/>
      <c r="J19" s="22"/>
      <c r="K19" s="21"/>
      <c r="L19" s="21"/>
      <c r="M19" s="21"/>
      <c r="N19" s="23" t="str">
        <f>IF(ISERROR(VLOOKUP(CONCATENATE($N$10,"_",M19),選手名簿!$A:$E,5,FALSE))=TRUE,"",VLOOKUP(CONCATENATE($N$10,"_",M19),選手名簿!$A:$E,5,FALSE))</f>
        <v/>
      </c>
      <c r="T19" s="19" t="s">
        <v>228</v>
      </c>
      <c r="U19" s="20" t="str">
        <f>IF(ISERROR(VLOOKUP(CONCATENATE($U$10,"_",V19),選手名簿!$A:$E,5,FALSE))=TRUE,"",VLOOKUP(CONCATENATE($U$10,"_",V19),選手名簿!$A:$E,5,FALSE))</f>
        <v/>
      </c>
      <c r="V19" s="21"/>
      <c r="W19" s="21"/>
      <c r="X19" s="21"/>
      <c r="Y19" s="22"/>
      <c r="Z19" s="21"/>
      <c r="AA19" s="21"/>
      <c r="AB19" s="21"/>
      <c r="AC19" s="23" t="str">
        <f>IF(ISERROR(VLOOKUP(CONCATENATE($AC$10,"_",AB19),選手名簿!$A:$E,5,FALSE))=TRUE,"",VLOOKUP(CONCATENATE($AC$10,"_",AB19),選手名簿!$A:$E,5,FALSE))</f>
        <v/>
      </c>
    </row>
    <row r="20" spans="1:29" ht="20.25" hidden="1" customHeight="1" x14ac:dyDescent="0.45">
      <c r="E20" s="19" t="s">
        <v>228</v>
      </c>
      <c r="F20" s="20" t="str">
        <f>IF(ISERROR(VLOOKUP(CONCATENATE($F$10,"_",G20),選手名簿!$A:$E,5,FALSE))=TRUE,"",VLOOKUP(CONCATENATE($F$10,"_",G20),選手名簿!$A:$E,5,FALSE))</f>
        <v/>
      </c>
      <c r="G20" s="21"/>
      <c r="H20" s="21"/>
      <c r="I20" s="21"/>
      <c r="J20" s="22"/>
      <c r="K20" s="21"/>
      <c r="L20" s="21"/>
      <c r="M20" s="21"/>
      <c r="N20" s="23" t="str">
        <f>IF(ISERROR(VLOOKUP(CONCATENATE($N$10,"_",M20),選手名簿!$A:$E,5,FALSE))=TRUE,"",VLOOKUP(CONCATENATE($N$10,"_",M20),選手名簿!$A:$E,5,FALSE))</f>
        <v/>
      </c>
      <c r="T20" s="19" t="s">
        <v>228</v>
      </c>
      <c r="U20" s="20" t="str">
        <f>IF(ISERROR(VLOOKUP(CONCATENATE($U$10,"_",V20),選手名簿!$A:$E,5,FALSE))=TRUE,"",VLOOKUP(CONCATENATE($U$10,"_",V20),選手名簿!$A:$E,5,FALSE))</f>
        <v/>
      </c>
      <c r="V20" s="21"/>
      <c r="W20" s="21"/>
      <c r="X20" s="21"/>
      <c r="Y20" s="22"/>
      <c r="Z20" s="21"/>
      <c r="AA20" s="21"/>
      <c r="AB20" s="21"/>
      <c r="AC20" s="23" t="str">
        <f>IF(ISERROR(VLOOKUP(CONCATENATE($AC$10,"_",AB20),選手名簿!$A:$E,5,FALSE))=TRUE,"",VLOOKUP(CONCATENATE($AC$10,"_",AB20),選手名簿!$A:$E,5,FALSE))</f>
        <v/>
      </c>
    </row>
    <row r="21" spans="1:29" ht="20.25" hidden="1" customHeight="1" x14ac:dyDescent="0.45">
      <c r="E21" s="19" t="s">
        <v>228</v>
      </c>
      <c r="F21" s="20" t="str">
        <f>IF(ISERROR(VLOOKUP(CONCATENATE($F$10,"_",G21),選手名簿!$A:$E,5,FALSE))=TRUE,"",VLOOKUP(CONCATENATE($F$10,"_",G21),選手名簿!$A:$E,5,FALSE))</f>
        <v/>
      </c>
      <c r="G21" s="21"/>
      <c r="H21" s="21"/>
      <c r="I21" s="21"/>
      <c r="J21" s="22"/>
      <c r="K21" s="21"/>
      <c r="L21" s="21"/>
      <c r="M21" s="21"/>
      <c r="N21" s="23" t="str">
        <f>IF(ISERROR(VLOOKUP(CONCATENATE($N$10,"_",M21),選手名簿!$A:$E,5,FALSE))=TRUE,"",VLOOKUP(CONCATENATE($N$10,"_",M21),選手名簿!$A:$E,5,FALSE))</f>
        <v/>
      </c>
      <c r="T21" s="19" t="s">
        <v>228</v>
      </c>
      <c r="U21" s="20" t="str">
        <f>IF(ISERROR(VLOOKUP(CONCATENATE($U$10,"_",V21),選手名簿!$A:$E,5,FALSE))=TRUE,"",VLOOKUP(CONCATENATE($U$10,"_",V21),選手名簿!$A:$E,5,FALSE))</f>
        <v/>
      </c>
      <c r="V21" s="21"/>
      <c r="W21" s="21"/>
      <c r="X21" s="21"/>
      <c r="Y21" s="22"/>
      <c r="Z21" s="21"/>
      <c r="AA21" s="21"/>
      <c r="AB21" s="21"/>
      <c r="AC21" s="23" t="str">
        <f>IF(ISERROR(VLOOKUP(CONCATENATE($AC$10,"_",AB21),選手名簿!$A:$E,5,FALSE))=TRUE,"",VLOOKUP(CONCATENATE($AC$10,"_",AB21),選手名簿!$A:$E,5,FALSE))</f>
        <v/>
      </c>
    </row>
    <row r="22" spans="1:29" ht="20.25" hidden="1" customHeight="1" x14ac:dyDescent="0.45">
      <c r="E22" s="19" t="s">
        <v>228</v>
      </c>
      <c r="F22" s="20" t="str">
        <f>IF(ISERROR(VLOOKUP(CONCATENATE($F$10,"_",G22),選手名簿!$A:$E,5,FALSE))=TRUE,"",VLOOKUP(CONCATENATE($F$10,"_",G22),選手名簿!$A:$E,5,FALSE))</f>
        <v/>
      </c>
      <c r="G22" s="21"/>
      <c r="H22" s="21"/>
      <c r="I22" s="21"/>
      <c r="J22" s="22"/>
      <c r="K22" s="21"/>
      <c r="L22" s="21"/>
      <c r="M22" s="21"/>
      <c r="N22" s="23" t="str">
        <f>IF(ISERROR(VLOOKUP(CONCATENATE($N$10,"_",M22),選手名簿!$A:$E,5,FALSE))=TRUE,"",VLOOKUP(CONCATENATE($N$10,"_",M22),選手名簿!$A:$E,5,FALSE))</f>
        <v/>
      </c>
      <c r="T22" s="19" t="s">
        <v>228</v>
      </c>
      <c r="U22" s="20" t="str">
        <f>IF(ISERROR(VLOOKUP(CONCATENATE($U$10,"_",V22),選手名簿!$A:$E,5,FALSE))=TRUE,"",VLOOKUP(CONCATENATE($U$10,"_",V22),選手名簿!$A:$E,5,FALSE))</f>
        <v/>
      </c>
      <c r="V22" s="21"/>
      <c r="W22" s="21"/>
      <c r="X22" s="21"/>
      <c r="Y22" s="22"/>
      <c r="Z22" s="21"/>
      <c r="AA22" s="21"/>
      <c r="AB22" s="21"/>
      <c r="AC22" s="23" t="str">
        <f>IF(ISERROR(VLOOKUP(CONCATENATE($AC$10,"_",AB22),選手名簿!$A:$E,5,FALSE))=TRUE,"",VLOOKUP(CONCATENATE($AC$10,"_",AB22),選手名簿!$A:$E,5,FALSE))</f>
        <v/>
      </c>
    </row>
    <row r="23" spans="1:29" ht="20.25" hidden="1" customHeight="1" thickBot="1" x14ac:dyDescent="0.6">
      <c r="E23" s="24" t="s">
        <v>228</v>
      </c>
      <c r="F23" s="25" t="str">
        <f>IF(ISERROR(VLOOKUP(CONCATENATE($F$10,"_",G23),選手名簿!$A:$E,5,FALSE))=TRUE,"",VLOOKUP(CONCATENATE($F$10,"_",G23),選手名簿!$A:$E,5,FALSE))</f>
        <v/>
      </c>
      <c r="G23" s="26"/>
      <c r="H23" s="26"/>
      <c r="I23" s="26"/>
      <c r="J23" s="27"/>
      <c r="K23" s="26"/>
      <c r="L23" s="26"/>
      <c r="M23" s="26"/>
      <c r="N23" s="28" t="str">
        <f>IF(ISERROR(VLOOKUP(CONCATENATE($N$10,"_",M23),選手名簿!$A:$E,5,FALSE))=TRUE,"",VLOOKUP(CONCATENATE($N$10,"_",M23),選手名簿!$A:$E,5,FALSE))</f>
        <v/>
      </c>
      <c r="T23" s="24" t="s">
        <v>228</v>
      </c>
      <c r="U23" s="25" t="str">
        <f>IF(ISERROR(VLOOKUP(CONCATENATE($U$10,"_",V23),選手名簿!$A:$E,5,FALSE))=TRUE,"",VLOOKUP(CONCATENATE($U$10,"_",V23),選手名簿!$A:$E,5,FALSE))</f>
        <v/>
      </c>
      <c r="V23" s="26"/>
      <c r="W23" s="26"/>
      <c r="X23" s="26"/>
      <c r="Y23" s="27"/>
      <c r="Z23" s="26"/>
      <c r="AA23" s="26"/>
      <c r="AB23" s="26"/>
      <c r="AC23" s="28" t="str">
        <f>IF(ISERROR(VLOOKUP(CONCATENATE($AC$10,"_",AB23),選手名簿!$A:$E,5,FALSE))=TRUE,"",VLOOKUP(CONCATENATE($AC$10,"_",AB23),選手名簿!$A:$E,5,FALSE))</f>
        <v/>
      </c>
    </row>
    <row r="24" spans="1:29" ht="20.25" customHeight="1" x14ac:dyDescent="0.45">
      <c r="A24" s="29" t="s">
        <v>226</v>
      </c>
      <c r="B24" s="774" t="s">
        <v>573</v>
      </c>
      <c r="C24" s="774"/>
      <c r="D24" s="774"/>
      <c r="E24" s="19" t="s">
        <v>196</v>
      </c>
      <c r="F24" s="20" t="str">
        <f>IF(ISERROR(VLOOKUP(CONCATENATE($F$10,"_",G24),選手名簿!$A:$E,5,FALSE))=TRUE,"",VLOOKUP(CONCATENATE($F$10,"_",G24),選手名簿!$A:$E,5,FALSE))</f>
        <v/>
      </c>
      <c r="G24" s="21"/>
      <c r="H24" s="21"/>
      <c r="I24" s="21"/>
      <c r="J24" s="22"/>
      <c r="K24" s="21"/>
      <c r="L24" s="21"/>
      <c r="M24" s="21"/>
      <c r="N24" s="23" t="str">
        <f>IF(ISERROR(VLOOKUP(CONCATENATE($N$10,"_",M24),選手名簿!$A:$E,5,FALSE))=TRUE,"",VLOOKUP(CONCATENATE($N$10,"_",M24),選手名簿!$A:$E,5,FALSE))</f>
        <v/>
      </c>
      <c r="P24" s="29" t="s">
        <v>226</v>
      </c>
      <c r="Q24" s="774" t="s">
        <v>1331</v>
      </c>
      <c r="R24" s="774"/>
      <c r="S24" s="774"/>
      <c r="T24" s="19" t="s">
        <v>196</v>
      </c>
      <c r="U24" s="20" t="str">
        <f>IF(ISERROR(VLOOKUP(CONCATENATE($U$10,"_",V24),選手名簿!$A:$E,5,FALSE))=TRUE,"",VLOOKUP(CONCATENATE($U$10,"_",V24),選手名簿!$A:$E,5,FALSE))</f>
        <v/>
      </c>
      <c r="V24" s="21"/>
      <c r="W24" s="21"/>
      <c r="X24" s="21"/>
      <c r="Y24" s="22"/>
      <c r="Z24" s="21"/>
      <c r="AA24" s="21"/>
      <c r="AB24" s="21"/>
      <c r="AC24" s="23" t="str">
        <f>IF(ISERROR(VLOOKUP(CONCATENATE($AC$10,"_",AB24),選手名簿!$A:$E,5,FALSE))=TRUE,"",VLOOKUP(CONCATENATE($AC$10,"_",AB24),選手名簿!$A:$E,5,FALSE))</f>
        <v/>
      </c>
    </row>
    <row r="25" spans="1:29" ht="20.25" customHeight="1" x14ac:dyDescent="0.45">
      <c r="A25" s="83" t="s">
        <v>1959</v>
      </c>
      <c r="B25" s="769" t="str">
        <f>IF(ISERROR(VLOOKUP(B24,審判員!$A:$C,2,FALSE))=TRUE,"",VLOOKUP(B24,審判員!$A:$C,2,FALSE))</f>
        <v>清家　大介</v>
      </c>
      <c r="C25" s="770"/>
      <c r="D25" s="30" t="str">
        <f>IF(ISERROR(VLOOKUP(B24,審判員!$A:$C,3,FALSE))=TRUE,"",VLOOKUP(B24,審判員!$A:$C,3,FALSE))</f>
        <v>３級</v>
      </c>
      <c r="E25" s="31" t="s">
        <v>196</v>
      </c>
      <c r="F25" s="32" t="str">
        <f>IF(ISERROR(VLOOKUP(CONCATENATE($F$10,"_",G25),選手名簿!$A:$E,5,FALSE))=TRUE,"",VLOOKUP(CONCATENATE($F$10,"_",G25),選手名簿!$A:$E,5,FALSE))</f>
        <v/>
      </c>
      <c r="G25" s="33"/>
      <c r="H25" s="33"/>
      <c r="I25" s="33"/>
      <c r="J25" s="22"/>
      <c r="K25" s="33"/>
      <c r="L25" s="33"/>
      <c r="M25" s="33"/>
      <c r="N25" s="34" t="str">
        <f>IF(ISERROR(VLOOKUP(CONCATENATE($N$10,"_",M25),選手名簿!$A:$E,5,FALSE))=TRUE,"",VLOOKUP(CONCATENATE($N$10,"_",M25),選手名簿!$A:$E,5,FALSE))</f>
        <v/>
      </c>
      <c r="P25" s="83" t="s">
        <v>1960</v>
      </c>
      <c r="Q25" s="769" t="str">
        <f>IF(ISERROR(VLOOKUP(Q24,審判員!$A:$C,2,FALSE))=TRUE,"",VLOOKUP(Q24,審判員!$A:$C,2,FALSE))</f>
        <v>長田　敏明</v>
      </c>
      <c r="R25" s="770"/>
      <c r="S25" s="83" t="str">
        <f>IF(ISERROR(VLOOKUP(Q24,審判員!$A:$C,3,FALSE))=TRUE,"",VLOOKUP(Q24,審判員!$A:$C,3,FALSE))</f>
        <v>３級</v>
      </c>
      <c r="T25" s="31" t="s">
        <v>196</v>
      </c>
      <c r="U25" s="32" t="str">
        <f>IF(ISERROR(VLOOKUP(CONCATENATE($U$10,"_",V25),選手名簿!$A:$E,5,FALSE))=TRUE,"",VLOOKUP(CONCATENATE($U$10,"_",V25),選手名簿!$A:$E,5,FALSE))</f>
        <v/>
      </c>
      <c r="V25" s="33"/>
      <c r="W25" s="33"/>
      <c r="X25" s="33"/>
      <c r="Y25" s="22"/>
      <c r="Z25" s="33"/>
      <c r="AA25" s="33"/>
      <c r="AB25" s="33"/>
      <c r="AC25" s="34" t="str">
        <f>IF(ISERROR(VLOOKUP(CONCATENATE($AC$10,"_",AB25),選手名簿!$A:$E,5,FALSE))=TRUE,"",VLOOKUP(CONCATENATE($AC$10,"_",AB25),選手名簿!$A:$E,5,FALSE))</f>
        <v/>
      </c>
    </row>
    <row r="26" spans="1:29" ht="20.25" customHeight="1" x14ac:dyDescent="0.45">
      <c r="A26" s="29" t="s">
        <v>226</v>
      </c>
      <c r="B26" s="771" t="s">
        <v>11861</v>
      </c>
      <c r="C26" s="771"/>
      <c r="D26" s="771"/>
      <c r="E26" s="31" t="s">
        <v>196</v>
      </c>
      <c r="F26" s="32" t="str">
        <f>IF(ISERROR(VLOOKUP(CONCATENATE($F$10,"_",G26),選手名簿!$A:$E,5,FALSE))=TRUE,"",VLOOKUP(CONCATENATE($F$10,"_",G26),選手名簿!$A:$E,5,FALSE))</f>
        <v/>
      </c>
      <c r="G26" s="33"/>
      <c r="H26" s="33"/>
      <c r="I26" s="33"/>
      <c r="J26" s="22"/>
      <c r="K26" s="33"/>
      <c r="L26" s="33"/>
      <c r="M26" s="33"/>
      <c r="N26" s="34" t="str">
        <f>IF(ISERROR(VLOOKUP(CONCATENATE($N$10,"_",M26),選手名簿!$A:$E,5,FALSE))=TRUE,"",VLOOKUP(CONCATENATE($N$10,"_",M26),選手名簿!$A:$E,5,FALSE))</f>
        <v/>
      </c>
      <c r="P26" s="29" t="s">
        <v>226</v>
      </c>
      <c r="Q26" s="771" t="s">
        <v>11851</v>
      </c>
      <c r="R26" s="771"/>
      <c r="S26" s="772"/>
      <c r="T26" s="31" t="s">
        <v>196</v>
      </c>
      <c r="U26" s="32" t="str">
        <f>IF(ISERROR(VLOOKUP(CONCATENATE($U$10,"_",V26),選手名簿!$A:$E,5,FALSE))=TRUE,"",VLOOKUP(CONCATENATE($U$10,"_",V26),選手名簿!$A:$E,5,FALSE))</f>
        <v/>
      </c>
      <c r="V26" s="33"/>
      <c r="W26" s="33"/>
      <c r="X26" s="33"/>
      <c r="Y26" s="22"/>
      <c r="Z26" s="33"/>
      <c r="AA26" s="33"/>
      <c r="AB26" s="33"/>
      <c r="AC26" s="34" t="str">
        <f>IF(ISERROR(VLOOKUP(CONCATENATE($AC$10,"_",AB26),選手名簿!$A:$E,5,FALSE))=TRUE,"",VLOOKUP(CONCATENATE($AC$10,"_",AB26),選手名簿!$A:$E,5,FALSE))</f>
        <v/>
      </c>
    </row>
    <row r="27" spans="1:29" ht="20.25" customHeight="1" x14ac:dyDescent="0.45">
      <c r="A27" s="83" t="s">
        <v>1961</v>
      </c>
      <c r="B27" s="769" t="str">
        <f>IF(ISERROR(VLOOKUP(B26,審判員!$A:$C,2,FALSE))=TRUE,"",VLOOKUP(B26,審判員!$A:$C,2,FALSE))</f>
        <v>箕迫　雄介</v>
      </c>
      <c r="C27" s="770"/>
      <c r="D27" s="30" t="str">
        <f>IF(ISERROR(VLOOKUP(B26,審判員!$A:$C,3,FALSE))=TRUE,"",VLOOKUP(B26,審判員!$A:$C,3,FALSE))</f>
        <v>３級</v>
      </c>
      <c r="E27" s="31" t="s">
        <v>196</v>
      </c>
      <c r="F27" s="32" t="str">
        <f>IF(ISERROR(VLOOKUP(CONCATENATE($F$10,"_",G27),選手名簿!$A:$E,5,FALSE))=TRUE,"",VLOOKUP(CONCATENATE($F$10,"_",G27),選手名簿!$A:$E,5,FALSE))</f>
        <v/>
      </c>
      <c r="G27" s="33"/>
      <c r="H27" s="33"/>
      <c r="I27" s="33"/>
      <c r="J27" s="22"/>
      <c r="K27" s="33"/>
      <c r="L27" s="33"/>
      <c r="M27" s="33"/>
      <c r="N27" s="34" t="str">
        <f>IF(ISERROR(VLOOKUP(CONCATENATE($N$10,"_",M27),選手名簿!$A:$E,5,FALSE))=TRUE,"",VLOOKUP(CONCATENATE($N$10,"_",M27),選手名簿!$A:$E,5,FALSE))</f>
        <v/>
      </c>
      <c r="P27" s="83" t="s">
        <v>1961</v>
      </c>
      <c r="Q27" s="769" t="str">
        <f>IF(ISERROR(VLOOKUP(Q26,審判員!$A:$C,2,FALSE))=TRUE,"",VLOOKUP(Q26,審判員!$A:$C,2,FALSE))</f>
        <v>相良　章成</v>
      </c>
      <c r="R27" s="770"/>
      <c r="S27" s="83" t="str">
        <f>IF(ISERROR(VLOOKUP(Q26,審判員!$A:$C,3,FALSE))=TRUE,"",VLOOKUP(Q26,審判員!$A:$C,3,FALSE))</f>
        <v>３級</v>
      </c>
      <c r="T27" s="31" t="s">
        <v>196</v>
      </c>
      <c r="U27" s="32" t="str">
        <f>IF(ISERROR(VLOOKUP(CONCATENATE($U$10,"_",V27),選手名簿!$A:$E,5,FALSE))=TRUE,"",VLOOKUP(CONCATENATE($U$10,"_",V27),選手名簿!$A:$E,5,FALSE))</f>
        <v/>
      </c>
      <c r="V27" s="33"/>
      <c r="W27" s="33"/>
      <c r="X27" s="33"/>
      <c r="Y27" s="22"/>
      <c r="Z27" s="33"/>
      <c r="AA27" s="33"/>
      <c r="AB27" s="33"/>
      <c r="AC27" s="34" t="str">
        <f>IF(ISERROR(VLOOKUP(CONCATENATE($AC$10,"_",AB27),選手名簿!$A:$E,5,FALSE))=TRUE,"",VLOOKUP(CONCATENATE($AC$10,"_",AB27),選手名簿!$A:$E,5,FALSE))</f>
        <v/>
      </c>
    </row>
    <row r="28" spans="1:29" ht="20.25" customHeight="1" x14ac:dyDescent="0.45">
      <c r="A28" s="29" t="s">
        <v>226</v>
      </c>
      <c r="B28" s="771" t="s">
        <v>11845</v>
      </c>
      <c r="C28" s="771"/>
      <c r="D28" s="771"/>
      <c r="E28" s="31" t="s">
        <v>196</v>
      </c>
      <c r="F28" s="32" t="str">
        <f>IF(ISERROR(VLOOKUP(CONCATENATE($F$10,"_",G28),選手名簿!$A:$E,5,FALSE))=TRUE,"",VLOOKUP(CONCATENATE($F$10,"_",G28),選手名簿!$A:$E,5,FALSE))</f>
        <v/>
      </c>
      <c r="G28" s="33"/>
      <c r="H28" s="33"/>
      <c r="I28" s="33"/>
      <c r="J28" s="22"/>
      <c r="K28" s="33"/>
      <c r="L28" s="33"/>
      <c r="M28" s="33"/>
      <c r="N28" s="34" t="str">
        <f>IF(ISERROR(VLOOKUP(CONCATENATE($N$10,"_",M28),選手名簿!$A:$E,5,FALSE))=TRUE,"",VLOOKUP(CONCATENATE($N$10,"_",M28),選手名簿!$A:$E,5,FALSE))</f>
        <v/>
      </c>
      <c r="P28" s="29" t="s">
        <v>226</v>
      </c>
      <c r="Q28" s="771" t="s">
        <v>11852</v>
      </c>
      <c r="R28" s="771"/>
      <c r="S28" s="772"/>
      <c r="T28" s="31" t="s">
        <v>196</v>
      </c>
      <c r="U28" s="32" t="str">
        <f>IF(ISERROR(VLOOKUP(CONCATENATE($U$10,"_",V28),選手名簿!$A:$E,5,FALSE))=TRUE,"",VLOOKUP(CONCATENATE($U$10,"_",V28),選手名簿!$A:$E,5,FALSE))</f>
        <v/>
      </c>
      <c r="V28" s="33"/>
      <c r="W28" s="33"/>
      <c r="X28" s="33"/>
      <c r="Y28" s="22"/>
      <c r="Z28" s="33"/>
      <c r="AA28" s="33"/>
      <c r="AB28" s="33"/>
      <c r="AC28" s="34" t="str">
        <f>IF(ISERROR(VLOOKUP(CONCATENATE($AC$10,"_",AB28),選手名簿!$A:$E,5,FALSE))=TRUE,"",VLOOKUP(CONCATENATE($AC$10,"_",AB28),選手名簿!$A:$E,5,FALSE))</f>
        <v/>
      </c>
    </row>
    <row r="29" spans="1:29" ht="20.25" customHeight="1" x14ac:dyDescent="0.45">
      <c r="A29" s="83" t="s">
        <v>1962</v>
      </c>
      <c r="B29" s="769" t="str">
        <f>IF(ISERROR(VLOOKUP(B28,審判員!$A:$C,2,FALSE))=TRUE,"",VLOOKUP(B28,審判員!$A:$C,2,FALSE))</f>
        <v>酒井　祐三</v>
      </c>
      <c r="C29" s="770"/>
      <c r="D29" s="30" t="str">
        <f>IF(ISERROR(VLOOKUP(B28,審判員!$A:$C,3,FALSE))=TRUE,"",VLOOKUP(B28,審判員!$A:$C,3,FALSE))</f>
        <v>３級</v>
      </c>
      <c r="E29" s="31" t="s">
        <v>196</v>
      </c>
      <c r="F29" s="32" t="str">
        <f>IF(ISERROR(VLOOKUP(CONCATENATE($F$10,"_",G29),選手名簿!$A:$E,5,FALSE))=TRUE,"",VLOOKUP(CONCATENATE($F$10,"_",G29),選手名簿!$A:$E,5,FALSE))</f>
        <v/>
      </c>
      <c r="G29" s="33"/>
      <c r="H29" s="33"/>
      <c r="I29" s="33"/>
      <c r="J29" s="22"/>
      <c r="K29" s="33"/>
      <c r="L29" s="33"/>
      <c r="M29" s="33"/>
      <c r="N29" s="34" t="str">
        <f>IF(ISERROR(VLOOKUP(CONCATENATE($N$10,"_",M29),選手名簿!$A:$E,5,FALSE))=TRUE,"",VLOOKUP(CONCATENATE($N$10,"_",M29),選手名簿!$A:$E,5,FALSE))</f>
        <v/>
      </c>
      <c r="P29" s="83" t="s">
        <v>1962</v>
      </c>
      <c r="Q29" s="769" t="str">
        <f>IF(ISERROR(VLOOKUP(Q28,審判員!$A:$C,2,FALSE))=TRUE,"",VLOOKUP(Q28,審判員!$A:$C,2,FALSE))</f>
        <v>西村　竜司</v>
      </c>
      <c r="R29" s="770"/>
      <c r="S29" s="83" t="str">
        <f>IF(ISERROR(VLOOKUP(Q28,審判員!$A:$C,3,FALSE))=TRUE,"",VLOOKUP(Q28,審判員!$A:$C,3,FALSE))</f>
        <v>３級</v>
      </c>
      <c r="T29" s="31" t="s">
        <v>196</v>
      </c>
      <c r="U29" s="32" t="str">
        <f>IF(ISERROR(VLOOKUP(CONCATENATE($U$10,"_",V29),選手名簿!$A:$E,5,FALSE))=TRUE,"",VLOOKUP(CONCATENATE($U$10,"_",V29),選手名簿!$A:$E,5,FALSE))</f>
        <v/>
      </c>
      <c r="V29" s="33"/>
      <c r="W29" s="33"/>
      <c r="X29" s="33"/>
      <c r="Y29" s="22"/>
      <c r="Z29" s="33"/>
      <c r="AA29" s="33"/>
      <c r="AB29" s="33"/>
      <c r="AC29" s="34" t="str">
        <f>IF(ISERROR(VLOOKUP(CONCATENATE($AC$10,"_",AB29),選手名簿!$A:$E,5,FALSE))=TRUE,"",VLOOKUP(CONCATENATE($AC$10,"_",AB29),選手名簿!$A:$E,5,FALSE))</f>
        <v/>
      </c>
    </row>
    <row r="30" spans="1:29" ht="20.25" customHeight="1" x14ac:dyDescent="0.45">
      <c r="A30" s="29" t="s">
        <v>226</v>
      </c>
      <c r="B30" s="774" t="s">
        <v>1331</v>
      </c>
      <c r="C30" s="774"/>
      <c r="D30" s="774"/>
      <c r="E30" s="31" t="s">
        <v>196</v>
      </c>
      <c r="F30" s="32" t="str">
        <f>IF(ISERROR(VLOOKUP(CONCATENATE($F$10,"_",G30),選手名簿!$A:$E,5,FALSE))=TRUE,"",VLOOKUP(CONCATENATE($F$10,"_",G30),選手名簿!$A:$E,5,FALSE))</f>
        <v/>
      </c>
      <c r="G30" s="33"/>
      <c r="H30" s="33"/>
      <c r="I30" s="33"/>
      <c r="J30" s="22"/>
      <c r="K30" s="33"/>
      <c r="L30" s="33"/>
      <c r="M30" s="33"/>
      <c r="N30" s="34" t="str">
        <f>IF(ISERROR(VLOOKUP(CONCATENATE($N$10,"_",M30),選手名簿!$A:$E,5,FALSE))=TRUE,"",VLOOKUP(CONCATENATE($N$10,"_",M30),選手名簿!$A:$E,5,FALSE))</f>
        <v/>
      </c>
      <c r="P30" s="29" t="s">
        <v>226</v>
      </c>
      <c r="Q30" s="773" t="s">
        <v>1446</v>
      </c>
      <c r="R30" s="773"/>
      <c r="S30" s="773"/>
      <c r="T30" s="31" t="s">
        <v>196</v>
      </c>
      <c r="U30" s="32" t="str">
        <f>IF(ISERROR(VLOOKUP(CONCATENATE($U$10,"_",V30),選手名簿!$A:$E,5,FALSE))=TRUE,"",VLOOKUP(CONCATENATE($U$10,"_",V30),選手名簿!$A:$E,5,FALSE))</f>
        <v/>
      </c>
      <c r="V30" s="33"/>
      <c r="W30" s="33"/>
      <c r="X30" s="33"/>
      <c r="Y30" s="22"/>
      <c r="Z30" s="33"/>
      <c r="AA30" s="33"/>
      <c r="AB30" s="33"/>
      <c r="AC30" s="34" t="str">
        <f>IF(ISERROR(VLOOKUP(CONCATENATE($AC$10,"_",AB30),選手名簿!$A:$E,5,FALSE))=TRUE,"",VLOOKUP(CONCATENATE($AC$10,"_",AB30),選手名簿!$A:$E,5,FALSE))</f>
        <v/>
      </c>
    </row>
    <row r="31" spans="1:29" ht="20.25" customHeight="1" thickBot="1" x14ac:dyDescent="0.6">
      <c r="A31" s="83" t="s">
        <v>1963</v>
      </c>
      <c r="B31" s="769" t="str">
        <f>IF(ISERROR(VLOOKUP(B30,審判員!$A:$C,2,FALSE))=TRUE,"",VLOOKUP(B30,審判員!$A:$C,2,FALSE))</f>
        <v>長田　敏明</v>
      </c>
      <c r="C31" s="770"/>
      <c r="D31" s="30" t="str">
        <f>IF(ISERROR(VLOOKUP(B30,審判員!$A:$C,3,FALSE))=TRUE,"",VLOOKUP(B30,審判員!$A:$C,3,FALSE))</f>
        <v>３級</v>
      </c>
      <c r="E31" s="35" t="s">
        <v>196</v>
      </c>
      <c r="F31" s="36" t="str">
        <f>IF(ISERROR(VLOOKUP(CONCATENATE($F$10,"_",G31),選手名簿!$A:$E,5,FALSE))=TRUE,"",VLOOKUP(CONCATENATE($F$10,"_",G31),選手名簿!$A:$E,5,FALSE))</f>
        <v/>
      </c>
      <c r="G31" s="37"/>
      <c r="H31" s="37"/>
      <c r="I31" s="37"/>
      <c r="J31" s="27"/>
      <c r="K31" s="37"/>
      <c r="L31" s="37"/>
      <c r="M31" s="37"/>
      <c r="N31" s="38" t="str">
        <f>IF(ISERROR(VLOOKUP(CONCATENATE($N$10,"_",M31),選手名簿!$A:$E,5,FALSE))=TRUE,"",VLOOKUP(CONCATENATE($N$10,"_",M31),選手名簿!$A:$E,5,FALSE))</f>
        <v/>
      </c>
      <c r="P31" s="83" t="s">
        <v>1963</v>
      </c>
      <c r="Q31" s="769" t="str">
        <f>IF(ISERROR(VLOOKUP(Q30,審判員!$A:$C,2,FALSE))=TRUE,"",VLOOKUP(Q30,審判員!$A:$C,2,FALSE))</f>
        <v>阿部　浩之</v>
      </c>
      <c r="R31" s="770"/>
      <c r="S31" s="83" t="str">
        <f>IF(ISERROR(VLOOKUP(Q30,審判員!$A:$C,3,FALSE))=TRUE,"",VLOOKUP(Q30,審判員!$A:$C,3,FALSE))</f>
        <v>３級</v>
      </c>
      <c r="T31" s="35" t="s">
        <v>196</v>
      </c>
      <c r="U31" s="36" t="str">
        <f>IF(ISERROR(VLOOKUP(CONCATENATE($U$10,"_",V31),選手名簿!$A:$E,5,FALSE))=TRUE,"",VLOOKUP(CONCATENATE($U$10,"_",V31),選手名簿!$A:$E,5,FALSE))</f>
        <v/>
      </c>
      <c r="V31" s="37"/>
      <c r="W31" s="37"/>
      <c r="X31" s="37"/>
      <c r="Y31" s="27"/>
      <c r="Z31" s="37"/>
      <c r="AA31" s="37"/>
      <c r="AB31" s="37"/>
      <c r="AC31" s="38" t="str">
        <f>IF(ISERROR(VLOOKUP(CONCATENATE($AC$10,"_",AB31),選手名簿!$A:$E,5,FALSE))=TRUE,"",VLOOKUP(CONCATENATE($AC$10,"_",AB31),選手名簿!$A:$E,5,FALSE))</f>
        <v/>
      </c>
    </row>
    <row r="32" spans="1:29" ht="9.9499999999999993" customHeight="1" x14ac:dyDescent="0.45">
      <c r="E32" s="39"/>
      <c r="T32" s="39"/>
    </row>
    <row r="33" spans="1:29" ht="9.9499999999999993" customHeight="1" x14ac:dyDescent="0.45">
      <c r="E33" s="39"/>
      <c r="T33" s="39"/>
    </row>
    <row r="34" spans="1:29" ht="9.9499999999999993" customHeight="1" x14ac:dyDescent="0.45"/>
    <row r="35" spans="1:29" ht="9.9499999999999993" customHeight="1" x14ac:dyDescent="0.45"/>
    <row r="36" spans="1:29" ht="9.9499999999999993" customHeight="1" x14ac:dyDescent="0.45"/>
    <row r="37" spans="1:29" ht="9.9499999999999993" customHeight="1" x14ac:dyDescent="0.45"/>
    <row r="38" spans="1:29" ht="9.9499999999999993" customHeight="1" thickBot="1" x14ac:dyDescent="0.6">
      <c r="E38" s="39"/>
      <c r="T38" s="39"/>
    </row>
    <row r="39" spans="1:29" ht="27.4" customHeight="1" x14ac:dyDescent="0.45">
      <c r="A39" s="365" t="s">
        <v>3235</v>
      </c>
      <c r="B39" s="789" t="s">
        <v>11838</v>
      </c>
      <c r="C39" s="790"/>
      <c r="D39" s="791"/>
      <c r="E39" s="778">
        <v>0.52083333333333337</v>
      </c>
      <c r="F39" s="781" t="str">
        <f>F6</f>
        <v>リノスフットボールクラブ　Ｕ－１２</v>
      </c>
      <c r="G39" s="784">
        <f>IF(I39="","",SUM(I39:I40))</f>
        <v>1</v>
      </c>
      <c r="H39" s="793" t="s">
        <v>205</v>
      </c>
      <c r="I39" s="84">
        <v>0</v>
      </c>
      <c r="J39" s="84" t="s">
        <v>116</v>
      </c>
      <c r="K39" s="84">
        <v>0</v>
      </c>
      <c r="L39" s="793" t="s">
        <v>206</v>
      </c>
      <c r="M39" s="784">
        <f>IF(K39="","",SUM(K39:K40))</f>
        <v>0</v>
      </c>
      <c r="N39" s="775" t="str">
        <f>F7</f>
        <v>カティオーラフットボールクラブＵ－１２</v>
      </c>
      <c r="P39" s="365" t="s">
        <v>3235</v>
      </c>
      <c r="Q39" s="789" t="s">
        <v>1434</v>
      </c>
      <c r="R39" s="790"/>
      <c r="S39" s="791"/>
      <c r="T39" s="778">
        <v>0.5625</v>
      </c>
      <c r="U39" s="781" t="str">
        <f>U6</f>
        <v>ＫＩＮＧＳ　ＦＯＯＴＢＡＬＬＣＬＵＢ　Ｕ－１２</v>
      </c>
      <c r="V39" s="784">
        <f>IF(X39="","",SUM(X39:X40))</f>
        <v>2</v>
      </c>
      <c r="W39" s="793" t="s">
        <v>205</v>
      </c>
      <c r="X39" s="84">
        <v>1</v>
      </c>
      <c r="Y39" s="84" t="s">
        <v>116</v>
      </c>
      <c r="Z39" s="84">
        <v>0</v>
      </c>
      <c r="AA39" s="793" t="s">
        <v>206</v>
      </c>
      <c r="AB39" s="784">
        <f>IF(Z39="","",SUM(Z39:Z40))</f>
        <v>0</v>
      </c>
      <c r="AC39" s="775" t="str">
        <f>U7</f>
        <v>ドリームキッズフットボールクラブ</v>
      </c>
    </row>
    <row r="40" spans="1:29" ht="27.4" customHeight="1" x14ac:dyDescent="0.45">
      <c r="A40" s="366" t="s">
        <v>3236</v>
      </c>
      <c r="B40" s="792" t="s">
        <v>3924</v>
      </c>
      <c r="C40" s="792"/>
      <c r="D40" s="789"/>
      <c r="E40" s="779"/>
      <c r="F40" s="782"/>
      <c r="G40" s="785"/>
      <c r="H40" s="794"/>
      <c r="I40" s="9">
        <v>1</v>
      </c>
      <c r="J40" s="9" t="s">
        <v>117</v>
      </c>
      <c r="K40" s="9">
        <v>0</v>
      </c>
      <c r="L40" s="794"/>
      <c r="M40" s="785"/>
      <c r="N40" s="776"/>
      <c r="P40" s="366" t="s">
        <v>3236</v>
      </c>
      <c r="Q40" s="792" t="s">
        <v>3924</v>
      </c>
      <c r="R40" s="792"/>
      <c r="S40" s="789"/>
      <c r="T40" s="779"/>
      <c r="U40" s="782"/>
      <c r="V40" s="785"/>
      <c r="W40" s="794"/>
      <c r="X40" s="9">
        <v>1</v>
      </c>
      <c r="Y40" s="9" t="s">
        <v>117</v>
      </c>
      <c r="Z40" s="9">
        <v>0</v>
      </c>
      <c r="AA40" s="794"/>
      <c r="AB40" s="785"/>
      <c r="AC40" s="776"/>
    </row>
    <row r="41" spans="1:29" ht="27.4" customHeight="1" thickBot="1" x14ac:dyDescent="0.6">
      <c r="A41" s="366" t="s">
        <v>3237</v>
      </c>
      <c r="B41" s="792" t="s">
        <v>11840</v>
      </c>
      <c r="C41" s="792"/>
      <c r="D41" s="789"/>
      <c r="E41" s="780"/>
      <c r="F41" s="783"/>
      <c r="G41" s="786"/>
      <c r="H41" s="795"/>
      <c r="I41" s="85"/>
      <c r="J41" s="85" t="s">
        <v>188</v>
      </c>
      <c r="K41" s="85"/>
      <c r="L41" s="795"/>
      <c r="M41" s="786"/>
      <c r="N41" s="777"/>
      <c r="P41" s="366" t="s">
        <v>3237</v>
      </c>
      <c r="Q41" s="792" t="s">
        <v>11838</v>
      </c>
      <c r="R41" s="792"/>
      <c r="S41" s="789"/>
      <c r="T41" s="780"/>
      <c r="U41" s="783"/>
      <c r="V41" s="786"/>
      <c r="W41" s="795"/>
      <c r="X41" s="85"/>
      <c r="Y41" s="85" t="s">
        <v>188</v>
      </c>
      <c r="Z41" s="85"/>
      <c r="AA41" s="795"/>
      <c r="AB41" s="786"/>
      <c r="AC41" s="777"/>
    </row>
    <row r="42" spans="1:29" ht="20.25" customHeight="1" thickTop="1" x14ac:dyDescent="0.45">
      <c r="A42" s="787" t="s">
        <v>1964</v>
      </c>
      <c r="B42" s="787"/>
      <c r="C42" s="787"/>
      <c r="D42" s="788"/>
      <c r="E42" s="15"/>
      <c r="F42" s="16" t="s">
        <v>190</v>
      </c>
      <c r="G42" s="16" t="s">
        <v>1965</v>
      </c>
      <c r="H42" s="16" t="s">
        <v>145</v>
      </c>
      <c r="I42" s="16"/>
      <c r="J42" s="17"/>
      <c r="K42" s="16"/>
      <c r="L42" s="16" t="s">
        <v>145</v>
      </c>
      <c r="M42" s="16" t="s">
        <v>1965</v>
      </c>
      <c r="N42" s="18" t="s">
        <v>190</v>
      </c>
      <c r="P42" s="787" t="s">
        <v>1964</v>
      </c>
      <c r="Q42" s="787"/>
      <c r="R42" s="787"/>
      <c r="S42" s="788"/>
      <c r="T42" s="15"/>
      <c r="U42" s="16" t="s">
        <v>190</v>
      </c>
      <c r="V42" s="16" t="s">
        <v>1965</v>
      </c>
      <c r="W42" s="16" t="s">
        <v>145</v>
      </c>
      <c r="X42" s="16"/>
      <c r="Y42" s="17"/>
      <c r="Z42" s="16"/>
      <c r="AA42" s="16" t="s">
        <v>145</v>
      </c>
      <c r="AB42" s="16" t="s">
        <v>1965</v>
      </c>
      <c r="AC42" s="18" t="s">
        <v>190</v>
      </c>
    </row>
    <row r="43" spans="1:29" ht="20.25" hidden="1" customHeight="1" x14ac:dyDescent="0.45">
      <c r="E43" s="19" t="s">
        <v>228</v>
      </c>
      <c r="F43" s="20" t="str">
        <f>IF(ISERROR(VLOOKUP(CONCATENATE($F$39,"_",G43),選手名簿!$A:$E,5,FALSE))=TRUE,"",VLOOKUP(CONCATENATE($F$39,"_",G43),選手名簿!$A:$E,5,FALSE))</f>
        <v/>
      </c>
      <c r="G43" s="21"/>
      <c r="H43" s="21"/>
      <c r="I43" s="21"/>
      <c r="J43" s="22"/>
      <c r="K43" s="21"/>
      <c r="L43" s="21"/>
      <c r="M43" s="21"/>
      <c r="N43" s="23" t="str">
        <f>IF(ISERROR(VLOOKUP(CONCATENATE($N$39,"_",M43),選手名簿!$A:$E,5,FALSE))=TRUE,"",VLOOKUP(CONCATENATE($N$39,"_",M43),選手名簿!$A:$E,5,FALSE))</f>
        <v/>
      </c>
      <c r="T43" s="19" t="s">
        <v>228</v>
      </c>
      <c r="U43" s="20" t="str">
        <f>IF(ISERROR(VLOOKUP(CONCATENATE($U$39,"_",V43),選手名簿!$A:$E,5,FALSE))=TRUE,"",VLOOKUP(CONCATENATE($U$39,"_",V43),選手名簿!$A:$E,5,FALSE))</f>
        <v/>
      </c>
      <c r="V43" s="21"/>
      <c r="W43" s="21"/>
      <c r="X43" s="21"/>
      <c r="Y43" s="22"/>
      <c r="Z43" s="21"/>
      <c r="AA43" s="21"/>
      <c r="AB43" s="21"/>
      <c r="AC43" s="23" t="str">
        <f>IF(ISERROR(VLOOKUP(CONCATENATE($AC$39,"_",AB43),選手名簿!$A:$E,5,FALSE))=TRUE,"",VLOOKUP(CONCATENATE($AC$39,"_",AB43),選手名簿!$A:$E,5,FALSE))</f>
        <v/>
      </c>
    </row>
    <row r="44" spans="1:29" ht="20.25" hidden="1" customHeight="1" x14ac:dyDescent="0.45">
      <c r="E44" s="19" t="s">
        <v>228</v>
      </c>
      <c r="F44" s="20" t="str">
        <f>IF(ISERROR(VLOOKUP(CONCATENATE($F$39,"_",G44),選手名簿!$A:$E,5,FALSE))=TRUE,"",VLOOKUP(CONCATENATE($F$39,"_",G44),選手名簿!$A:$E,5,FALSE))</f>
        <v/>
      </c>
      <c r="G44" s="21"/>
      <c r="H44" s="21"/>
      <c r="I44" s="21"/>
      <c r="J44" s="22"/>
      <c r="K44" s="21"/>
      <c r="L44" s="21"/>
      <c r="M44" s="21"/>
      <c r="N44" s="23" t="str">
        <f>IF(ISERROR(VLOOKUP(CONCATENATE($N$39,"_",M44),選手名簿!$A:$E,5,FALSE))=TRUE,"",VLOOKUP(CONCATENATE($N$39,"_",M44),選手名簿!$A:$E,5,FALSE))</f>
        <v/>
      </c>
      <c r="T44" s="19" t="s">
        <v>228</v>
      </c>
      <c r="U44" s="20" t="str">
        <f>IF(ISERROR(VLOOKUP(CONCATENATE($U$39,"_",V44),選手名簿!$A:$E,5,FALSE))=TRUE,"",VLOOKUP(CONCATENATE($U$39,"_",V44),選手名簿!$A:$E,5,FALSE))</f>
        <v/>
      </c>
      <c r="V44" s="21"/>
      <c r="W44" s="21"/>
      <c r="X44" s="21"/>
      <c r="Y44" s="22"/>
      <c r="Z44" s="21"/>
      <c r="AA44" s="21"/>
      <c r="AB44" s="21"/>
      <c r="AC44" s="23" t="str">
        <f>IF(ISERROR(VLOOKUP(CONCATENATE($AC$39,"_",AB44),選手名簿!$A:$E,5,FALSE))=TRUE,"",VLOOKUP(CONCATENATE($AC$39,"_",AB44),選手名簿!$A:$E,5,FALSE))</f>
        <v/>
      </c>
    </row>
    <row r="45" spans="1:29" ht="20.25" hidden="1" customHeight="1" x14ac:dyDescent="0.45">
      <c r="E45" s="19" t="s">
        <v>228</v>
      </c>
      <c r="F45" s="20" t="str">
        <f>IF(ISERROR(VLOOKUP(CONCATENATE($F$39,"_",G45),選手名簿!$A:$E,5,FALSE))=TRUE,"",VLOOKUP(CONCATENATE($F$39,"_",G45),選手名簿!$A:$E,5,FALSE))</f>
        <v/>
      </c>
      <c r="G45" s="21"/>
      <c r="H45" s="21"/>
      <c r="I45" s="21"/>
      <c r="J45" s="22"/>
      <c r="K45" s="21"/>
      <c r="L45" s="21"/>
      <c r="M45" s="21"/>
      <c r="N45" s="23" t="str">
        <f>IF(ISERROR(VLOOKUP(CONCATENATE($N$39,"_",M45),選手名簿!$A:$E,5,FALSE))=TRUE,"",VLOOKUP(CONCATENATE($N$39,"_",M45),選手名簿!$A:$E,5,FALSE))</f>
        <v/>
      </c>
      <c r="T45" s="19" t="s">
        <v>228</v>
      </c>
      <c r="U45" s="20" t="str">
        <f>IF(ISERROR(VLOOKUP(CONCATENATE($U$39,"_",V45),選手名簿!$A:$E,5,FALSE))=TRUE,"",VLOOKUP(CONCATENATE($U$39,"_",V45),選手名簿!$A:$E,5,FALSE))</f>
        <v/>
      </c>
      <c r="V45" s="21"/>
      <c r="W45" s="21"/>
      <c r="X45" s="21"/>
      <c r="Y45" s="22"/>
      <c r="Z45" s="21"/>
      <c r="AA45" s="21"/>
      <c r="AB45" s="21"/>
      <c r="AC45" s="23" t="str">
        <f>IF(ISERROR(VLOOKUP(CONCATENATE($AC$39,"_",AB45),選手名簿!$A:$E,5,FALSE))=TRUE,"",VLOOKUP(CONCATENATE($AC$39,"_",AB45),選手名簿!$A:$E,5,FALSE))</f>
        <v/>
      </c>
    </row>
    <row r="46" spans="1:29" ht="20.25" hidden="1" customHeight="1" x14ac:dyDescent="0.45">
      <c r="E46" s="19" t="s">
        <v>228</v>
      </c>
      <c r="F46" s="20" t="str">
        <f>IF(ISERROR(VLOOKUP(CONCATENATE($F$39,"_",G46),選手名簿!$A:$E,5,FALSE))=TRUE,"",VLOOKUP(CONCATENATE($F$39,"_",G46),選手名簿!$A:$E,5,FALSE))</f>
        <v/>
      </c>
      <c r="G46" s="21"/>
      <c r="H46" s="21"/>
      <c r="I46" s="21"/>
      <c r="J46" s="22"/>
      <c r="K46" s="21"/>
      <c r="L46" s="21"/>
      <c r="M46" s="21"/>
      <c r="N46" s="23" t="str">
        <f>IF(ISERROR(VLOOKUP(CONCATENATE($N$39,"_",M46),選手名簿!$A:$E,5,FALSE))=TRUE,"",VLOOKUP(CONCATENATE($N$39,"_",M46),選手名簿!$A:$E,5,FALSE))</f>
        <v/>
      </c>
      <c r="T46" s="19" t="s">
        <v>228</v>
      </c>
      <c r="U46" s="20" t="str">
        <f>IF(ISERROR(VLOOKUP(CONCATENATE($U$39,"_",V46),選手名簿!$A:$E,5,FALSE))=TRUE,"",VLOOKUP(CONCATENATE($U$39,"_",V46),選手名簿!$A:$E,5,FALSE))</f>
        <v/>
      </c>
      <c r="V46" s="21"/>
      <c r="W46" s="21"/>
      <c r="X46" s="21"/>
      <c r="Y46" s="22"/>
      <c r="Z46" s="21"/>
      <c r="AA46" s="21"/>
      <c r="AB46" s="21"/>
      <c r="AC46" s="23" t="str">
        <f>IF(ISERROR(VLOOKUP(CONCATENATE($AC$39,"_",AB46),選手名簿!$A:$E,5,FALSE))=TRUE,"",VLOOKUP(CONCATENATE($AC$39,"_",AB46),選手名簿!$A:$E,5,FALSE))</f>
        <v/>
      </c>
    </row>
    <row r="47" spans="1:29" ht="20.25" hidden="1" customHeight="1" x14ac:dyDescent="0.45">
      <c r="E47" s="19" t="s">
        <v>228</v>
      </c>
      <c r="F47" s="20" t="str">
        <f>IF(ISERROR(VLOOKUP(CONCATENATE($F$39,"_",G47),選手名簿!$A:$E,5,FALSE))=TRUE,"",VLOOKUP(CONCATENATE($F$39,"_",G47),選手名簿!$A:$E,5,FALSE))</f>
        <v/>
      </c>
      <c r="G47" s="21"/>
      <c r="H47" s="21"/>
      <c r="I47" s="21"/>
      <c r="J47" s="22"/>
      <c r="K47" s="21"/>
      <c r="L47" s="21"/>
      <c r="M47" s="21"/>
      <c r="N47" s="23" t="str">
        <f>IF(ISERROR(VLOOKUP(CONCATENATE($N$39,"_",M47),選手名簿!$A:$E,5,FALSE))=TRUE,"",VLOOKUP(CONCATENATE($N$39,"_",M47),選手名簿!$A:$E,5,FALSE))</f>
        <v/>
      </c>
      <c r="T47" s="19" t="s">
        <v>228</v>
      </c>
      <c r="U47" s="20" t="str">
        <f>IF(ISERROR(VLOOKUP(CONCATENATE($U$39,"_",V47),選手名簿!$A:$E,5,FALSE))=TRUE,"",VLOOKUP(CONCATENATE($U$39,"_",V47),選手名簿!$A:$E,5,FALSE))</f>
        <v/>
      </c>
      <c r="V47" s="21"/>
      <c r="W47" s="21"/>
      <c r="X47" s="21"/>
      <c r="Y47" s="22"/>
      <c r="Z47" s="21"/>
      <c r="AA47" s="21"/>
      <c r="AB47" s="21"/>
      <c r="AC47" s="23" t="str">
        <f>IF(ISERROR(VLOOKUP(CONCATENATE($AC$39,"_",AB47),選手名簿!$A:$E,5,FALSE))=TRUE,"",VLOOKUP(CONCATENATE($AC$39,"_",AB47),選手名簿!$A:$E,5,FALSE))</f>
        <v/>
      </c>
    </row>
    <row r="48" spans="1:29" ht="20.25" hidden="1" customHeight="1" x14ac:dyDescent="0.45">
      <c r="E48" s="19" t="s">
        <v>228</v>
      </c>
      <c r="F48" s="20" t="str">
        <f>IF(ISERROR(VLOOKUP(CONCATENATE($F$39,"_",G48),選手名簿!$A:$E,5,FALSE))=TRUE,"",VLOOKUP(CONCATENATE($F$39,"_",G48),選手名簿!$A:$E,5,FALSE))</f>
        <v/>
      </c>
      <c r="G48" s="21"/>
      <c r="H48" s="21"/>
      <c r="I48" s="21"/>
      <c r="J48" s="22"/>
      <c r="K48" s="21"/>
      <c r="L48" s="21"/>
      <c r="M48" s="21"/>
      <c r="N48" s="23" t="str">
        <f>IF(ISERROR(VLOOKUP(CONCATENATE($N$39,"_",M48),選手名簿!$A:$E,5,FALSE))=TRUE,"",VLOOKUP(CONCATENATE($N$39,"_",M48),選手名簿!$A:$E,5,FALSE))</f>
        <v/>
      </c>
      <c r="T48" s="19" t="s">
        <v>228</v>
      </c>
      <c r="U48" s="20" t="str">
        <f>IF(ISERROR(VLOOKUP(CONCATENATE($U$39,"_",V48),選手名簿!$A:$E,5,FALSE))=TRUE,"",VLOOKUP(CONCATENATE($U$39,"_",V48),選手名簿!$A:$E,5,FALSE))</f>
        <v/>
      </c>
      <c r="V48" s="21"/>
      <c r="W48" s="21"/>
      <c r="X48" s="21"/>
      <c r="Y48" s="22"/>
      <c r="Z48" s="21"/>
      <c r="AA48" s="21"/>
      <c r="AB48" s="21"/>
      <c r="AC48" s="23" t="str">
        <f>IF(ISERROR(VLOOKUP(CONCATENATE($AC$39,"_",AB48),選手名簿!$A:$E,5,FALSE))=TRUE,"",VLOOKUP(CONCATENATE($AC$39,"_",AB48),選手名簿!$A:$E,5,FALSE))</f>
        <v/>
      </c>
    </row>
    <row r="49" spans="1:29" ht="20.25" hidden="1" customHeight="1" x14ac:dyDescent="0.45">
      <c r="E49" s="19" t="s">
        <v>228</v>
      </c>
      <c r="F49" s="20" t="str">
        <f>IF(ISERROR(VLOOKUP(CONCATENATE($F$39,"_",G49),選手名簿!$A:$E,5,FALSE))=TRUE,"",VLOOKUP(CONCATENATE($F$39,"_",G49),選手名簿!$A:$E,5,FALSE))</f>
        <v/>
      </c>
      <c r="G49" s="21"/>
      <c r="H49" s="21"/>
      <c r="I49" s="21"/>
      <c r="J49" s="22"/>
      <c r="K49" s="21"/>
      <c r="L49" s="21"/>
      <c r="M49" s="21"/>
      <c r="N49" s="23" t="str">
        <f>IF(ISERROR(VLOOKUP(CONCATENATE($N$39,"_",M49),選手名簿!$A:$E,5,FALSE))=TRUE,"",VLOOKUP(CONCATENATE($N$39,"_",M49),選手名簿!$A:$E,5,FALSE))</f>
        <v/>
      </c>
      <c r="T49" s="19" t="s">
        <v>228</v>
      </c>
      <c r="U49" s="20" t="str">
        <f>IF(ISERROR(VLOOKUP(CONCATENATE($U$39,"_",V49),選手名簿!$A:$E,5,FALSE))=TRUE,"",VLOOKUP(CONCATENATE($U$39,"_",V49),選手名簿!$A:$E,5,FALSE))</f>
        <v/>
      </c>
      <c r="V49" s="21"/>
      <c r="W49" s="21"/>
      <c r="X49" s="21"/>
      <c r="Y49" s="22"/>
      <c r="Z49" s="21"/>
      <c r="AA49" s="21"/>
      <c r="AB49" s="21"/>
      <c r="AC49" s="23" t="str">
        <f>IF(ISERROR(VLOOKUP(CONCATENATE($AC$39,"_",AB49),選手名簿!$A:$E,5,FALSE))=TRUE,"",VLOOKUP(CONCATENATE($AC$39,"_",AB49),選手名簿!$A:$E,5,FALSE))</f>
        <v/>
      </c>
    </row>
    <row r="50" spans="1:29" ht="20.25" hidden="1" customHeight="1" x14ac:dyDescent="0.45">
      <c r="E50" s="19" t="s">
        <v>228</v>
      </c>
      <c r="F50" s="20" t="str">
        <f>IF(ISERROR(VLOOKUP(CONCATENATE($F$39,"_",G50),選手名簿!$A:$E,5,FALSE))=TRUE,"",VLOOKUP(CONCATENATE($F$39,"_",G50),選手名簿!$A:$E,5,FALSE))</f>
        <v/>
      </c>
      <c r="G50" s="21"/>
      <c r="H50" s="21"/>
      <c r="I50" s="21"/>
      <c r="J50" s="22"/>
      <c r="K50" s="21"/>
      <c r="L50" s="21"/>
      <c r="M50" s="21"/>
      <c r="N50" s="23" t="str">
        <f>IF(ISERROR(VLOOKUP(CONCATENATE($N$39,"_",M50),選手名簿!$A:$E,5,FALSE))=TRUE,"",VLOOKUP(CONCATENATE($N$39,"_",M50),選手名簿!$A:$E,5,FALSE))</f>
        <v/>
      </c>
      <c r="T50" s="19" t="s">
        <v>228</v>
      </c>
      <c r="U50" s="20" t="str">
        <f>IF(ISERROR(VLOOKUP(CONCATENATE($U$39,"_",V50),選手名簿!$A:$E,5,FALSE))=TRUE,"",VLOOKUP(CONCATENATE($U$39,"_",V50),選手名簿!$A:$E,5,FALSE))</f>
        <v/>
      </c>
      <c r="V50" s="21"/>
      <c r="W50" s="21"/>
      <c r="X50" s="21"/>
      <c r="Y50" s="22"/>
      <c r="Z50" s="21"/>
      <c r="AA50" s="21"/>
      <c r="AB50" s="21"/>
      <c r="AC50" s="23" t="str">
        <f>IF(ISERROR(VLOOKUP(CONCATENATE($AC$39,"_",AB50),選手名簿!$A:$E,5,FALSE))=TRUE,"",VLOOKUP(CONCATENATE($AC$39,"_",AB50),選手名簿!$A:$E,5,FALSE))</f>
        <v/>
      </c>
    </row>
    <row r="51" spans="1:29" ht="20.25" hidden="1" customHeight="1" x14ac:dyDescent="0.45">
      <c r="E51" s="19" t="s">
        <v>228</v>
      </c>
      <c r="F51" s="20" t="str">
        <f>IF(ISERROR(VLOOKUP(CONCATENATE($F$39,"_",G51),選手名簿!$A:$E,5,FALSE))=TRUE,"",VLOOKUP(CONCATENATE($F$39,"_",G51),選手名簿!$A:$E,5,FALSE))</f>
        <v/>
      </c>
      <c r="G51" s="21"/>
      <c r="H51" s="21"/>
      <c r="I51" s="21"/>
      <c r="J51" s="22"/>
      <c r="K51" s="21"/>
      <c r="L51" s="21"/>
      <c r="M51" s="21"/>
      <c r="N51" s="23" t="str">
        <f>IF(ISERROR(VLOOKUP(CONCATENATE($N$39,"_",M51),選手名簿!$A:$E,5,FALSE))=TRUE,"",VLOOKUP(CONCATENATE($N$39,"_",M51),選手名簿!$A:$E,5,FALSE))</f>
        <v/>
      </c>
      <c r="T51" s="19" t="s">
        <v>228</v>
      </c>
      <c r="U51" s="20" t="str">
        <f>IF(ISERROR(VLOOKUP(CONCATENATE($U$39,"_",V51),選手名簿!$A:$E,5,FALSE))=TRUE,"",VLOOKUP(CONCATENATE($U$39,"_",V51),選手名簿!$A:$E,5,FALSE))</f>
        <v/>
      </c>
      <c r="V51" s="21"/>
      <c r="W51" s="21"/>
      <c r="X51" s="21"/>
      <c r="Y51" s="22"/>
      <c r="Z51" s="21"/>
      <c r="AA51" s="21"/>
      <c r="AB51" s="21"/>
      <c r="AC51" s="23" t="str">
        <f>IF(ISERROR(VLOOKUP(CONCATENATE($AC$39,"_",AB51),選手名簿!$A:$E,5,FALSE))=TRUE,"",VLOOKUP(CONCATENATE($AC$39,"_",AB51),選手名簿!$A:$E,5,FALSE))</f>
        <v/>
      </c>
    </row>
    <row r="52" spans="1:29" ht="20.25" hidden="1" customHeight="1" thickBot="1" x14ac:dyDescent="0.6">
      <c r="E52" s="24" t="s">
        <v>228</v>
      </c>
      <c r="F52" s="25" t="str">
        <f>IF(ISERROR(VLOOKUP(CONCATENATE($F$39,"_",G52),選手名簿!$A:$E,5,FALSE))=TRUE,"",VLOOKUP(CONCATENATE($F$39,"_",G52),選手名簿!$A:$E,5,FALSE))</f>
        <v/>
      </c>
      <c r="G52" s="26"/>
      <c r="H52" s="26"/>
      <c r="I52" s="26"/>
      <c r="J52" s="27"/>
      <c r="K52" s="26"/>
      <c r="L52" s="26"/>
      <c r="M52" s="26"/>
      <c r="N52" s="28" t="str">
        <f>IF(ISERROR(VLOOKUP(CONCATENATE($N$39,"_",M52),選手名簿!$A:$E,5,FALSE))=TRUE,"",VLOOKUP(CONCATENATE($N$39,"_",M52),選手名簿!$A:$E,5,FALSE))</f>
        <v/>
      </c>
      <c r="T52" s="24" t="s">
        <v>228</v>
      </c>
      <c r="U52" s="25" t="str">
        <f>IF(ISERROR(VLOOKUP(CONCATENATE($U$39,"_",V52),選手名簿!$A:$E,5,FALSE))=TRUE,"",VLOOKUP(CONCATENATE($U$39,"_",V52),選手名簿!$A:$E,5,FALSE))</f>
        <v/>
      </c>
      <c r="V52" s="26"/>
      <c r="W52" s="26"/>
      <c r="X52" s="26"/>
      <c r="Y52" s="27"/>
      <c r="Z52" s="26"/>
      <c r="AA52" s="26"/>
      <c r="AB52" s="26"/>
      <c r="AC52" s="28" t="str">
        <f>IF(ISERROR(VLOOKUP(CONCATENATE($AC$39,"_",AB52),選手名簿!$A:$E,5,FALSE))=TRUE,"",VLOOKUP(CONCATENATE($AC$39,"_",AB52),選手名簿!$A:$E,5,FALSE))</f>
        <v/>
      </c>
    </row>
    <row r="53" spans="1:29" ht="20.25" customHeight="1" x14ac:dyDescent="0.45">
      <c r="A53" s="29" t="s">
        <v>226</v>
      </c>
      <c r="B53" s="773" t="s">
        <v>1446</v>
      </c>
      <c r="C53" s="773"/>
      <c r="D53" s="773"/>
      <c r="E53" s="19" t="s">
        <v>196</v>
      </c>
      <c r="F53" s="20" t="str">
        <f>IF(ISERROR(VLOOKUP(CONCATENATE($F$39,"_",G53),選手名簿!$A:$E,5,FALSE))=TRUE,"",VLOOKUP(CONCATENATE($F$39,"_",G53),選手名簿!$A:$E,5,FALSE))</f>
        <v/>
      </c>
      <c r="G53" s="21"/>
      <c r="H53" s="21"/>
      <c r="I53" s="21"/>
      <c r="J53" s="22"/>
      <c r="K53" s="21"/>
      <c r="L53" s="21"/>
      <c r="M53" s="21"/>
      <c r="N53" s="23" t="str">
        <f>IF(ISERROR(VLOOKUP(CONCATENATE($N$39,"_",M53),選手名簿!$A:$E,5,FALSE))=TRUE,"",VLOOKUP(CONCATENATE($N$39,"_",M53),選手名簿!$A:$E,5,FALSE))</f>
        <v/>
      </c>
      <c r="P53" s="29" t="s">
        <v>226</v>
      </c>
      <c r="Q53" s="774" t="s">
        <v>573</v>
      </c>
      <c r="R53" s="774"/>
      <c r="S53" s="774"/>
      <c r="T53" s="19" t="s">
        <v>196</v>
      </c>
      <c r="U53" s="20" t="str">
        <f>IF(ISERROR(VLOOKUP(CONCATENATE($U$39,"_",V53),選手名簿!$A:$E,5,FALSE))=TRUE,"",VLOOKUP(CONCATENATE($U$39,"_",V53),選手名簿!$A:$E,5,FALSE))</f>
        <v/>
      </c>
      <c r="V53" s="21"/>
      <c r="W53" s="21"/>
      <c r="X53" s="21"/>
      <c r="Y53" s="22"/>
      <c r="Z53" s="21"/>
      <c r="AA53" s="21"/>
      <c r="AB53" s="21"/>
      <c r="AC53" s="23" t="str">
        <f>IF(ISERROR(VLOOKUP(CONCATENATE($AC$39,"_",AB53),選手名簿!$A:$E,5,FALSE))=TRUE,"",VLOOKUP(CONCATENATE($AC$39,"_",AB53),選手名簿!$A:$E,5,FALSE))</f>
        <v/>
      </c>
    </row>
    <row r="54" spans="1:29" ht="20.25" customHeight="1" x14ac:dyDescent="0.45">
      <c r="A54" s="83" t="s">
        <v>1959</v>
      </c>
      <c r="B54" s="769" t="str">
        <f>IF(ISERROR(VLOOKUP(B53,審判員!$A:$C,2,FALSE))=TRUE,"",VLOOKUP(B53,審判員!$A:$C,2,FALSE))</f>
        <v>阿部　浩之</v>
      </c>
      <c r="C54" s="770"/>
      <c r="D54" s="83" t="str">
        <f>IF(ISERROR(VLOOKUP(B53,審判員!$A:$C,3,FALSE))=TRUE,"",VLOOKUP(B53,審判員!$A:$C,3,FALSE))</f>
        <v>３級</v>
      </c>
      <c r="E54" s="31" t="s">
        <v>196</v>
      </c>
      <c r="F54" s="32" t="str">
        <f>IF(ISERROR(VLOOKUP(CONCATENATE($F$39,"_",G54),選手名簿!$A:$E,5,FALSE))=TRUE,"",VLOOKUP(CONCATENATE($F$39,"_",G54),選手名簿!$A:$E,5,FALSE))</f>
        <v/>
      </c>
      <c r="G54" s="33"/>
      <c r="H54" s="33"/>
      <c r="I54" s="33"/>
      <c r="J54" s="22"/>
      <c r="K54" s="33"/>
      <c r="L54" s="33"/>
      <c r="M54" s="33"/>
      <c r="N54" s="34" t="str">
        <f>IF(ISERROR(VLOOKUP(CONCATENATE($N$39,"_",M54),選手名簿!$A:$E,5,FALSE))=TRUE,"",VLOOKUP(CONCATENATE($N$39,"_",M54),選手名簿!$A:$E,5,FALSE))</f>
        <v/>
      </c>
      <c r="P54" s="83" t="s">
        <v>1959</v>
      </c>
      <c r="Q54" s="769" t="str">
        <f>IF(ISERROR(VLOOKUP(Q53,審判員!$A:$C,2,FALSE))=TRUE,"",VLOOKUP(Q53,審判員!$A:$C,2,FALSE))</f>
        <v>清家　大介</v>
      </c>
      <c r="R54" s="770"/>
      <c r="S54" s="83" t="str">
        <f>IF(ISERROR(VLOOKUP(Q53,審判員!$A:$C,3,FALSE))=TRUE,"",VLOOKUP(Q53,審判員!$A:$C,3,FALSE))</f>
        <v>３級</v>
      </c>
      <c r="T54" s="31" t="s">
        <v>196</v>
      </c>
      <c r="U54" s="32" t="str">
        <f>IF(ISERROR(VLOOKUP(CONCATENATE($U$39,"_",V54),選手名簿!$A:$E,5,FALSE))=TRUE,"",VLOOKUP(CONCATENATE($U$39,"_",V54),選手名簿!$A:$E,5,FALSE))</f>
        <v/>
      </c>
      <c r="V54" s="33"/>
      <c r="W54" s="33"/>
      <c r="X54" s="33"/>
      <c r="Y54" s="22"/>
      <c r="Z54" s="33"/>
      <c r="AA54" s="33"/>
      <c r="AB54" s="33"/>
      <c r="AC54" s="34" t="str">
        <f>IF(ISERROR(VLOOKUP(CONCATENATE($AC$39,"_",AB54),選手名簿!$A:$E,5,FALSE))=TRUE,"",VLOOKUP(CONCATENATE($AC$39,"_",AB54),選手名簿!$A:$E,5,FALSE))</f>
        <v/>
      </c>
    </row>
    <row r="55" spans="1:29" ht="20.25" customHeight="1" x14ac:dyDescent="0.45">
      <c r="A55" s="29" t="s">
        <v>226</v>
      </c>
      <c r="B55" s="771" t="s">
        <v>11861</v>
      </c>
      <c r="C55" s="771"/>
      <c r="D55" s="772"/>
      <c r="E55" s="31" t="s">
        <v>196</v>
      </c>
      <c r="F55" s="32" t="str">
        <f>IF(ISERROR(VLOOKUP(CONCATENATE($F$39,"_",G55),選手名簿!$A:$E,5,FALSE))=TRUE,"",VLOOKUP(CONCATENATE($F$39,"_",G55),選手名簿!$A:$E,5,FALSE))</f>
        <v/>
      </c>
      <c r="G55" s="33"/>
      <c r="H55" s="33"/>
      <c r="I55" s="33"/>
      <c r="J55" s="22"/>
      <c r="K55" s="33"/>
      <c r="L55" s="33"/>
      <c r="M55" s="33"/>
      <c r="N55" s="34" t="str">
        <f>IF(ISERROR(VLOOKUP(CONCATENATE($N$39,"_",M55),選手名簿!$A:$E,5,FALSE))=TRUE,"",VLOOKUP(CONCATENATE($N$39,"_",M55),選手名簿!$A:$E,5,FALSE))</f>
        <v/>
      </c>
      <c r="P55" s="29" t="s">
        <v>226</v>
      </c>
      <c r="Q55" s="771" t="s">
        <v>11852</v>
      </c>
      <c r="R55" s="771"/>
      <c r="S55" s="772"/>
      <c r="T55" s="31" t="s">
        <v>196</v>
      </c>
      <c r="U55" s="32" t="str">
        <f>IF(ISERROR(VLOOKUP(CONCATENATE($U$39,"_",V55),選手名簿!$A:$E,5,FALSE))=TRUE,"",VLOOKUP(CONCATENATE($U$39,"_",V55),選手名簿!$A:$E,5,FALSE))</f>
        <v/>
      </c>
      <c r="V55" s="33"/>
      <c r="W55" s="33"/>
      <c r="X55" s="33"/>
      <c r="Y55" s="22"/>
      <c r="Z55" s="33"/>
      <c r="AA55" s="33"/>
      <c r="AB55" s="33"/>
      <c r="AC55" s="34" t="str">
        <f>IF(ISERROR(VLOOKUP(CONCATENATE($AC$39,"_",AB55),選手名簿!$A:$E,5,FALSE))=TRUE,"",VLOOKUP(CONCATENATE($AC$39,"_",AB55),選手名簿!$A:$E,5,FALSE))</f>
        <v/>
      </c>
    </row>
    <row r="56" spans="1:29" ht="20.25" customHeight="1" x14ac:dyDescent="0.45">
      <c r="A56" s="83" t="s">
        <v>1966</v>
      </c>
      <c r="B56" s="769" t="str">
        <f>IF(ISERROR(VLOOKUP(B55,審判員!$A:$C,2,FALSE))=TRUE,"",VLOOKUP(B55,審判員!$A:$C,2,FALSE))</f>
        <v>箕迫　雄介</v>
      </c>
      <c r="C56" s="770"/>
      <c r="D56" s="83" t="str">
        <f>IF(ISERROR(VLOOKUP(B55,審判員!$A:$C,3,FALSE))=TRUE,"",VLOOKUP(B55,審判員!$A:$C,3,FALSE))</f>
        <v>３級</v>
      </c>
      <c r="E56" s="31" t="s">
        <v>196</v>
      </c>
      <c r="F56" s="32" t="str">
        <f>IF(ISERROR(VLOOKUP(CONCATENATE($F$39,"_",G56),選手名簿!$A:$E,5,FALSE))=TRUE,"",VLOOKUP(CONCATENATE($F$39,"_",G56),選手名簿!$A:$E,5,FALSE))</f>
        <v/>
      </c>
      <c r="G56" s="33"/>
      <c r="H56" s="33"/>
      <c r="I56" s="33"/>
      <c r="J56" s="22"/>
      <c r="K56" s="33"/>
      <c r="L56" s="33"/>
      <c r="M56" s="33"/>
      <c r="N56" s="34" t="str">
        <f>IF(ISERROR(VLOOKUP(CONCATENATE($N$39,"_",M56),選手名簿!$A:$E,5,FALSE))=TRUE,"",VLOOKUP(CONCATENATE($N$39,"_",M56),選手名簿!$A:$E,5,FALSE))</f>
        <v/>
      </c>
      <c r="P56" s="83" t="s">
        <v>1966</v>
      </c>
      <c r="Q56" s="769" t="str">
        <f>IF(ISERROR(VLOOKUP(Q55,審判員!$A:$C,2,FALSE))=TRUE,"",VLOOKUP(Q55,審判員!$A:$C,2,FALSE))</f>
        <v>西村　竜司</v>
      </c>
      <c r="R56" s="770"/>
      <c r="S56" s="83" t="str">
        <f>IF(ISERROR(VLOOKUP(Q55,審判員!$A:$C,3,FALSE))=TRUE,"",VLOOKUP(Q55,審判員!$A:$C,3,FALSE))</f>
        <v>３級</v>
      </c>
      <c r="T56" s="31" t="s">
        <v>196</v>
      </c>
      <c r="U56" s="32" t="str">
        <f>IF(ISERROR(VLOOKUP(CONCATENATE($U$39,"_",V56),選手名簿!$A:$E,5,FALSE))=TRUE,"",VLOOKUP(CONCATENATE($U$39,"_",V56),選手名簿!$A:$E,5,FALSE))</f>
        <v/>
      </c>
      <c r="V56" s="33"/>
      <c r="W56" s="33"/>
      <c r="X56" s="33"/>
      <c r="Y56" s="22"/>
      <c r="Z56" s="33"/>
      <c r="AA56" s="33"/>
      <c r="AB56" s="33"/>
      <c r="AC56" s="34" t="str">
        <f>IF(ISERROR(VLOOKUP(CONCATENATE($AC$39,"_",AB56),選手名簿!$A:$E,5,FALSE))=TRUE,"",VLOOKUP(CONCATENATE($AC$39,"_",AB56),選手名簿!$A:$E,5,FALSE))</f>
        <v/>
      </c>
    </row>
    <row r="57" spans="1:29" ht="20.25" customHeight="1" x14ac:dyDescent="0.45">
      <c r="A57" s="29" t="s">
        <v>226</v>
      </c>
      <c r="B57" s="771" t="s">
        <v>11862</v>
      </c>
      <c r="C57" s="771"/>
      <c r="D57" s="772"/>
      <c r="E57" s="31" t="s">
        <v>196</v>
      </c>
      <c r="F57" s="32" t="str">
        <f>IF(ISERROR(VLOOKUP(CONCATENATE($F$39,"_",G57),選手名簿!$A:$E,5,FALSE))=TRUE,"",VLOOKUP(CONCATENATE($F$39,"_",G57),選手名簿!$A:$E,5,FALSE))</f>
        <v/>
      </c>
      <c r="G57" s="33"/>
      <c r="H57" s="33"/>
      <c r="I57" s="33"/>
      <c r="J57" s="22"/>
      <c r="K57" s="33"/>
      <c r="L57" s="33"/>
      <c r="M57" s="33"/>
      <c r="N57" s="34" t="str">
        <f>IF(ISERROR(VLOOKUP(CONCATENATE($N$39,"_",M57),選手名簿!$A:$E,5,FALSE))=TRUE,"",VLOOKUP(CONCATENATE($N$39,"_",M57),選手名簿!$A:$E,5,FALSE))</f>
        <v/>
      </c>
      <c r="P57" s="29" t="s">
        <v>226</v>
      </c>
      <c r="Q57" s="771" t="s">
        <v>11870</v>
      </c>
      <c r="R57" s="771"/>
      <c r="S57" s="772"/>
      <c r="T57" s="31" t="s">
        <v>196</v>
      </c>
      <c r="U57" s="32" t="str">
        <f>IF(ISERROR(VLOOKUP(CONCATENATE($U$39,"_",V57),選手名簿!$A:$E,5,FALSE))=TRUE,"",VLOOKUP(CONCATENATE($U$39,"_",V57),選手名簿!$A:$E,5,FALSE))</f>
        <v/>
      </c>
      <c r="V57" s="33"/>
      <c r="W57" s="33"/>
      <c r="X57" s="33"/>
      <c r="Y57" s="22"/>
      <c r="Z57" s="33"/>
      <c r="AA57" s="33"/>
      <c r="AB57" s="33"/>
      <c r="AC57" s="34" t="str">
        <f>IF(ISERROR(VLOOKUP(CONCATENATE($AC$39,"_",AB57),選手名簿!$A:$E,5,FALSE))=TRUE,"",VLOOKUP(CONCATENATE($AC$39,"_",AB57),選手名簿!$A:$E,5,FALSE))</f>
        <v/>
      </c>
    </row>
    <row r="58" spans="1:29" ht="20.25" customHeight="1" x14ac:dyDescent="0.45">
      <c r="A58" s="83" t="s">
        <v>1967</v>
      </c>
      <c r="B58" s="769" t="str">
        <f>IF(ISERROR(VLOOKUP(B57,審判員!$A:$C,2,FALSE))=TRUE,"",VLOOKUP(B57,審判員!$A:$C,2,FALSE))</f>
        <v>花崎　宏</v>
      </c>
      <c r="C58" s="770"/>
      <c r="D58" s="83" t="str">
        <f>IF(ISERROR(VLOOKUP(B57,審判員!$A:$C,3,FALSE))=TRUE,"",VLOOKUP(B57,審判員!$A:$C,3,FALSE))</f>
        <v>３級</v>
      </c>
      <c r="E58" s="31" t="s">
        <v>196</v>
      </c>
      <c r="F58" s="32" t="str">
        <f>IF(ISERROR(VLOOKUP(CONCATENATE($F$39,"_",G58),選手名簿!$A:$E,5,FALSE))=TRUE,"",VLOOKUP(CONCATENATE($F$39,"_",G58),選手名簿!$A:$E,5,FALSE))</f>
        <v/>
      </c>
      <c r="G58" s="33"/>
      <c r="H58" s="33"/>
      <c r="I58" s="33"/>
      <c r="J58" s="22"/>
      <c r="K58" s="33"/>
      <c r="L58" s="33"/>
      <c r="M58" s="33"/>
      <c r="N58" s="34" t="str">
        <f>IF(ISERROR(VLOOKUP(CONCATENATE($N$39,"_",M58),選手名簿!$A:$E,5,FALSE))=TRUE,"",VLOOKUP(CONCATENATE($N$39,"_",M58),選手名簿!$A:$E,5,FALSE))</f>
        <v/>
      </c>
      <c r="P58" s="83" t="s">
        <v>1967</v>
      </c>
      <c r="Q58" s="769" t="str">
        <f>IF(ISERROR(VLOOKUP(Q57,審判員!$A:$C,2,FALSE))=TRUE,"",VLOOKUP(Q57,審判員!$A:$C,2,FALSE))</f>
        <v>藤本　勝爾</v>
      </c>
      <c r="R58" s="770"/>
      <c r="S58" s="83" t="str">
        <f>IF(ISERROR(VLOOKUP(Q57,審判員!$A:$C,3,FALSE))=TRUE,"",VLOOKUP(Q57,審判員!$A:$C,3,FALSE))</f>
        <v>３級</v>
      </c>
      <c r="T58" s="31" t="s">
        <v>196</v>
      </c>
      <c r="U58" s="32" t="str">
        <f>IF(ISERROR(VLOOKUP(CONCATENATE($U$39,"_",V58),選手名簿!$A:$E,5,FALSE))=TRUE,"",VLOOKUP(CONCATENATE($U$39,"_",V58),選手名簿!$A:$E,5,FALSE))</f>
        <v/>
      </c>
      <c r="V58" s="33"/>
      <c r="W58" s="33"/>
      <c r="X58" s="33"/>
      <c r="Y58" s="22"/>
      <c r="Z58" s="33"/>
      <c r="AA58" s="33"/>
      <c r="AB58" s="33"/>
      <c r="AC58" s="34" t="str">
        <f>IF(ISERROR(VLOOKUP(CONCATENATE($AC$39,"_",AB58),選手名簿!$A:$E,5,FALSE))=TRUE,"",VLOOKUP(CONCATENATE($AC$39,"_",AB58),選手名簿!$A:$E,5,FALSE))</f>
        <v/>
      </c>
    </row>
    <row r="59" spans="1:29" ht="20.25" customHeight="1" x14ac:dyDescent="0.45">
      <c r="A59" s="29" t="s">
        <v>226</v>
      </c>
      <c r="B59" s="774" t="s">
        <v>573</v>
      </c>
      <c r="C59" s="774"/>
      <c r="D59" s="774"/>
      <c r="E59" s="31" t="s">
        <v>196</v>
      </c>
      <c r="F59" s="32" t="str">
        <f>IF(ISERROR(VLOOKUP(CONCATENATE($F$39,"_",G59),選手名簿!$A:$E,5,FALSE))=TRUE,"",VLOOKUP(CONCATENATE($F$39,"_",G59),選手名簿!$A:$E,5,FALSE))</f>
        <v/>
      </c>
      <c r="G59" s="33"/>
      <c r="H59" s="33"/>
      <c r="I59" s="33"/>
      <c r="J59" s="22"/>
      <c r="K59" s="33"/>
      <c r="L59" s="33"/>
      <c r="M59" s="33"/>
      <c r="N59" s="34" t="str">
        <f>IF(ISERROR(VLOOKUP(CONCATENATE($N$39,"_",M59),選手名簿!$A:$E,5,FALSE))=TRUE,"",VLOOKUP(CONCATENATE($N$39,"_",M59),選手名簿!$A:$E,5,FALSE))</f>
        <v/>
      </c>
      <c r="P59" s="29" t="s">
        <v>226</v>
      </c>
      <c r="Q59" s="774" t="s">
        <v>1331</v>
      </c>
      <c r="R59" s="774"/>
      <c r="S59" s="774"/>
      <c r="T59" s="31" t="s">
        <v>196</v>
      </c>
      <c r="U59" s="32" t="str">
        <f>IF(ISERROR(VLOOKUP(CONCATENATE($U$39,"_",V59),選手名簿!$A:$E,5,FALSE))=TRUE,"",VLOOKUP(CONCATENATE($U$39,"_",V59),選手名簿!$A:$E,5,FALSE))</f>
        <v/>
      </c>
      <c r="V59" s="33"/>
      <c r="W59" s="33"/>
      <c r="X59" s="33"/>
      <c r="Y59" s="22"/>
      <c r="Z59" s="33"/>
      <c r="AA59" s="33"/>
      <c r="AB59" s="33"/>
      <c r="AC59" s="34" t="str">
        <f>IF(ISERROR(VLOOKUP(CONCATENATE($AC$39,"_",AB59),選手名簿!$A:$E,5,FALSE))=TRUE,"",VLOOKUP(CONCATENATE($AC$39,"_",AB59),選手名簿!$A:$E,5,FALSE))</f>
        <v/>
      </c>
    </row>
    <row r="60" spans="1:29" ht="20.25" customHeight="1" thickBot="1" x14ac:dyDescent="0.6">
      <c r="A60" s="83" t="s">
        <v>1968</v>
      </c>
      <c r="B60" s="769" t="str">
        <f>IF(ISERROR(VLOOKUP(B59,審判員!$A:$C,2,FALSE))=TRUE,"",VLOOKUP(B59,審判員!$A:$C,2,FALSE))</f>
        <v>清家　大介</v>
      </c>
      <c r="C60" s="770"/>
      <c r="D60" s="83" t="str">
        <f>IF(ISERROR(VLOOKUP(B59,審判員!$A:$C,3,FALSE))=TRUE,"",VLOOKUP(B59,審判員!$A:$C,3,FALSE))</f>
        <v>３級</v>
      </c>
      <c r="E60" s="35" t="s">
        <v>196</v>
      </c>
      <c r="F60" s="36" t="str">
        <f>IF(ISERROR(VLOOKUP(CONCATENATE($F$39,"_",G60),選手名簿!$A:$E,5,FALSE))=TRUE,"",VLOOKUP(CONCATENATE($F$39,"_",G60),選手名簿!$A:$E,5,FALSE))</f>
        <v/>
      </c>
      <c r="G60" s="37"/>
      <c r="H60" s="37"/>
      <c r="I60" s="37"/>
      <c r="J60" s="27"/>
      <c r="K60" s="37"/>
      <c r="L60" s="37"/>
      <c r="M60" s="37"/>
      <c r="N60" s="38" t="str">
        <f>IF(ISERROR(VLOOKUP(CONCATENATE($N$39,"_",M60),選手名簿!$A:$E,5,FALSE))=TRUE,"",VLOOKUP(CONCATENATE($N$39,"_",M60),選手名簿!$A:$E,5,FALSE))</f>
        <v/>
      </c>
      <c r="P60" s="83" t="s">
        <v>1968</v>
      </c>
      <c r="Q60" s="769" t="str">
        <f>IF(ISERROR(VLOOKUP(Q59,審判員!$A:$C,2,FALSE))=TRUE,"",VLOOKUP(Q59,審判員!$A:$C,2,FALSE))</f>
        <v>長田　敏明</v>
      </c>
      <c r="R60" s="770"/>
      <c r="S60" s="83" t="str">
        <f>IF(ISERROR(VLOOKUP(Q59,審判員!$A:$C,3,FALSE))=TRUE,"",VLOOKUP(Q59,審判員!$A:$C,3,FALSE))</f>
        <v>３級</v>
      </c>
      <c r="T60" s="35" t="s">
        <v>196</v>
      </c>
      <c r="U60" s="36" t="str">
        <f>IF(ISERROR(VLOOKUP(CONCATENATE($U$39,"_",V60),選手名簿!$A:$E,5,FALSE))=TRUE,"",VLOOKUP(CONCATENATE($U$39,"_",V60),選手名簿!$A:$E,5,FALSE))</f>
        <v/>
      </c>
      <c r="V60" s="37"/>
      <c r="W60" s="37"/>
      <c r="X60" s="37"/>
      <c r="Y60" s="27"/>
      <c r="Z60" s="37"/>
      <c r="AA60" s="37"/>
      <c r="AB60" s="37"/>
      <c r="AC60" s="38" t="str">
        <f>IF(ISERROR(VLOOKUP(CONCATENATE($AC$39,"_",AB60),選手名簿!$A:$E,5,FALSE))=TRUE,"",VLOOKUP(CONCATENATE($AC$39,"_",AB60),選手名簿!$A:$E,5,FALSE))</f>
        <v/>
      </c>
    </row>
    <row r="61" spans="1:29" ht="9.9499999999999993" customHeight="1" x14ac:dyDescent="0.45">
      <c r="E61" s="39"/>
      <c r="T61" s="39"/>
    </row>
    <row r="62" spans="1:29" ht="9.9499999999999993" customHeight="1" x14ac:dyDescent="0.45">
      <c r="E62" s="39"/>
      <c r="T62" s="39"/>
    </row>
    <row r="63" spans="1:29" ht="9.9499999999999993" customHeight="1" x14ac:dyDescent="0.45"/>
    <row r="64" spans="1:29" ht="9.9499999999999993" customHeight="1" x14ac:dyDescent="0.45"/>
    <row r="65" spans="1:29" ht="9.9499999999999993" customHeight="1" x14ac:dyDescent="0.45"/>
    <row r="66" spans="1:29" ht="9.9499999999999993" customHeight="1" x14ac:dyDescent="0.45"/>
    <row r="67" spans="1:29" ht="9.9499999999999993" customHeight="1" thickBot="1" x14ac:dyDescent="0.6">
      <c r="E67" s="39"/>
      <c r="T67" s="39"/>
    </row>
    <row r="68" spans="1:29" ht="27.4" customHeight="1" x14ac:dyDescent="0.45">
      <c r="A68" s="365" t="s">
        <v>3235</v>
      </c>
      <c r="B68" s="789" t="s">
        <v>11840</v>
      </c>
      <c r="C68" s="790"/>
      <c r="D68" s="791"/>
      <c r="E68" s="778">
        <v>0.60416666666666663</v>
      </c>
      <c r="F68" s="781" t="str">
        <f>F7</f>
        <v>カティオーラフットボールクラブＵ－１２</v>
      </c>
      <c r="G68" s="784">
        <f>IF(I68="","",SUM(I68:I69))</f>
        <v>3</v>
      </c>
      <c r="H68" s="793" t="s">
        <v>205</v>
      </c>
      <c r="I68" s="84">
        <v>2</v>
      </c>
      <c r="J68" s="84" t="s">
        <v>116</v>
      </c>
      <c r="K68" s="84">
        <v>0</v>
      </c>
      <c r="L68" s="793" t="s">
        <v>206</v>
      </c>
      <c r="M68" s="784">
        <f>IF(K68="","",SUM(K68:K69))</f>
        <v>0</v>
      </c>
      <c r="N68" s="775" t="str">
        <f>F5</f>
        <v>和田少年サッカークラブ</v>
      </c>
      <c r="P68" s="365" t="s">
        <v>3235</v>
      </c>
      <c r="Q68" s="789" t="s">
        <v>11838</v>
      </c>
      <c r="R68" s="790"/>
      <c r="S68" s="791"/>
      <c r="T68" s="778">
        <v>0.64583333333333337</v>
      </c>
      <c r="U68" s="781" t="str">
        <f>U7</f>
        <v>ドリームキッズフットボールクラブ</v>
      </c>
      <c r="V68" s="784">
        <f>IF(X68="","",SUM(X68:X69))</f>
        <v>8</v>
      </c>
      <c r="W68" s="793" t="s">
        <v>205</v>
      </c>
      <c r="X68" s="84">
        <v>2</v>
      </c>
      <c r="Y68" s="84" t="s">
        <v>116</v>
      </c>
      <c r="Z68" s="84">
        <v>0</v>
      </c>
      <c r="AA68" s="793" t="s">
        <v>206</v>
      </c>
      <c r="AB68" s="784">
        <f>IF(Z68="","",SUM(Z68:Z69))</f>
        <v>0</v>
      </c>
      <c r="AC68" s="775" t="str">
        <f>U5</f>
        <v>国東ジュニアサッカークラブ</v>
      </c>
    </row>
    <row r="69" spans="1:29" ht="27.4" customHeight="1" x14ac:dyDescent="0.45">
      <c r="A69" s="366" t="s">
        <v>3236</v>
      </c>
      <c r="B69" s="792" t="s">
        <v>3924</v>
      </c>
      <c r="C69" s="792"/>
      <c r="D69" s="789"/>
      <c r="E69" s="779"/>
      <c r="F69" s="782"/>
      <c r="G69" s="785"/>
      <c r="H69" s="794"/>
      <c r="I69" s="9">
        <v>1</v>
      </c>
      <c r="J69" s="9" t="s">
        <v>117</v>
      </c>
      <c r="K69" s="9">
        <v>0</v>
      </c>
      <c r="L69" s="794"/>
      <c r="M69" s="785"/>
      <c r="N69" s="776"/>
      <c r="P69" s="366" t="s">
        <v>3236</v>
      </c>
      <c r="Q69" s="792" t="s">
        <v>3924</v>
      </c>
      <c r="R69" s="792"/>
      <c r="S69" s="789"/>
      <c r="T69" s="779"/>
      <c r="U69" s="782"/>
      <c r="V69" s="785"/>
      <c r="W69" s="794"/>
      <c r="X69" s="9">
        <v>6</v>
      </c>
      <c r="Y69" s="9" t="s">
        <v>117</v>
      </c>
      <c r="Z69" s="9">
        <v>0</v>
      </c>
      <c r="AA69" s="794"/>
      <c r="AB69" s="785"/>
      <c r="AC69" s="776"/>
    </row>
    <row r="70" spans="1:29" ht="27.4" customHeight="1" thickBot="1" x14ac:dyDescent="0.6">
      <c r="A70" s="366" t="s">
        <v>3237</v>
      </c>
      <c r="B70" s="792" t="s">
        <v>1434</v>
      </c>
      <c r="C70" s="792"/>
      <c r="D70" s="789"/>
      <c r="E70" s="780"/>
      <c r="F70" s="783"/>
      <c r="G70" s="786"/>
      <c r="H70" s="795"/>
      <c r="I70" s="85"/>
      <c r="J70" s="85" t="s">
        <v>188</v>
      </c>
      <c r="K70" s="85"/>
      <c r="L70" s="795"/>
      <c r="M70" s="786"/>
      <c r="N70" s="777"/>
      <c r="P70" s="366" t="s">
        <v>3237</v>
      </c>
      <c r="Q70" s="792" t="s">
        <v>11840</v>
      </c>
      <c r="R70" s="792"/>
      <c r="S70" s="789"/>
      <c r="T70" s="780"/>
      <c r="U70" s="783"/>
      <c r="V70" s="786"/>
      <c r="W70" s="795"/>
      <c r="X70" s="85"/>
      <c r="Y70" s="85" t="s">
        <v>188</v>
      </c>
      <c r="Z70" s="85"/>
      <c r="AA70" s="795"/>
      <c r="AB70" s="786"/>
      <c r="AC70" s="777"/>
    </row>
    <row r="71" spans="1:29" ht="20.25" customHeight="1" thickTop="1" x14ac:dyDescent="0.45">
      <c r="A71" s="787" t="s">
        <v>1969</v>
      </c>
      <c r="B71" s="787"/>
      <c r="C71" s="787"/>
      <c r="D71" s="788"/>
      <c r="E71" s="15"/>
      <c r="F71" s="16" t="s">
        <v>190</v>
      </c>
      <c r="G71" s="16" t="s">
        <v>1970</v>
      </c>
      <c r="H71" s="16" t="s">
        <v>145</v>
      </c>
      <c r="I71" s="16"/>
      <c r="J71" s="17"/>
      <c r="K71" s="16"/>
      <c r="L71" s="16" t="s">
        <v>145</v>
      </c>
      <c r="M71" s="16" t="s">
        <v>1970</v>
      </c>
      <c r="N71" s="18" t="s">
        <v>190</v>
      </c>
      <c r="P71" s="787" t="s">
        <v>1969</v>
      </c>
      <c r="Q71" s="787"/>
      <c r="R71" s="787"/>
      <c r="S71" s="788"/>
      <c r="T71" s="15"/>
      <c r="U71" s="16" t="s">
        <v>190</v>
      </c>
      <c r="V71" s="16" t="s">
        <v>1970</v>
      </c>
      <c r="W71" s="16" t="s">
        <v>145</v>
      </c>
      <c r="X71" s="16"/>
      <c r="Y71" s="17"/>
      <c r="Z71" s="16"/>
      <c r="AA71" s="16" t="s">
        <v>145</v>
      </c>
      <c r="AB71" s="16" t="s">
        <v>1970</v>
      </c>
      <c r="AC71" s="18" t="s">
        <v>190</v>
      </c>
    </row>
    <row r="72" spans="1:29" ht="20.25" hidden="1" customHeight="1" x14ac:dyDescent="0.45">
      <c r="E72" s="19" t="s">
        <v>228</v>
      </c>
      <c r="F72" s="20" t="str">
        <f>IF(ISERROR(VLOOKUP(CONCATENATE($F$68,"_",G72),選手名簿!$A:$E,5,FALSE))=TRUE,"",VLOOKUP(CONCATENATE($F$68,"_",G72),選手名簿!$A:$E,5,FALSE))</f>
        <v/>
      </c>
      <c r="G72" s="21"/>
      <c r="H72" s="21"/>
      <c r="I72" s="21"/>
      <c r="J72" s="22"/>
      <c r="K72" s="21"/>
      <c r="L72" s="21"/>
      <c r="M72" s="21"/>
      <c r="N72" s="23" t="str">
        <f>IF(ISERROR(VLOOKUP(CONCATENATE($N$68,"_",M72),選手名簿!$A:$E,5,FALSE))=TRUE,"",VLOOKUP(CONCATENATE($N$68,"_",M72),選手名簿!$A:$E,5,FALSE))</f>
        <v/>
      </c>
      <c r="T72" s="19" t="s">
        <v>228</v>
      </c>
      <c r="U72" s="20" t="str">
        <f>IF(ISERROR(VLOOKUP(CONCATENATE($U$68,"_",V72),選手名簿!$A:$E,5,FALSE))=TRUE,"",VLOOKUP(CONCATENATE($U$68,"_",V72),選手名簿!$A:$E,5,FALSE))</f>
        <v/>
      </c>
      <c r="V72" s="21"/>
      <c r="W72" s="21"/>
      <c r="X72" s="21"/>
      <c r="Y72" s="22"/>
      <c r="Z72" s="21"/>
      <c r="AA72" s="21"/>
      <c r="AB72" s="21"/>
      <c r="AC72" s="23" t="str">
        <f>IF(ISERROR(VLOOKUP(CONCATENATE($AC$68,"_",AB72),選手名簿!$A:$E,5,FALSE))=TRUE,"",VLOOKUP(CONCATENATE($AC$68,"_",AB72),選手名簿!$A:$E,5,FALSE))</f>
        <v/>
      </c>
    </row>
    <row r="73" spans="1:29" ht="20.25" hidden="1" customHeight="1" x14ac:dyDescent="0.45">
      <c r="E73" s="19" t="s">
        <v>228</v>
      </c>
      <c r="F73" s="20" t="str">
        <f>IF(ISERROR(VLOOKUP(CONCATENATE($F$68,"_",G73),選手名簿!$A:$E,5,FALSE))=TRUE,"",VLOOKUP(CONCATENATE($F$68,"_",G73),選手名簿!$A:$E,5,FALSE))</f>
        <v/>
      </c>
      <c r="G73" s="21"/>
      <c r="H73" s="21"/>
      <c r="I73" s="21"/>
      <c r="J73" s="22"/>
      <c r="K73" s="21"/>
      <c r="L73" s="21"/>
      <c r="M73" s="21"/>
      <c r="N73" s="23" t="str">
        <f>IF(ISERROR(VLOOKUP(CONCATENATE($N$68,"_",M73),選手名簿!$A:$E,5,FALSE))=TRUE,"",VLOOKUP(CONCATENATE($N$68,"_",M73),選手名簿!$A:$E,5,FALSE))</f>
        <v/>
      </c>
      <c r="T73" s="19" t="s">
        <v>228</v>
      </c>
      <c r="U73" s="20" t="str">
        <f>IF(ISERROR(VLOOKUP(CONCATENATE($U$68,"_",V73),選手名簿!$A:$E,5,FALSE))=TRUE,"",VLOOKUP(CONCATENATE($U$68,"_",V73),選手名簿!$A:$E,5,FALSE))</f>
        <v/>
      </c>
      <c r="V73" s="21"/>
      <c r="W73" s="21"/>
      <c r="X73" s="21"/>
      <c r="Y73" s="22"/>
      <c r="Z73" s="21"/>
      <c r="AA73" s="21"/>
      <c r="AB73" s="21"/>
      <c r="AC73" s="23" t="str">
        <f>IF(ISERROR(VLOOKUP(CONCATENATE($AC$68,"_",AB73),選手名簿!$A:$E,5,FALSE))=TRUE,"",VLOOKUP(CONCATENATE($AC$68,"_",AB73),選手名簿!$A:$E,5,FALSE))</f>
        <v/>
      </c>
    </row>
    <row r="74" spans="1:29" ht="20.25" hidden="1" customHeight="1" x14ac:dyDescent="0.45">
      <c r="E74" s="19" t="s">
        <v>228</v>
      </c>
      <c r="F74" s="20" t="str">
        <f>IF(ISERROR(VLOOKUP(CONCATENATE($F$68,"_",G74),選手名簿!$A:$E,5,FALSE))=TRUE,"",VLOOKUP(CONCATENATE($F$68,"_",G74),選手名簿!$A:$E,5,FALSE))</f>
        <v/>
      </c>
      <c r="G74" s="21"/>
      <c r="H74" s="21"/>
      <c r="I74" s="21"/>
      <c r="J74" s="22"/>
      <c r="K74" s="21"/>
      <c r="L74" s="21"/>
      <c r="M74" s="21"/>
      <c r="N74" s="23" t="str">
        <f>IF(ISERROR(VLOOKUP(CONCATENATE($N$68,"_",M74),選手名簿!$A:$E,5,FALSE))=TRUE,"",VLOOKUP(CONCATENATE($N$68,"_",M74),選手名簿!$A:$E,5,FALSE))</f>
        <v/>
      </c>
      <c r="T74" s="19" t="s">
        <v>228</v>
      </c>
      <c r="U74" s="20" t="str">
        <f>IF(ISERROR(VLOOKUP(CONCATENATE($U$68,"_",V74),選手名簿!$A:$E,5,FALSE))=TRUE,"",VLOOKUP(CONCATENATE($U$68,"_",V74),選手名簿!$A:$E,5,FALSE))</f>
        <v/>
      </c>
      <c r="V74" s="21"/>
      <c r="W74" s="21"/>
      <c r="X74" s="21"/>
      <c r="Y74" s="22"/>
      <c r="Z74" s="21"/>
      <c r="AA74" s="21"/>
      <c r="AB74" s="21"/>
      <c r="AC74" s="23" t="str">
        <f>IF(ISERROR(VLOOKUP(CONCATENATE($AC$68,"_",AB74),選手名簿!$A:$E,5,FALSE))=TRUE,"",VLOOKUP(CONCATENATE($AC$68,"_",AB74),選手名簿!$A:$E,5,FALSE))</f>
        <v/>
      </c>
    </row>
    <row r="75" spans="1:29" ht="20.25" hidden="1" customHeight="1" x14ac:dyDescent="0.45">
      <c r="E75" s="19" t="s">
        <v>228</v>
      </c>
      <c r="F75" s="20" t="str">
        <f>IF(ISERROR(VLOOKUP(CONCATENATE($F$68,"_",G75),選手名簿!$A:$E,5,FALSE))=TRUE,"",VLOOKUP(CONCATENATE($F$68,"_",G75),選手名簿!$A:$E,5,FALSE))</f>
        <v/>
      </c>
      <c r="G75" s="21"/>
      <c r="H75" s="21"/>
      <c r="I75" s="21"/>
      <c r="J75" s="22"/>
      <c r="K75" s="21"/>
      <c r="L75" s="21"/>
      <c r="M75" s="21"/>
      <c r="N75" s="23" t="str">
        <f>IF(ISERROR(VLOOKUP(CONCATENATE($N$68,"_",M75),選手名簿!$A:$E,5,FALSE))=TRUE,"",VLOOKUP(CONCATENATE($N$68,"_",M75),選手名簿!$A:$E,5,FALSE))</f>
        <v/>
      </c>
      <c r="T75" s="19" t="s">
        <v>228</v>
      </c>
      <c r="U75" s="20" t="str">
        <f>IF(ISERROR(VLOOKUP(CONCATENATE($U$68,"_",V75),選手名簿!$A:$E,5,FALSE))=TRUE,"",VLOOKUP(CONCATENATE($U$68,"_",V75),選手名簿!$A:$E,5,FALSE))</f>
        <v/>
      </c>
      <c r="V75" s="21"/>
      <c r="W75" s="21"/>
      <c r="X75" s="21"/>
      <c r="Y75" s="22"/>
      <c r="Z75" s="21"/>
      <c r="AA75" s="21"/>
      <c r="AB75" s="21"/>
      <c r="AC75" s="23" t="str">
        <f>IF(ISERROR(VLOOKUP(CONCATENATE($AC$68,"_",AB75),選手名簿!$A:$E,5,FALSE))=TRUE,"",VLOOKUP(CONCATENATE($AC$68,"_",AB75),選手名簿!$A:$E,5,FALSE))</f>
        <v/>
      </c>
    </row>
    <row r="76" spans="1:29" ht="20.25" hidden="1" customHeight="1" x14ac:dyDescent="0.45">
      <c r="E76" s="19" t="s">
        <v>228</v>
      </c>
      <c r="F76" s="20" t="str">
        <f>IF(ISERROR(VLOOKUP(CONCATENATE($F$68,"_",G76),選手名簿!$A:$E,5,FALSE))=TRUE,"",VLOOKUP(CONCATENATE($F$68,"_",G76),選手名簿!$A:$E,5,FALSE))</f>
        <v/>
      </c>
      <c r="G76" s="21"/>
      <c r="H76" s="21"/>
      <c r="I76" s="21"/>
      <c r="J76" s="22"/>
      <c r="K76" s="21"/>
      <c r="L76" s="21"/>
      <c r="M76" s="21"/>
      <c r="N76" s="23" t="str">
        <f>IF(ISERROR(VLOOKUP(CONCATENATE($N$68,"_",M76),選手名簿!$A:$E,5,FALSE))=TRUE,"",VLOOKUP(CONCATENATE($N$68,"_",M76),選手名簿!$A:$E,5,FALSE))</f>
        <v/>
      </c>
      <c r="T76" s="19" t="s">
        <v>228</v>
      </c>
      <c r="U76" s="20" t="str">
        <f>IF(ISERROR(VLOOKUP(CONCATENATE($U$68,"_",V76),選手名簿!$A:$E,5,FALSE))=TRUE,"",VLOOKUP(CONCATENATE($U$68,"_",V76),選手名簿!$A:$E,5,FALSE))</f>
        <v/>
      </c>
      <c r="V76" s="21"/>
      <c r="W76" s="21"/>
      <c r="X76" s="21"/>
      <c r="Y76" s="22"/>
      <c r="Z76" s="21"/>
      <c r="AA76" s="21"/>
      <c r="AB76" s="21"/>
      <c r="AC76" s="23" t="str">
        <f>IF(ISERROR(VLOOKUP(CONCATENATE($AC$68,"_",AB76),選手名簿!$A:$E,5,FALSE))=TRUE,"",VLOOKUP(CONCATENATE($AC$68,"_",AB76),選手名簿!$A:$E,5,FALSE))</f>
        <v/>
      </c>
    </row>
    <row r="77" spans="1:29" ht="20.25" hidden="1" customHeight="1" x14ac:dyDescent="0.45">
      <c r="E77" s="19" t="s">
        <v>228</v>
      </c>
      <c r="F77" s="20" t="str">
        <f>IF(ISERROR(VLOOKUP(CONCATENATE($F$68,"_",G77),選手名簿!$A:$E,5,FALSE))=TRUE,"",VLOOKUP(CONCATENATE($F$68,"_",G77),選手名簿!$A:$E,5,FALSE))</f>
        <v/>
      </c>
      <c r="G77" s="21"/>
      <c r="H77" s="21"/>
      <c r="I77" s="21"/>
      <c r="J77" s="22"/>
      <c r="K77" s="21"/>
      <c r="L77" s="21"/>
      <c r="M77" s="21"/>
      <c r="N77" s="23" t="str">
        <f>IF(ISERROR(VLOOKUP(CONCATENATE($N$68,"_",M77),選手名簿!$A:$E,5,FALSE))=TRUE,"",VLOOKUP(CONCATENATE($N$68,"_",M77),選手名簿!$A:$E,5,FALSE))</f>
        <v/>
      </c>
      <c r="T77" s="19" t="s">
        <v>228</v>
      </c>
      <c r="U77" s="20" t="str">
        <f>IF(ISERROR(VLOOKUP(CONCATENATE($U$68,"_",V77),選手名簿!$A:$E,5,FALSE))=TRUE,"",VLOOKUP(CONCATENATE($U$68,"_",V77),選手名簿!$A:$E,5,FALSE))</f>
        <v/>
      </c>
      <c r="V77" s="21"/>
      <c r="W77" s="21"/>
      <c r="X77" s="21"/>
      <c r="Y77" s="22"/>
      <c r="Z77" s="21"/>
      <c r="AA77" s="21"/>
      <c r="AB77" s="21"/>
      <c r="AC77" s="23" t="str">
        <f>IF(ISERROR(VLOOKUP(CONCATENATE($AC$68,"_",AB77),選手名簿!$A:$E,5,FALSE))=TRUE,"",VLOOKUP(CONCATENATE($AC$68,"_",AB77),選手名簿!$A:$E,5,FALSE))</f>
        <v/>
      </c>
    </row>
    <row r="78" spans="1:29" ht="20.25" hidden="1" customHeight="1" x14ac:dyDescent="0.45">
      <c r="E78" s="19" t="s">
        <v>228</v>
      </c>
      <c r="F78" s="20" t="str">
        <f>IF(ISERROR(VLOOKUP(CONCATENATE($F$68,"_",G78),選手名簿!$A:$E,5,FALSE))=TRUE,"",VLOOKUP(CONCATENATE($F$68,"_",G78),選手名簿!$A:$E,5,FALSE))</f>
        <v/>
      </c>
      <c r="G78" s="21"/>
      <c r="H78" s="21"/>
      <c r="I78" s="21"/>
      <c r="J78" s="22"/>
      <c r="K78" s="21"/>
      <c r="L78" s="21"/>
      <c r="M78" s="21"/>
      <c r="N78" s="23" t="str">
        <f>IF(ISERROR(VLOOKUP(CONCATENATE($N$68,"_",M78),選手名簿!$A:$E,5,FALSE))=TRUE,"",VLOOKUP(CONCATENATE($N$68,"_",M78),選手名簿!$A:$E,5,FALSE))</f>
        <v/>
      </c>
      <c r="T78" s="19" t="s">
        <v>228</v>
      </c>
      <c r="U78" s="20" t="str">
        <f>IF(ISERROR(VLOOKUP(CONCATENATE($U$68,"_",V78),選手名簿!$A:$E,5,FALSE))=TRUE,"",VLOOKUP(CONCATENATE($U$68,"_",V78),選手名簿!$A:$E,5,FALSE))</f>
        <v/>
      </c>
      <c r="V78" s="21"/>
      <c r="W78" s="21"/>
      <c r="X78" s="21"/>
      <c r="Y78" s="22"/>
      <c r="Z78" s="21"/>
      <c r="AA78" s="21"/>
      <c r="AB78" s="21"/>
      <c r="AC78" s="23" t="str">
        <f>IF(ISERROR(VLOOKUP(CONCATENATE($AC$68,"_",AB78),選手名簿!$A:$E,5,FALSE))=TRUE,"",VLOOKUP(CONCATENATE($AC$68,"_",AB78),選手名簿!$A:$E,5,FALSE))</f>
        <v/>
      </c>
    </row>
    <row r="79" spans="1:29" ht="20.25" hidden="1" customHeight="1" x14ac:dyDescent="0.45">
      <c r="E79" s="19" t="s">
        <v>228</v>
      </c>
      <c r="F79" s="20" t="str">
        <f>IF(ISERROR(VLOOKUP(CONCATENATE($F$68,"_",G79),選手名簿!$A:$E,5,FALSE))=TRUE,"",VLOOKUP(CONCATENATE($F$68,"_",G79),選手名簿!$A:$E,5,FALSE))</f>
        <v/>
      </c>
      <c r="G79" s="21"/>
      <c r="H79" s="21"/>
      <c r="I79" s="21"/>
      <c r="J79" s="22"/>
      <c r="K79" s="21"/>
      <c r="L79" s="21"/>
      <c r="M79" s="21"/>
      <c r="N79" s="23" t="str">
        <f>IF(ISERROR(VLOOKUP(CONCATENATE($N$68,"_",M79),選手名簿!$A:$E,5,FALSE))=TRUE,"",VLOOKUP(CONCATENATE($N$68,"_",M79),選手名簿!$A:$E,5,FALSE))</f>
        <v/>
      </c>
      <c r="T79" s="19" t="s">
        <v>228</v>
      </c>
      <c r="U79" s="20" t="str">
        <f>IF(ISERROR(VLOOKUP(CONCATENATE($U$68,"_",V79),選手名簿!$A:$E,5,FALSE))=TRUE,"",VLOOKUP(CONCATENATE($U$68,"_",V79),選手名簿!$A:$E,5,FALSE))</f>
        <v/>
      </c>
      <c r="V79" s="21"/>
      <c r="W79" s="21"/>
      <c r="X79" s="21"/>
      <c r="Y79" s="22"/>
      <c r="Z79" s="21"/>
      <c r="AA79" s="21"/>
      <c r="AB79" s="21"/>
      <c r="AC79" s="23" t="str">
        <f>IF(ISERROR(VLOOKUP(CONCATENATE($AC$68,"_",AB79),選手名簿!$A:$E,5,FALSE))=TRUE,"",VLOOKUP(CONCATENATE($AC$68,"_",AB79),選手名簿!$A:$E,5,FALSE))</f>
        <v/>
      </c>
    </row>
    <row r="80" spans="1:29" ht="20.25" hidden="1" customHeight="1" x14ac:dyDescent="0.45">
      <c r="E80" s="19" t="s">
        <v>228</v>
      </c>
      <c r="F80" s="20" t="str">
        <f>IF(ISERROR(VLOOKUP(CONCATENATE($F$68,"_",G80),選手名簿!$A:$E,5,FALSE))=TRUE,"",VLOOKUP(CONCATENATE($F$68,"_",G80),選手名簿!$A:$E,5,FALSE))</f>
        <v/>
      </c>
      <c r="G80" s="21"/>
      <c r="H80" s="21"/>
      <c r="I80" s="21"/>
      <c r="J80" s="22"/>
      <c r="K80" s="21"/>
      <c r="L80" s="21"/>
      <c r="M80" s="21"/>
      <c r="N80" s="23" t="str">
        <f>IF(ISERROR(VLOOKUP(CONCATENATE($N$68,"_",M80),選手名簿!$A:$E,5,FALSE))=TRUE,"",VLOOKUP(CONCATENATE($N$68,"_",M80),選手名簿!$A:$E,5,FALSE))</f>
        <v/>
      </c>
      <c r="T80" s="19" t="s">
        <v>228</v>
      </c>
      <c r="U80" s="20" t="str">
        <f>IF(ISERROR(VLOOKUP(CONCATENATE($U$68,"_",V80),選手名簿!$A:$E,5,FALSE))=TRUE,"",VLOOKUP(CONCATENATE($U$68,"_",V80),選手名簿!$A:$E,5,FALSE))</f>
        <v/>
      </c>
      <c r="V80" s="21"/>
      <c r="W80" s="21"/>
      <c r="X80" s="21"/>
      <c r="Y80" s="22"/>
      <c r="Z80" s="21"/>
      <c r="AA80" s="21"/>
      <c r="AB80" s="21"/>
      <c r="AC80" s="23" t="str">
        <f>IF(ISERROR(VLOOKUP(CONCATENATE($AC$68,"_",AB80),選手名簿!$A:$E,5,FALSE))=TRUE,"",VLOOKUP(CONCATENATE($AC$68,"_",AB80),選手名簿!$A:$E,5,FALSE))</f>
        <v/>
      </c>
    </row>
    <row r="81" spans="1:29" ht="20.25" hidden="1" customHeight="1" thickBot="1" x14ac:dyDescent="0.6">
      <c r="E81" s="24" t="s">
        <v>228</v>
      </c>
      <c r="F81" s="25" t="str">
        <f>IF(ISERROR(VLOOKUP(CONCATENATE($F$68,"_",G81),選手名簿!$A:$E,5,FALSE))=TRUE,"",VLOOKUP(CONCATENATE($F$68,"_",G81),選手名簿!$A:$E,5,FALSE))</f>
        <v/>
      </c>
      <c r="G81" s="26"/>
      <c r="H81" s="26"/>
      <c r="I81" s="26"/>
      <c r="J81" s="27"/>
      <c r="K81" s="26"/>
      <c r="L81" s="26"/>
      <c r="M81" s="26"/>
      <c r="N81" s="28" t="str">
        <f>IF(ISERROR(VLOOKUP(CONCATENATE($N$68,"_",M81),選手名簿!$A:$E,5,FALSE))=TRUE,"",VLOOKUP(CONCATENATE($N$68,"_",M81),選手名簿!$A:$E,5,FALSE))</f>
        <v/>
      </c>
      <c r="T81" s="24" t="s">
        <v>228</v>
      </c>
      <c r="U81" s="25" t="str">
        <f>IF(ISERROR(VLOOKUP(CONCATENATE($U$68,"_",V81),選手名簿!$A:$E,5,FALSE))=TRUE,"",VLOOKUP(CONCATENATE($U$68,"_",V81),選手名簿!$A:$E,5,FALSE))</f>
        <v/>
      </c>
      <c r="V81" s="26"/>
      <c r="W81" s="26"/>
      <c r="X81" s="26"/>
      <c r="Y81" s="27"/>
      <c r="Z81" s="26"/>
      <c r="AA81" s="26"/>
      <c r="AB81" s="26"/>
      <c r="AC81" s="28" t="str">
        <f>IF(ISERROR(VLOOKUP(CONCATENATE($AC$68,"_",AB81),選手名簿!$A:$E,5,FALSE))=TRUE,"",VLOOKUP(CONCATENATE($AC$68,"_",AB81),選手名簿!$A:$E,5,FALSE))</f>
        <v/>
      </c>
    </row>
    <row r="82" spans="1:29" ht="20.25" customHeight="1" x14ac:dyDescent="0.45">
      <c r="A82" s="29" t="s">
        <v>226</v>
      </c>
      <c r="B82" s="774" t="s">
        <v>1331</v>
      </c>
      <c r="C82" s="774"/>
      <c r="D82" s="774"/>
      <c r="E82" s="19" t="s">
        <v>196</v>
      </c>
      <c r="F82" s="20" t="str">
        <f>IF(ISERROR(VLOOKUP(CONCATENATE($F$68,"_",G82),選手名簿!$A:$E,5,FALSE))=TRUE,"",VLOOKUP(CONCATENATE($F$68,"_",G82),選手名簿!$A:$E,5,FALSE))</f>
        <v/>
      </c>
      <c r="G82" s="21"/>
      <c r="H82" s="21"/>
      <c r="I82" s="21"/>
      <c r="J82" s="22"/>
      <c r="K82" s="21"/>
      <c r="L82" s="21"/>
      <c r="M82" s="21"/>
      <c r="N82" s="23" t="str">
        <f>IF(ISERROR(VLOOKUP(CONCATENATE($N$68,"_",M82),選手名簿!$A:$E,5,FALSE))=TRUE,"",VLOOKUP(CONCATENATE($N$68,"_",M82),選手名簿!$A:$E,5,FALSE))</f>
        <v/>
      </c>
      <c r="P82" s="29" t="s">
        <v>226</v>
      </c>
      <c r="Q82" s="773" t="s">
        <v>1446</v>
      </c>
      <c r="R82" s="773"/>
      <c r="S82" s="773"/>
      <c r="T82" s="19" t="s">
        <v>196</v>
      </c>
      <c r="U82" s="20" t="str">
        <f>IF(ISERROR(VLOOKUP(CONCATENATE($U$68,"_",V82),選手名簿!$A:$E,5,FALSE))=TRUE,"",VLOOKUP(CONCATENATE($U$68,"_",V82),選手名簿!$A:$E,5,FALSE))</f>
        <v/>
      </c>
      <c r="V82" s="21"/>
      <c r="W82" s="21"/>
      <c r="X82" s="21"/>
      <c r="Y82" s="22"/>
      <c r="Z82" s="21"/>
      <c r="AA82" s="21"/>
      <c r="AB82" s="21"/>
      <c r="AC82" s="23" t="str">
        <f>IF(ISERROR(VLOOKUP(CONCATENATE($AC$68,"_",AB82),選手名簿!$A:$E,5,FALSE))=TRUE,"",VLOOKUP(CONCATENATE($AC$68,"_",AB82),選手名簿!$A:$E,5,FALSE))</f>
        <v/>
      </c>
    </row>
    <row r="83" spans="1:29" ht="20.25" customHeight="1" x14ac:dyDescent="0.45">
      <c r="A83" s="83" t="s">
        <v>1959</v>
      </c>
      <c r="B83" s="769" t="str">
        <f>IF(ISERROR(VLOOKUP(B82,審判員!$A:$C,2,FALSE))=TRUE,"",VLOOKUP(B82,審判員!$A:$C,2,FALSE))</f>
        <v>長田　敏明</v>
      </c>
      <c r="C83" s="770"/>
      <c r="D83" s="83" t="str">
        <f>IF(ISERROR(VLOOKUP(B82,審判員!$A:$C,3,FALSE))=TRUE,"",VLOOKUP(B82,審判員!$A:$C,3,FALSE))</f>
        <v>３級</v>
      </c>
      <c r="E83" s="31" t="s">
        <v>196</v>
      </c>
      <c r="F83" s="32" t="str">
        <f>IF(ISERROR(VLOOKUP(CONCATENATE($F$68,"_",G83),選手名簿!$A:$E,5,FALSE))=TRUE,"",VLOOKUP(CONCATENATE($F$68,"_",G83),選手名簿!$A:$E,5,FALSE))</f>
        <v/>
      </c>
      <c r="G83" s="33"/>
      <c r="H83" s="33"/>
      <c r="I83" s="33"/>
      <c r="J83" s="22"/>
      <c r="K83" s="33"/>
      <c r="L83" s="33"/>
      <c r="M83" s="33"/>
      <c r="N83" s="34" t="str">
        <f>IF(ISERROR(VLOOKUP(CONCATENATE($N$68,"_",M83),選手名簿!$A:$E,5,FALSE))=TRUE,"",VLOOKUP(CONCATENATE($N$68,"_",M83),選手名簿!$A:$E,5,FALSE))</f>
        <v/>
      </c>
      <c r="P83" s="83" t="s">
        <v>1959</v>
      </c>
      <c r="Q83" s="769" t="str">
        <f>IF(ISERROR(VLOOKUP(Q82,審判員!$A:$C,2,FALSE))=TRUE,"",VLOOKUP(Q82,審判員!$A:$C,2,FALSE))</f>
        <v>阿部　浩之</v>
      </c>
      <c r="R83" s="770"/>
      <c r="S83" s="83" t="str">
        <f>IF(ISERROR(VLOOKUP(Q82,審判員!$A:$C,3,FALSE))=TRUE,"",VLOOKUP(Q82,審判員!$A:$C,3,FALSE))</f>
        <v>３級</v>
      </c>
      <c r="T83" s="31" t="s">
        <v>196</v>
      </c>
      <c r="U83" s="32" t="str">
        <f>IF(ISERROR(VLOOKUP(CONCATENATE($U$68,"_",V83),選手名簿!$A:$E,5,FALSE))=TRUE,"",VLOOKUP(CONCATENATE($U$68,"_",V83),選手名簿!$A:$E,5,FALSE))</f>
        <v/>
      </c>
      <c r="V83" s="33"/>
      <c r="W83" s="33"/>
      <c r="X83" s="33"/>
      <c r="Y83" s="22"/>
      <c r="Z83" s="33"/>
      <c r="AA83" s="33"/>
      <c r="AB83" s="33"/>
      <c r="AC83" s="34" t="str">
        <f>IF(ISERROR(VLOOKUP(CONCATENATE($AC$68,"_",AB83),選手名簿!$A:$E,5,FALSE))=TRUE,"",VLOOKUP(CONCATENATE($AC$68,"_",AB83),選手名簿!$A:$E,5,FALSE))</f>
        <v/>
      </c>
    </row>
    <row r="84" spans="1:29" ht="20.25" customHeight="1" x14ac:dyDescent="0.45">
      <c r="A84" s="29" t="s">
        <v>226</v>
      </c>
      <c r="B84" s="771" t="s">
        <v>11862</v>
      </c>
      <c r="C84" s="771"/>
      <c r="D84" s="772"/>
      <c r="E84" s="31" t="s">
        <v>196</v>
      </c>
      <c r="F84" s="32" t="str">
        <f>IF(ISERROR(VLOOKUP(CONCATENATE($F$68,"_",G84),選手名簿!$A:$E,5,FALSE))=TRUE,"",VLOOKUP(CONCATENATE($F$68,"_",G84),選手名簿!$A:$E,5,FALSE))</f>
        <v/>
      </c>
      <c r="G84" s="33"/>
      <c r="H84" s="33"/>
      <c r="I84" s="33"/>
      <c r="J84" s="22"/>
      <c r="K84" s="33"/>
      <c r="L84" s="33"/>
      <c r="M84" s="33"/>
      <c r="N84" s="34" t="str">
        <f>IF(ISERROR(VLOOKUP(CONCATENATE($N$68,"_",M84),選手名簿!$A:$E,5,FALSE))=TRUE,"",VLOOKUP(CONCATENATE($N$68,"_",M84),選手名簿!$A:$E,5,FALSE))</f>
        <v/>
      </c>
      <c r="P84" s="29" t="s">
        <v>226</v>
      </c>
      <c r="Q84" s="771" t="s">
        <v>11870</v>
      </c>
      <c r="R84" s="771"/>
      <c r="S84" s="772"/>
      <c r="T84" s="31" t="s">
        <v>196</v>
      </c>
      <c r="U84" s="32" t="str">
        <f>IF(ISERROR(VLOOKUP(CONCATENATE($U$68,"_",V84),選手名簿!$A:$E,5,FALSE))=TRUE,"",VLOOKUP(CONCATENATE($U$68,"_",V84),選手名簿!$A:$E,5,FALSE))</f>
        <v/>
      </c>
      <c r="V84" s="33"/>
      <c r="W84" s="33"/>
      <c r="X84" s="33"/>
      <c r="Y84" s="22"/>
      <c r="Z84" s="33"/>
      <c r="AA84" s="33"/>
      <c r="AB84" s="33"/>
      <c r="AC84" s="34" t="str">
        <f>IF(ISERROR(VLOOKUP(CONCATENATE($AC$68,"_",AB84),選手名簿!$A:$E,5,FALSE))=TRUE,"",VLOOKUP(CONCATENATE($AC$68,"_",AB84),選手名簿!$A:$E,5,FALSE))</f>
        <v/>
      </c>
    </row>
    <row r="85" spans="1:29" ht="20.25" customHeight="1" x14ac:dyDescent="0.45">
      <c r="A85" s="83" t="s">
        <v>1966</v>
      </c>
      <c r="B85" s="769" t="str">
        <f>IF(ISERROR(VLOOKUP(B84,審判員!$A:$C,2,FALSE))=TRUE,"",VLOOKUP(B84,審判員!$A:$C,2,FALSE))</f>
        <v>花崎　宏</v>
      </c>
      <c r="C85" s="770"/>
      <c r="D85" s="83" t="str">
        <f>IF(ISERROR(VLOOKUP(B84,審判員!$A:$C,3,FALSE))=TRUE,"",VLOOKUP(B84,審判員!$A:$C,3,FALSE))</f>
        <v>３級</v>
      </c>
      <c r="E85" s="31" t="s">
        <v>196</v>
      </c>
      <c r="F85" s="32" t="str">
        <f>IF(ISERROR(VLOOKUP(CONCATENATE($F$68,"_",G85),選手名簿!$A:$E,5,FALSE))=TRUE,"",VLOOKUP(CONCATENATE($F$68,"_",G85),選手名簿!$A:$E,5,FALSE))</f>
        <v/>
      </c>
      <c r="G85" s="33"/>
      <c r="H85" s="33"/>
      <c r="I85" s="33"/>
      <c r="J85" s="22"/>
      <c r="K85" s="33"/>
      <c r="L85" s="33"/>
      <c r="M85" s="33"/>
      <c r="N85" s="34" t="str">
        <f>IF(ISERROR(VLOOKUP(CONCATENATE($N$68,"_",M85),選手名簿!$A:$E,5,FALSE))=TRUE,"",VLOOKUP(CONCATENATE($N$68,"_",M85),選手名簿!$A:$E,5,FALSE))</f>
        <v/>
      </c>
      <c r="P85" s="83" t="s">
        <v>1966</v>
      </c>
      <c r="Q85" s="769" t="str">
        <f>IF(ISERROR(VLOOKUP(Q84,審判員!$A:$C,2,FALSE))=TRUE,"",VLOOKUP(Q84,審判員!$A:$C,2,FALSE))</f>
        <v>藤本　勝爾</v>
      </c>
      <c r="R85" s="770"/>
      <c r="S85" s="83" t="str">
        <f>IF(ISERROR(VLOOKUP(Q84,審判員!$A:$C,3,FALSE))=TRUE,"",VLOOKUP(Q84,審判員!$A:$C,3,FALSE))</f>
        <v>３級</v>
      </c>
      <c r="T85" s="31" t="s">
        <v>196</v>
      </c>
      <c r="U85" s="32" t="str">
        <f>IF(ISERROR(VLOOKUP(CONCATENATE($U$68,"_",V85),選手名簿!$A:$E,5,FALSE))=TRUE,"",VLOOKUP(CONCATENATE($U$68,"_",V85),選手名簿!$A:$E,5,FALSE))</f>
        <v/>
      </c>
      <c r="V85" s="33"/>
      <c r="W85" s="33"/>
      <c r="X85" s="33"/>
      <c r="Y85" s="22"/>
      <c r="Z85" s="33"/>
      <c r="AA85" s="33"/>
      <c r="AB85" s="33"/>
      <c r="AC85" s="34" t="str">
        <f>IF(ISERROR(VLOOKUP(CONCATENATE($AC$68,"_",AB85),選手名簿!$A:$E,5,FALSE))=TRUE,"",VLOOKUP(CONCATENATE($AC$68,"_",AB85),選手名簿!$A:$E,5,FALSE))</f>
        <v/>
      </c>
    </row>
    <row r="86" spans="1:29" ht="20.25" customHeight="1" x14ac:dyDescent="0.45">
      <c r="A86" s="29" t="s">
        <v>226</v>
      </c>
      <c r="B86" s="771" t="s">
        <v>11845</v>
      </c>
      <c r="C86" s="771"/>
      <c r="D86" s="772"/>
      <c r="E86" s="31" t="s">
        <v>196</v>
      </c>
      <c r="F86" s="32" t="str">
        <f>IF(ISERROR(VLOOKUP(CONCATENATE($F$68,"_",G86),選手名簿!$A:$E,5,FALSE))=TRUE,"",VLOOKUP(CONCATENATE($F$68,"_",G86),選手名簿!$A:$E,5,FALSE))</f>
        <v/>
      </c>
      <c r="G86" s="33"/>
      <c r="H86" s="33"/>
      <c r="I86" s="33"/>
      <c r="J86" s="22"/>
      <c r="K86" s="33"/>
      <c r="L86" s="33"/>
      <c r="M86" s="33"/>
      <c r="N86" s="34" t="str">
        <f>IF(ISERROR(VLOOKUP(CONCATENATE($N$68,"_",M86),選手名簿!$A:$E,5,FALSE))=TRUE,"",VLOOKUP(CONCATENATE($N$68,"_",M86),選手名簿!$A:$E,5,FALSE))</f>
        <v/>
      </c>
      <c r="P86" s="29" t="s">
        <v>226</v>
      </c>
      <c r="Q86" s="771" t="s">
        <v>11851</v>
      </c>
      <c r="R86" s="771"/>
      <c r="S86" s="772"/>
      <c r="T86" s="31" t="s">
        <v>196</v>
      </c>
      <c r="U86" s="32" t="str">
        <f>IF(ISERROR(VLOOKUP(CONCATENATE($U$68,"_",V86),選手名簿!$A:$E,5,FALSE))=TRUE,"",VLOOKUP(CONCATENATE($U$68,"_",V86),選手名簿!$A:$E,5,FALSE))</f>
        <v/>
      </c>
      <c r="V86" s="33"/>
      <c r="W86" s="33"/>
      <c r="X86" s="33"/>
      <c r="Y86" s="22"/>
      <c r="Z86" s="33"/>
      <c r="AA86" s="33"/>
      <c r="AB86" s="33"/>
      <c r="AC86" s="34" t="str">
        <f>IF(ISERROR(VLOOKUP(CONCATENATE($AC$68,"_",AB86),選手名簿!$A:$E,5,FALSE))=TRUE,"",VLOOKUP(CONCATENATE($AC$68,"_",AB86),選手名簿!$A:$E,5,FALSE))</f>
        <v/>
      </c>
    </row>
    <row r="87" spans="1:29" ht="20.25" customHeight="1" x14ac:dyDescent="0.45">
      <c r="A87" s="83" t="s">
        <v>1967</v>
      </c>
      <c r="B87" s="769" t="str">
        <f>IF(ISERROR(VLOOKUP(B86,審判員!$A:$C,2,FALSE))=TRUE,"",VLOOKUP(B86,審判員!$A:$C,2,FALSE))</f>
        <v>酒井　祐三</v>
      </c>
      <c r="C87" s="770"/>
      <c r="D87" s="83" t="str">
        <f>IF(ISERROR(VLOOKUP(B86,審判員!$A:$C,3,FALSE))=TRUE,"",VLOOKUP(B86,審判員!$A:$C,3,FALSE))</f>
        <v>３級</v>
      </c>
      <c r="E87" s="31" t="s">
        <v>196</v>
      </c>
      <c r="F87" s="32" t="str">
        <f>IF(ISERROR(VLOOKUP(CONCATENATE($F$68,"_",G87),選手名簿!$A:$E,5,FALSE))=TRUE,"",VLOOKUP(CONCATENATE($F$68,"_",G87),選手名簿!$A:$E,5,FALSE))</f>
        <v/>
      </c>
      <c r="G87" s="33"/>
      <c r="H87" s="33"/>
      <c r="I87" s="33"/>
      <c r="J87" s="22"/>
      <c r="K87" s="33"/>
      <c r="L87" s="33"/>
      <c r="M87" s="33"/>
      <c r="N87" s="34" t="str">
        <f>IF(ISERROR(VLOOKUP(CONCATENATE($N$68,"_",M87),選手名簿!$A:$E,5,FALSE))=TRUE,"",VLOOKUP(CONCATENATE($N$68,"_",M87),選手名簿!$A:$E,5,FALSE))</f>
        <v/>
      </c>
      <c r="P87" s="83" t="s">
        <v>1967</v>
      </c>
      <c r="Q87" s="769" t="str">
        <f>IF(ISERROR(VLOOKUP(Q86,審判員!$A:$C,2,FALSE))=TRUE,"",VLOOKUP(Q86,審判員!$A:$C,2,FALSE))</f>
        <v>相良　章成</v>
      </c>
      <c r="R87" s="770"/>
      <c r="S87" s="83" t="str">
        <f>IF(ISERROR(VLOOKUP(Q86,審判員!$A:$C,3,FALSE))=TRUE,"",VLOOKUP(Q86,審判員!$A:$C,3,FALSE))</f>
        <v>３級</v>
      </c>
      <c r="T87" s="31" t="s">
        <v>196</v>
      </c>
      <c r="U87" s="32" t="str">
        <f>IF(ISERROR(VLOOKUP(CONCATENATE($U$68,"_",V87),選手名簿!$A:$E,5,FALSE))=TRUE,"",VLOOKUP(CONCATENATE($U$68,"_",V87),選手名簿!$A:$E,5,FALSE))</f>
        <v/>
      </c>
      <c r="V87" s="33"/>
      <c r="W87" s="33"/>
      <c r="X87" s="33"/>
      <c r="Y87" s="22"/>
      <c r="Z87" s="33"/>
      <c r="AA87" s="33"/>
      <c r="AB87" s="33"/>
      <c r="AC87" s="34" t="str">
        <f>IF(ISERROR(VLOOKUP(CONCATENATE($AC$68,"_",AB87),選手名簿!$A:$E,5,FALSE))=TRUE,"",VLOOKUP(CONCATENATE($AC$68,"_",AB87),選手名簿!$A:$E,5,FALSE))</f>
        <v/>
      </c>
    </row>
    <row r="88" spans="1:29" ht="20.25" customHeight="1" x14ac:dyDescent="0.45">
      <c r="A88" s="29" t="s">
        <v>226</v>
      </c>
      <c r="B88" s="773" t="s">
        <v>1446</v>
      </c>
      <c r="C88" s="773"/>
      <c r="D88" s="773"/>
      <c r="E88" s="31" t="s">
        <v>196</v>
      </c>
      <c r="F88" s="32" t="str">
        <f>IF(ISERROR(VLOOKUP(CONCATENATE($F$68,"_",G88),選手名簿!$A:$E,5,FALSE))=TRUE,"",VLOOKUP(CONCATENATE($F$68,"_",G88),選手名簿!$A:$E,5,FALSE))</f>
        <v/>
      </c>
      <c r="G88" s="33"/>
      <c r="H88" s="33"/>
      <c r="I88" s="33"/>
      <c r="J88" s="22"/>
      <c r="K88" s="33"/>
      <c r="L88" s="33"/>
      <c r="M88" s="33"/>
      <c r="N88" s="34" t="str">
        <f>IF(ISERROR(VLOOKUP(CONCATENATE($N$68,"_",M88),選手名簿!$A:$E,5,FALSE))=TRUE,"",VLOOKUP(CONCATENATE($N$68,"_",M88),選手名簿!$A:$E,5,FALSE))</f>
        <v/>
      </c>
      <c r="P88" s="29" t="s">
        <v>226</v>
      </c>
      <c r="Q88" s="774" t="s">
        <v>573</v>
      </c>
      <c r="R88" s="774"/>
      <c r="S88" s="774"/>
      <c r="T88" s="31" t="s">
        <v>196</v>
      </c>
      <c r="U88" s="32" t="str">
        <f>IF(ISERROR(VLOOKUP(CONCATENATE($U$68,"_",V88),選手名簿!$A:$E,5,FALSE))=TRUE,"",VLOOKUP(CONCATENATE($U$68,"_",V88),選手名簿!$A:$E,5,FALSE))</f>
        <v/>
      </c>
      <c r="V88" s="33"/>
      <c r="W88" s="33"/>
      <c r="X88" s="33"/>
      <c r="Y88" s="22"/>
      <c r="Z88" s="33"/>
      <c r="AA88" s="33"/>
      <c r="AB88" s="33"/>
      <c r="AC88" s="34" t="str">
        <f>IF(ISERROR(VLOOKUP(CONCATENATE($AC$68,"_",AB88),選手名簿!$A:$E,5,FALSE))=TRUE,"",VLOOKUP(CONCATENATE($AC$68,"_",AB88),選手名簿!$A:$E,5,FALSE))</f>
        <v/>
      </c>
    </row>
    <row r="89" spans="1:29" ht="20.25" customHeight="1" thickBot="1" x14ac:dyDescent="0.6">
      <c r="A89" s="83" t="s">
        <v>1968</v>
      </c>
      <c r="B89" s="769" t="str">
        <f>IF(ISERROR(VLOOKUP(B88,審判員!$A:$C,2,FALSE))=TRUE,"",VLOOKUP(B88,審判員!$A:$C,2,FALSE))</f>
        <v>阿部　浩之</v>
      </c>
      <c r="C89" s="770"/>
      <c r="D89" s="83" t="str">
        <f>IF(ISERROR(VLOOKUP(B88,審判員!$A:$C,3,FALSE))=TRUE,"",VLOOKUP(B88,審判員!$A:$C,3,FALSE))</f>
        <v>３級</v>
      </c>
      <c r="E89" s="35" t="s">
        <v>196</v>
      </c>
      <c r="F89" s="36" t="str">
        <f>IF(ISERROR(VLOOKUP(CONCATENATE($F$68,"_",G89),選手名簿!$A:$E,5,FALSE))=TRUE,"",VLOOKUP(CONCATENATE($F$68,"_",G89),選手名簿!$A:$E,5,FALSE))</f>
        <v/>
      </c>
      <c r="G89" s="37"/>
      <c r="H89" s="37"/>
      <c r="I89" s="37"/>
      <c r="J89" s="27"/>
      <c r="K89" s="37"/>
      <c r="L89" s="37"/>
      <c r="M89" s="37"/>
      <c r="N89" s="38" t="str">
        <f>IF(ISERROR(VLOOKUP(CONCATENATE($N$68,"_",M89),選手名簿!$A:$E,5,FALSE))=TRUE,"",VLOOKUP(CONCATENATE($N$68,"_",M89),選手名簿!$A:$E,5,FALSE))</f>
        <v/>
      </c>
      <c r="P89" s="83" t="s">
        <v>1968</v>
      </c>
      <c r="Q89" s="769" t="str">
        <f>IF(ISERROR(VLOOKUP(Q88,審判員!$A:$C,2,FALSE))=TRUE,"",VLOOKUP(Q88,審判員!$A:$C,2,FALSE))</f>
        <v>清家　大介</v>
      </c>
      <c r="R89" s="770"/>
      <c r="S89" s="83" t="str">
        <f>IF(ISERROR(VLOOKUP(Q88,審判員!$A:$C,3,FALSE))=TRUE,"",VLOOKUP(Q88,審判員!$A:$C,3,FALSE))</f>
        <v>３級</v>
      </c>
      <c r="T89" s="35" t="s">
        <v>196</v>
      </c>
      <c r="U89" s="36" t="str">
        <f>IF(ISERROR(VLOOKUP(CONCATENATE($U$68,"_",V89),選手名簿!$A:$E,5,FALSE))=TRUE,"",VLOOKUP(CONCATENATE($U$68,"_",V89),選手名簿!$A:$E,5,FALSE))</f>
        <v/>
      </c>
      <c r="V89" s="37"/>
      <c r="W89" s="37"/>
      <c r="X89" s="37"/>
      <c r="Y89" s="27"/>
      <c r="Z89" s="37"/>
      <c r="AA89" s="37"/>
      <c r="AB89" s="37"/>
      <c r="AC89" s="38" t="str">
        <f>IF(ISERROR(VLOOKUP(CONCATENATE($AC$68,"_",AB89),選手名簿!$A:$E,5,FALSE))=TRUE,"",VLOOKUP(CONCATENATE($AC$68,"_",AB89),選手名簿!$A:$E,5,FALSE))</f>
        <v/>
      </c>
    </row>
  </sheetData>
  <mergeCells count="130">
    <mergeCell ref="Z1:AC1"/>
    <mergeCell ref="AA10:AA12"/>
    <mergeCell ref="AB10:AB12"/>
    <mergeCell ref="AC10:AC12"/>
    <mergeCell ref="V10:V12"/>
    <mergeCell ref="U7:AA7"/>
    <mergeCell ref="AB5:AC5"/>
    <mergeCell ref="AB6:AC6"/>
    <mergeCell ref="U5:AA5"/>
    <mergeCell ref="U6:AA6"/>
    <mergeCell ref="AB7:AC7"/>
    <mergeCell ref="U10:U12"/>
    <mergeCell ref="W10:W12"/>
    <mergeCell ref="K1:N1"/>
    <mergeCell ref="A1:J1"/>
    <mergeCell ref="N10:N12"/>
    <mergeCell ref="B24:D24"/>
    <mergeCell ref="B25:C25"/>
    <mergeCell ref="B26:D26"/>
    <mergeCell ref="F7:L7"/>
    <mergeCell ref="Q24:S24"/>
    <mergeCell ref="Q25:R25"/>
    <mergeCell ref="Q26:S26"/>
    <mergeCell ref="E10:E12"/>
    <mergeCell ref="F10:F12"/>
    <mergeCell ref="M7:N7"/>
    <mergeCell ref="A13:D13"/>
    <mergeCell ref="P13:S13"/>
    <mergeCell ref="P1:Y1"/>
    <mergeCell ref="B10:D10"/>
    <mergeCell ref="B11:D11"/>
    <mergeCell ref="B12:D12"/>
    <mergeCell ref="Q10:S10"/>
    <mergeCell ref="Q11:S11"/>
    <mergeCell ref="Q12:S12"/>
    <mergeCell ref="B27:C27"/>
    <mergeCell ref="Q27:R27"/>
    <mergeCell ref="B28:D28"/>
    <mergeCell ref="Q28:S28"/>
    <mergeCell ref="B29:C29"/>
    <mergeCell ref="Q29:R29"/>
    <mergeCell ref="W39:W41"/>
    <mergeCell ref="M5:N5"/>
    <mergeCell ref="F5:L5"/>
    <mergeCell ref="F6:L6"/>
    <mergeCell ref="M6:N6"/>
    <mergeCell ref="G10:G12"/>
    <mergeCell ref="H10:H12"/>
    <mergeCell ref="L10:L12"/>
    <mergeCell ref="M10:M12"/>
    <mergeCell ref="T10:T12"/>
    <mergeCell ref="B30:D30"/>
    <mergeCell ref="Q30:S30"/>
    <mergeCell ref="B31:C31"/>
    <mergeCell ref="Q31:R31"/>
    <mergeCell ref="E39:E41"/>
    <mergeCell ref="F39:F41"/>
    <mergeCell ref="G39:G41"/>
    <mergeCell ref="H39:H41"/>
    <mergeCell ref="L39:L41"/>
    <mergeCell ref="M39:M41"/>
    <mergeCell ref="AB39:AB41"/>
    <mergeCell ref="AC39:AC41"/>
    <mergeCell ref="B53:D53"/>
    <mergeCell ref="Q53:S53"/>
    <mergeCell ref="B54:C54"/>
    <mergeCell ref="Q54:R54"/>
    <mergeCell ref="N39:N41"/>
    <mergeCell ref="T39:T41"/>
    <mergeCell ref="U39:U41"/>
    <mergeCell ref="V39:V41"/>
    <mergeCell ref="A42:D42"/>
    <mergeCell ref="P42:S42"/>
    <mergeCell ref="AA39:AA41"/>
    <mergeCell ref="Q39:S39"/>
    <mergeCell ref="Q40:S40"/>
    <mergeCell ref="Q41:S41"/>
    <mergeCell ref="B39:D39"/>
    <mergeCell ref="B40:D40"/>
    <mergeCell ref="B41:D41"/>
    <mergeCell ref="B60:C60"/>
    <mergeCell ref="Q60:R60"/>
    <mergeCell ref="B55:D55"/>
    <mergeCell ref="Q55:S55"/>
    <mergeCell ref="B56:C56"/>
    <mergeCell ref="Q56:R56"/>
    <mergeCell ref="B57:D57"/>
    <mergeCell ref="Q57:S57"/>
    <mergeCell ref="W68:W70"/>
    <mergeCell ref="B58:C58"/>
    <mergeCell ref="Q58:R58"/>
    <mergeCell ref="B59:D59"/>
    <mergeCell ref="Q59:S59"/>
    <mergeCell ref="AA68:AA70"/>
    <mergeCell ref="E68:E70"/>
    <mergeCell ref="F68:F70"/>
    <mergeCell ref="G68:G70"/>
    <mergeCell ref="H68:H70"/>
    <mergeCell ref="L68:L70"/>
    <mergeCell ref="M68:M70"/>
    <mergeCell ref="AB68:AB70"/>
    <mergeCell ref="AC68:AC70"/>
    <mergeCell ref="B82:D82"/>
    <mergeCell ref="Q82:S82"/>
    <mergeCell ref="B83:C83"/>
    <mergeCell ref="Q83:R83"/>
    <mergeCell ref="N68:N70"/>
    <mergeCell ref="T68:T70"/>
    <mergeCell ref="U68:U70"/>
    <mergeCell ref="V68:V70"/>
    <mergeCell ref="B84:D84"/>
    <mergeCell ref="Q84:S84"/>
    <mergeCell ref="A71:D71"/>
    <mergeCell ref="P71:S71"/>
    <mergeCell ref="B68:D68"/>
    <mergeCell ref="B69:D69"/>
    <mergeCell ref="B70:D70"/>
    <mergeCell ref="Q68:S68"/>
    <mergeCell ref="Q69:S69"/>
    <mergeCell ref="Q70:S70"/>
    <mergeCell ref="B85:C85"/>
    <mergeCell ref="Q85:R85"/>
    <mergeCell ref="B86:D86"/>
    <mergeCell ref="Q86:S86"/>
    <mergeCell ref="B87:C87"/>
    <mergeCell ref="Q87:R87"/>
    <mergeCell ref="B88:D88"/>
    <mergeCell ref="Q88:S88"/>
    <mergeCell ref="B89:C89"/>
    <mergeCell ref="Q89:R89"/>
  </mergeCells>
  <phoneticPr fontId="5"/>
  <printOptions horizontalCentered="1" verticalCentered="1"/>
  <pageMargins left="0" right="0" top="0" bottom="0" header="0.51181102362204722" footer="0.51181102362204722"/>
  <pageSetup paperSize="9" scale="47" orientation="landscape" r:id="rId1"/>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11FB5D8-179F-4E26-82D7-9D16E8CB99CB}">
          <x14:formula1>
            <xm:f>項目!$G$1:$G$33</xm:f>
          </x14:formula1>
          <xm:sqref>Q10:S12 B68:D70 Q68:S70 Q39:S41 B39:D41 B10:D12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pageSetUpPr fitToPage="1"/>
  </sheetPr>
  <dimension ref="A1:AF89"/>
  <sheetViews>
    <sheetView zoomScale="70" zoomScaleNormal="70" workbookViewId="0">
      <selection activeCell="G3" sqref="G3:L3"/>
    </sheetView>
  </sheetViews>
  <sheetFormatPr defaultColWidth="9" defaultRowHeight="20.25" customHeight="1" x14ac:dyDescent="0.45"/>
  <cols>
    <col min="1" max="1" width="12.1328125" style="9" customWidth="1"/>
    <col min="2" max="2" width="11.86328125" style="9" bestFit="1" customWidth="1"/>
    <col min="3" max="3" width="3.1328125" style="9" customWidth="1"/>
    <col min="4" max="4" width="6.7265625" style="9" bestFit="1" customWidth="1"/>
    <col min="5" max="5" width="10.1328125" style="9" bestFit="1" customWidth="1"/>
    <col min="6" max="6" width="20.6328125" style="9" customWidth="1"/>
    <col min="7" max="7" width="7.6328125" style="9" customWidth="1"/>
    <col min="8" max="9" width="4.86328125" style="9" customWidth="1"/>
    <col min="10" max="10" width="5.2265625" style="9" customWidth="1"/>
    <col min="11" max="12" width="4.86328125" style="9" customWidth="1"/>
    <col min="13" max="13" width="7.6328125" style="9" customWidth="1"/>
    <col min="14" max="14" width="20.6328125" style="9" customWidth="1"/>
    <col min="15" max="15" width="5" style="9" bestFit="1" customWidth="1"/>
    <col min="16" max="16" width="12.1328125" style="9" customWidth="1"/>
    <col min="17" max="17" width="11.86328125" style="9" bestFit="1" customWidth="1"/>
    <col min="18" max="18" width="3.1328125" style="9" customWidth="1"/>
    <col min="19" max="19" width="6.7265625" style="9" bestFit="1" customWidth="1"/>
    <col min="20" max="20" width="10.1328125" style="9" bestFit="1" customWidth="1"/>
    <col min="21" max="21" width="20.6328125" style="9" customWidth="1"/>
    <col min="22" max="22" width="7.6328125" style="9" customWidth="1"/>
    <col min="23" max="24" width="4.86328125" style="9" customWidth="1"/>
    <col min="25" max="25" width="5.2265625" style="9" customWidth="1"/>
    <col min="26" max="27" width="4.86328125" style="9" customWidth="1"/>
    <col min="28" max="28" width="7.6328125" style="9" customWidth="1"/>
    <col min="29" max="29" width="20.6328125" style="9" customWidth="1"/>
    <col min="30" max="16384" width="9" style="9"/>
  </cols>
  <sheetData>
    <row r="1" spans="1:29" s="8" customFormat="1" ht="20.25" customHeight="1" x14ac:dyDescent="0.45">
      <c r="A1" s="800" t="str">
        <f>大会要項!$B$3</f>
        <v>第12回 全日本不動産協会杯争奪U-12サッカー大会【ラビットカップ】大分県大会</v>
      </c>
      <c r="B1" s="800"/>
      <c r="C1" s="800"/>
      <c r="D1" s="800"/>
      <c r="E1" s="800"/>
      <c r="F1" s="800"/>
      <c r="G1" s="800"/>
      <c r="H1" s="800"/>
      <c r="I1" s="800"/>
      <c r="J1" s="800"/>
      <c r="K1" s="800" t="s">
        <v>2009</v>
      </c>
      <c r="L1" s="800"/>
      <c r="M1" s="800"/>
      <c r="N1" s="800"/>
      <c r="O1" s="7"/>
      <c r="P1" s="800" t="str">
        <f>大会要項!$B$3</f>
        <v>第12回 全日本不動産協会杯争奪U-12サッカー大会【ラビットカップ】大分県大会</v>
      </c>
      <c r="Q1" s="800"/>
      <c r="R1" s="800"/>
      <c r="S1" s="800"/>
      <c r="T1" s="800"/>
      <c r="U1" s="800"/>
      <c r="V1" s="800"/>
      <c r="W1" s="800"/>
      <c r="X1" s="800"/>
      <c r="Y1" s="800"/>
      <c r="Z1" s="800" t="s">
        <v>2009</v>
      </c>
      <c r="AA1" s="800"/>
      <c r="AB1" s="800"/>
      <c r="AC1" s="800"/>
    </row>
    <row r="2" spans="1:29" ht="20.25" customHeight="1" x14ac:dyDescent="0.45">
      <c r="P2" s="10"/>
      <c r="Q2" s="10"/>
      <c r="R2" s="10"/>
      <c r="S2" s="10"/>
      <c r="T2" s="10"/>
      <c r="U2" s="10"/>
      <c r="V2" s="10"/>
      <c r="W2" s="10"/>
      <c r="X2" s="10"/>
      <c r="Y2" s="10"/>
      <c r="Z2" s="10"/>
      <c r="AA2" s="10"/>
      <c r="AB2" s="10"/>
      <c r="AC2" s="10"/>
    </row>
    <row r="3" spans="1:29" ht="20.25" customHeight="1" x14ac:dyDescent="0.45">
      <c r="A3" s="9" t="s">
        <v>47</v>
      </c>
      <c r="B3" s="6" t="str">
        <f>予選リーグ!C14</f>
        <v>レゾナック サッカー・ラグビー場　Bコート</v>
      </c>
      <c r="C3" s="6"/>
      <c r="D3" s="6"/>
      <c r="E3" s="6"/>
      <c r="G3" s="6" t="str">
        <f>予選リーグ!F15</f>
        <v>「B」コート</v>
      </c>
      <c r="H3" s="6"/>
      <c r="I3" s="6"/>
      <c r="J3" s="6"/>
      <c r="K3" s="6"/>
      <c r="L3" s="6"/>
      <c r="P3" s="9" t="s">
        <v>47</v>
      </c>
      <c r="Q3" s="6" t="str">
        <f>予選リーグ!C14</f>
        <v>レゾナック サッカー・ラグビー場　Bコート</v>
      </c>
      <c r="R3" s="6"/>
      <c r="S3" s="6"/>
      <c r="T3" s="6"/>
      <c r="V3" s="379" t="str">
        <f>予選リーグ!F15</f>
        <v>「B」コート</v>
      </c>
      <c r="W3" s="11"/>
      <c r="X3" s="11"/>
      <c r="Y3" s="11"/>
      <c r="Z3" s="11"/>
      <c r="AA3" s="11"/>
      <c r="AB3" s="11"/>
      <c r="AC3" s="11"/>
    </row>
    <row r="4" spans="1:29" ht="20.25" customHeight="1" x14ac:dyDescent="0.45">
      <c r="P4" s="10"/>
      <c r="Q4" s="10"/>
      <c r="R4" s="10"/>
      <c r="S4" s="10"/>
      <c r="T4" s="10"/>
      <c r="U4" s="10"/>
      <c r="V4" s="10"/>
      <c r="W4" s="10"/>
      <c r="X4" s="10"/>
      <c r="Y4" s="10"/>
      <c r="Z4" s="10"/>
      <c r="AA4" s="10"/>
      <c r="AB4" s="10"/>
      <c r="AC4" s="10"/>
    </row>
    <row r="5" spans="1:29" ht="20.25" customHeight="1" x14ac:dyDescent="0.45">
      <c r="E5" s="12" t="s">
        <v>59</v>
      </c>
      <c r="F5" s="796" t="str">
        <f>VLOOKUP(E5,組合せ抽選用!$Q:$U,5,FALSE)</f>
        <v>別府フットボールクラブ．ミネルバＵ－１２</v>
      </c>
      <c r="G5" s="796"/>
      <c r="H5" s="796"/>
      <c r="I5" s="796"/>
      <c r="J5" s="796"/>
      <c r="K5" s="796"/>
      <c r="L5" s="796"/>
      <c r="M5" s="796" t="str">
        <f>VLOOKUP(E5,組合せ抽選用!$Q:$V,6,FALSE)</f>
        <v>別府</v>
      </c>
      <c r="N5" s="797"/>
      <c r="R5" s="10"/>
      <c r="S5" s="10"/>
      <c r="T5" s="12" t="s">
        <v>71</v>
      </c>
      <c r="U5" s="796" t="str">
        <f>VLOOKUP(T5,組合せ抽選用!$Q:$U,5,FALSE)</f>
        <v>ＦＣ　ＷＡＹＳ</v>
      </c>
      <c r="V5" s="796"/>
      <c r="W5" s="796"/>
      <c r="X5" s="796"/>
      <c r="Y5" s="796"/>
      <c r="Z5" s="796"/>
      <c r="AA5" s="796"/>
      <c r="AB5" s="796" t="str">
        <f>VLOOKUP(T5,組合せ抽選用!$Q:$V,6,FALSE)</f>
        <v>宇佐高田</v>
      </c>
      <c r="AC5" s="797"/>
    </row>
    <row r="6" spans="1:29" ht="20.25" customHeight="1" x14ac:dyDescent="0.45">
      <c r="E6" s="13" t="s">
        <v>60</v>
      </c>
      <c r="F6" s="798" t="str">
        <f>VLOOKUP(E6,組合せ抽選用!$Q:$U,5,FALSE)</f>
        <v>明野東サッカースポーツ少年団</v>
      </c>
      <c r="G6" s="798"/>
      <c r="H6" s="798"/>
      <c r="I6" s="798"/>
      <c r="J6" s="798"/>
      <c r="K6" s="798"/>
      <c r="L6" s="798"/>
      <c r="M6" s="798" t="str">
        <f>VLOOKUP(E6,組合せ抽選用!$Q:$V,6,FALSE)</f>
        <v>大分</v>
      </c>
      <c r="N6" s="799"/>
      <c r="P6" s="10"/>
      <c r="Q6" s="10"/>
      <c r="R6" s="10"/>
      <c r="S6" s="10"/>
      <c r="T6" s="13" t="s">
        <v>72</v>
      </c>
      <c r="U6" s="798" t="str">
        <f>VLOOKUP(T6,組合せ抽選用!$Q:$U,5,FALSE)</f>
        <v>金池長浜サッカースポーツ少年団</v>
      </c>
      <c r="V6" s="798"/>
      <c r="W6" s="798"/>
      <c r="X6" s="798"/>
      <c r="Y6" s="798"/>
      <c r="Z6" s="798"/>
      <c r="AA6" s="798"/>
      <c r="AB6" s="798" t="str">
        <f>VLOOKUP(T6,組合せ抽選用!$Q:$V,6,FALSE)</f>
        <v>大分</v>
      </c>
      <c r="AC6" s="799"/>
    </row>
    <row r="7" spans="1:29" ht="20.25" customHeight="1" x14ac:dyDescent="0.45">
      <c r="E7" s="14" t="s">
        <v>61</v>
      </c>
      <c r="F7" s="801" t="str">
        <f>VLOOKUP(E7,組合せ抽選用!$Q:$U,5,FALSE)</f>
        <v>玖珠サッカースポーツ少年団</v>
      </c>
      <c r="G7" s="801"/>
      <c r="H7" s="801"/>
      <c r="I7" s="801"/>
      <c r="J7" s="801"/>
      <c r="K7" s="801"/>
      <c r="L7" s="801"/>
      <c r="M7" s="801" t="str">
        <f>VLOOKUP(E7,組合せ抽選用!$Q:$V,6,FALSE)</f>
        <v>日田/玖珠</v>
      </c>
      <c r="N7" s="802"/>
      <c r="P7" s="10"/>
      <c r="Q7" s="10"/>
      <c r="R7" s="10"/>
      <c r="S7" s="10"/>
      <c r="T7" s="14" t="s">
        <v>73</v>
      </c>
      <c r="U7" s="801" t="str">
        <f>VLOOKUP(T7,組合せ抽選用!$Q:$U,5,FALSE)</f>
        <v>太陽スポーツクラブ大分西</v>
      </c>
      <c r="V7" s="801"/>
      <c r="W7" s="801"/>
      <c r="X7" s="801"/>
      <c r="Y7" s="801"/>
      <c r="Z7" s="801"/>
      <c r="AA7" s="801"/>
      <c r="AB7" s="801" t="str">
        <f>VLOOKUP(T7,組合せ抽選用!$Q:$V,6,FALSE)</f>
        <v>日田/玖珠</v>
      </c>
      <c r="AC7" s="802"/>
    </row>
    <row r="8" spans="1:29" ht="20.25" customHeight="1" x14ac:dyDescent="0.45">
      <c r="P8" s="10"/>
      <c r="Q8" s="10"/>
      <c r="R8" s="10"/>
      <c r="S8" s="10"/>
      <c r="T8" s="10"/>
      <c r="U8" s="10"/>
      <c r="V8" s="10"/>
      <c r="W8" s="10"/>
      <c r="X8" s="10"/>
      <c r="Y8" s="10"/>
      <c r="Z8" s="10"/>
      <c r="AA8" s="10"/>
      <c r="AB8" s="10"/>
      <c r="AC8" s="10"/>
    </row>
    <row r="9" spans="1:29" ht="20.25" customHeight="1" thickBot="1" x14ac:dyDescent="0.6"/>
    <row r="10" spans="1:29" ht="27.4" customHeight="1" x14ac:dyDescent="0.45">
      <c r="A10" s="365" t="s">
        <v>3235</v>
      </c>
      <c r="B10" s="789" t="s">
        <v>282</v>
      </c>
      <c r="C10" s="790"/>
      <c r="D10" s="791"/>
      <c r="E10" s="778">
        <v>0.4375</v>
      </c>
      <c r="F10" s="781" t="str">
        <f>F5</f>
        <v>別府フットボールクラブ．ミネルバＵ－１２</v>
      </c>
      <c r="G10" s="784">
        <f>IF(I10="","",SUM(I10:I11))</f>
        <v>5</v>
      </c>
      <c r="H10" s="793" t="s">
        <v>205</v>
      </c>
      <c r="I10" s="84">
        <v>3</v>
      </c>
      <c r="J10" s="84" t="s">
        <v>116</v>
      </c>
      <c r="K10" s="84">
        <v>0</v>
      </c>
      <c r="L10" s="793" t="s">
        <v>206</v>
      </c>
      <c r="M10" s="784">
        <f>IF(K10="","",SUM(K10:K11))</f>
        <v>0</v>
      </c>
      <c r="N10" s="775" t="str">
        <f>F6</f>
        <v>明野東サッカースポーツ少年団</v>
      </c>
      <c r="P10" s="365" t="s">
        <v>3235</v>
      </c>
      <c r="Q10" s="789" t="s">
        <v>274</v>
      </c>
      <c r="R10" s="790"/>
      <c r="S10" s="791"/>
      <c r="T10" s="778">
        <v>0.47916666666666669</v>
      </c>
      <c r="U10" s="781" t="str">
        <f>U5</f>
        <v>ＦＣ　ＷＡＹＳ</v>
      </c>
      <c r="V10" s="784">
        <f>IF(X10="","",SUM(X10:X11))</f>
        <v>0</v>
      </c>
      <c r="W10" s="793" t="s">
        <v>205</v>
      </c>
      <c r="X10" s="84">
        <v>0</v>
      </c>
      <c r="Y10" s="84" t="s">
        <v>116</v>
      </c>
      <c r="Z10" s="84">
        <v>0</v>
      </c>
      <c r="AA10" s="793" t="s">
        <v>206</v>
      </c>
      <c r="AB10" s="784">
        <f>IF(Z10="","",SUM(Z10:Z11))</f>
        <v>0</v>
      </c>
      <c r="AC10" s="775" t="str">
        <f>U6</f>
        <v>金池長浜サッカースポーツ少年団</v>
      </c>
    </row>
    <row r="11" spans="1:29" ht="27.4" customHeight="1" x14ac:dyDescent="0.45">
      <c r="A11" s="366" t="s">
        <v>3236</v>
      </c>
      <c r="B11" s="792" t="s">
        <v>3924</v>
      </c>
      <c r="C11" s="792"/>
      <c r="D11" s="789"/>
      <c r="E11" s="779"/>
      <c r="F11" s="782"/>
      <c r="G11" s="785"/>
      <c r="H11" s="794"/>
      <c r="I11" s="9">
        <v>2</v>
      </c>
      <c r="J11" s="9" t="s">
        <v>117</v>
      </c>
      <c r="K11" s="9">
        <v>0</v>
      </c>
      <c r="L11" s="794"/>
      <c r="M11" s="785"/>
      <c r="N11" s="776"/>
      <c r="P11" s="366" t="s">
        <v>3236</v>
      </c>
      <c r="Q11" s="792" t="s">
        <v>3924</v>
      </c>
      <c r="R11" s="792"/>
      <c r="S11" s="789"/>
      <c r="T11" s="779"/>
      <c r="U11" s="782"/>
      <c r="V11" s="785"/>
      <c r="W11" s="794"/>
      <c r="X11" s="9">
        <v>0</v>
      </c>
      <c r="Y11" s="9" t="s">
        <v>117</v>
      </c>
      <c r="Z11" s="9">
        <v>0</v>
      </c>
      <c r="AA11" s="794"/>
      <c r="AB11" s="785"/>
      <c r="AC11" s="776"/>
    </row>
    <row r="12" spans="1:29" ht="27.4" customHeight="1" thickBot="1" x14ac:dyDescent="0.6">
      <c r="A12" s="366" t="s">
        <v>3237</v>
      </c>
      <c r="B12" s="792" t="s">
        <v>10008</v>
      </c>
      <c r="C12" s="792"/>
      <c r="D12" s="789"/>
      <c r="E12" s="780"/>
      <c r="F12" s="783"/>
      <c r="G12" s="786"/>
      <c r="H12" s="795"/>
      <c r="I12" s="85"/>
      <c r="J12" s="85" t="s">
        <v>188</v>
      </c>
      <c r="K12" s="85"/>
      <c r="L12" s="795"/>
      <c r="M12" s="786"/>
      <c r="N12" s="777"/>
      <c r="P12" s="366" t="s">
        <v>3237</v>
      </c>
      <c r="Q12" s="792" t="s">
        <v>282</v>
      </c>
      <c r="R12" s="792"/>
      <c r="S12" s="789"/>
      <c r="T12" s="780"/>
      <c r="U12" s="783"/>
      <c r="V12" s="786"/>
      <c r="W12" s="795"/>
      <c r="X12" s="85"/>
      <c r="Y12" s="85" t="s">
        <v>188</v>
      </c>
      <c r="Z12" s="85"/>
      <c r="AA12" s="795"/>
      <c r="AB12" s="786"/>
      <c r="AC12" s="777"/>
    </row>
    <row r="13" spans="1:29" ht="20.25" customHeight="1" thickTop="1" x14ac:dyDescent="0.45">
      <c r="A13" s="787" t="s">
        <v>1565</v>
      </c>
      <c r="B13" s="787"/>
      <c r="C13" s="787"/>
      <c r="D13" s="787"/>
      <c r="E13" s="15"/>
      <c r="F13" s="16" t="s">
        <v>190</v>
      </c>
      <c r="G13" s="16" t="s">
        <v>1552</v>
      </c>
      <c r="H13" s="16" t="s">
        <v>145</v>
      </c>
      <c r="I13" s="16"/>
      <c r="J13" s="17"/>
      <c r="K13" s="16"/>
      <c r="L13" s="16" t="s">
        <v>145</v>
      </c>
      <c r="M13" s="16" t="s">
        <v>1552</v>
      </c>
      <c r="N13" s="18" t="s">
        <v>190</v>
      </c>
      <c r="P13" s="787" t="s">
        <v>1565</v>
      </c>
      <c r="Q13" s="787"/>
      <c r="R13" s="787"/>
      <c r="S13" s="788"/>
      <c r="T13" s="15"/>
      <c r="U13" s="16" t="s">
        <v>190</v>
      </c>
      <c r="V13" s="16" t="s">
        <v>1552</v>
      </c>
      <c r="W13" s="16" t="s">
        <v>145</v>
      </c>
      <c r="X13" s="16"/>
      <c r="Y13" s="17"/>
      <c r="Z13" s="16"/>
      <c r="AA13" s="16" t="s">
        <v>145</v>
      </c>
      <c r="AB13" s="16" t="s">
        <v>1552</v>
      </c>
      <c r="AC13" s="18" t="s">
        <v>190</v>
      </c>
    </row>
    <row r="14" spans="1:29" ht="20.25" hidden="1" customHeight="1" x14ac:dyDescent="0.45">
      <c r="E14" s="19" t="s">
        <v>228</v>
      </c>
      <c r="F14" s="20" t="str">
        <f>IF(ISERROR(VLOOKUP(CONCATENATE($F$10,"_",G14),選手名簿!$A:$E,5,FALSE))=TRUE,"",VLOOKUP(CONCATENATE($F$10,"_",G14),選手名簿!$A:$E,5,FALSE))</f>
        <v/>
      </c>
      <c r="G14" s="21"/>
      <c r="H14" s="21"/>
      <c r="I14" s="21"/>
      <c r="J14" s="22"/>
      <c r="K14" s="21"/>
      <c r="L14" s="21"/>
      <c r="M14" s="21"/>
      <c r="N14" s="23" t="str">
        <f>IF(ISERROR(VLOOKUP(CONCATENATE($N$10,"_",M14),選手名簿!$A:$E,5,FALSE))=TRUE,"",VLOOKUP(CONCATENATE($N$10,"_",M14),選手名簿!$A:$E,5,FALSE))</f>
        <v/>
      </c>
      <c r="T14" s="19" t="s">
        <v>228</v>
      </c>
      <c r="U14" s="20" t="str">
        <f>IF(ISERROR(VLOOKUP(CONCATENATE($U$10,"_",V14),選手名簿!$A:$E,5,FALSE))=TRUE,"",VLOOKUP(CONCATENATE($U$10,"_",V14),選手名簿!$A:$E,5,FALSE))</f>
        <v/>
      </c>
      <c r="V14" s="21"/>
      <c r="W14" s="21"/>
      <c r="X14" s="21"/>
      <c r="Y14" s="22"/>
      <c r="Z14" s="21"/>
      <c r="AA14" s="21"/>
      <c r="AB14" s="21"/>
      <c r="AC14" s="23" t="str">
        <f>IF(ISERROR(VLOOKUP(CONCATENATE($AC$10,"_",AB14),選手名簿!$A:$E,5,FALSE))=TRUE,"",VLOOKUP(CONCATENATE($AC$10,"_",AB14),選手名簿!$A:$E,5,FALSE))</f>
        <v/>
      </c>
    </row>
    <row r="15" spans="1:29" ht="20.25" hidden="1" customHeight="1" x14ac:dyDescent="0.45">
      <c r="E15" s="19" t="s">
        <v>228</v>
      </c>
      <c r="F15" s="20" t="str">
        <f>IF(ISERROR(VLOOKUP(CONCATENATE($F$10,"_",G15),選手名簿!$A:$E,5,FALSE))=TRUE,"",VLOOKUP(CONCATENATE($F$10,"_",G15),選手名簿!$A:$E,5,FALSE))</f>
        <v/>
      </c>
      <c r="G15" s="21"/>
      <c r="H15" s="21"/>
      <c r="I15" s="21"/>
      <c r="J15" s="22"/>
      <c r="K15" s="21"/>
      <c r="L15" s="21"/>
      <c r="M15" s="21"/>
      <c r="N15" s="23" t="str">
        <f>IF(ISERROR(VLOOKUP(CONCATENATE($N$10,"_",M15),選手名簿!$A:$E,5,FALSE))=TRUE,"",VLOOKUP(CONCATENATE($N$10,"_",M15),選手名簿!$A:$E,5,FALSE))</f>
        <v/>
      </c>
      <c r="T15" s="19" t="s">
        <v>228</v>
      </c>
      <c r="U15" s="20" t="str">
        <f>IF(ISERROR(VLOOKUP(CONCATENATE($U$10,"_",V15),選手名簿!$A:$E,5,FALSE))=TRUE,"",VLOOKUP(CONCATENATE($U$10,"_",V15),選手名簿!$A:$E,5,FALSE))</f>
        <v/>
      </c>
      <c r="V15" s="21"/>
      <c r="W15" s="21"/>
      <c r="X15" s="21"/>
      <c r="Y15" s="22"/>
      <c r="Z15" s="21"/>
      <c r="AA15" s="21"/>
      <c r="AB15" s="21"/>
      <c r="AC15" s="23" t="str">
        <f>IF(ISERROR(VLOOKUP(CONCATENATE($AC$10,"_",AB15),選手名簿!$A:$E,5,FALSE))=TRUE,"",VLOOKUP(CONCATENATE($AC$10,"_",AB15),選手名簿!$A:$E,5,FALSE))</f>
        <v/>
      </c>
    </row>
    <row r="16" spans="1:29" ht="20.25" hidden="1" customHeight="1" x14ac:dyDescent="0.45">
      <c r="E16" s="19" t="s">
        <v>228</v>
      </c>
      <c r="F16" s="20" t="str">
        <f>IF(ISERROR(VLOOKUP(CONCATENATE($F$10,"_",G16),選手名簿!$A:$E,5,FALSE))=TRUE,"",VLOOKUP(CONCATENATE($F$10,"_",G16),選手名簿!$A:$E,5,FALSE))</f>
        <v/>
      </c>
      <c r="G16" s="21"/>
      <c r="H16" s="21"/>
      <c r="I16" s="21"/>
      <c r="J16" s="22"/>
      <c r="K16" s="21"/>
      <c r="L16" s="21"/>
      <c r="M16" s="21"/>
      <c r="N16" s="23" t="str">
        <f>IF(ISERROR(VLOOKUP(CONCATENATE($N$10,"_",M16),選手名簿!$A:$E,5,FALSE))=TRUE,"",VLOOKUP(CONCATENATE($N$10,"_",M16),選手名簿!$A:$E,5,FALSE))</f>
        <v/>
      </c>
      <c r="T16" s="19" t="s">
        <v>228</v>
      </c>
      <c r="U16" s="20" t="str">
        <f>IF(ISERROR(VLOOKUP(CONCATENATE($U$10,"_",V16),選手名簿!$A:$E,5,FALSE))=TRUE,"",VLOOKUP(CONCATENATE($U$10,"_",V16),選手名簿!$A:$E,5,FALSE))</f>
        <v/>
      </c>
      <c r="V16" s="21"/>
      <c r="W16" s="21"/>
      <c r="X16" s="21"/>
      <c r="Y16" s="22"/>
      <c r="Z16" s="21"/>
      <c r="AA16" s="21"/>
      <c r="AB16" s="21"/>
      <c r="AC16" s="23" t="str">
        <f>IF(ISERROR(VLOOKUP(CONCATENATE($AC$10,"_",AB16),選手名簿!$A:$E,5,FALSE))=TRUE,"",VLOOKUP(CONCATENATE($AC$10,"_",AB16),選手名簿!$A:$E,5,FALSE))</f>
        <v/>
      </c>
    </row>
    <row r="17" spans="1:32" ht="20.25" hidden="1" customHeight="1" x14ac:dyDescent="0.45">
      <c r="E17" s="19" t="s">
        <v>228</v>
      </c>
      <c r="F17" s="20" t="str">
        <f>IF(ISERROR(VLOOKUP(CONCATENATE($F$10,"_",G17),選手名簿!$A:$E,5,FALSE))=TRUE,"",VLOOKUP(CONCATENATE($F$10,"_",G17),選手名簿!$A:$E,5,FALSE))</f>
        <v/>
      </c>
      <c r="G17" s="21"/>
      <c r="H17" s="21"/>
      <c r="I17" s="21"/>
      <c r="J17" s="22"/>
      <c r="K17" s="21"/>
      <c r="L17" s="21"/>
      <c r="M17" s="21"/>
      <c r="N17" s="23" t="str">
        <f>IF(ISERROR(VLOOKUP(CONCATENATE($N$10,"_",M17),選手名簿!$A:$E,5,FALSE))=TRUE,"",VLOOKUP(CONCATENATE($N$10,"_",M17),選手名簿!$A:$E,5,FALSE))</f>
        <v/>
      </c>
      <c r="T17" s="19" t="s">
        <v>228</v>
      </c>
      <c r="U17" s="20" t="str">
        <f>IF(ISERROR(VLOOKUP(CONCATENATE($U$10,"_",V17),選手名簿!$A:$E,5,FALSE))=TRUE,"",VLOOKUP(CONCATENATE($U$10,"_",V17),選手名簿!$A:$E,5,FALSE))</f>
        <v/>
      </c>
      <c r="V17" s="21"/>
      <c r="W17" s="21"/>
      <c r="X17" s="21"/>
      <c r="Y17" s="22"/>
      <c r="Z17" s="21"/>
      <c r="AA17" s="21"/>
      <c r="AB17" s="21"/>
      <c r="AC17" s="23" t="str">
        <f>IF(ISERROR(VLOOKUP(CONCATENATE($AC$10,"_",AB17),選手名簿!$A:$E,5,FALSE))=TRUE,"",VLOOKUP(CONCATENATE($AC$10,"_",AB17),選手名簿!$A:$E,5,FALSE))</f>
        <v/>
      </c>
    </row>
    <row r="18" spans="1:32" ht="20.25" hidden="1" customHeight="1" x14ac:dyDescent="0.45">
      <c r="E18" s="19" t="s">
        <v>228</v>
      </c>
      <c r="F18" s="20" t="str">
        <f>IF(ISERROR(VLOOKUP(CONCATENATE($F$10,"_",G18),選手名簿!$A:$E,5,FALSE))=TRUE,"",VLOOKUP(CONCATENATE($F$10,"_",G18),選手名簿!$A:$E,5,FALSE))</f>
        <v/>
      </c>
      <c r="G18" s="21"/>
      <c r="H18" s="21"/>
      <c r="I18" s="21"/>
      <c r="J18" s="22"/>
      <c r="K18" s="21"/>
      <c r="L18" s="21"/>
      <c r="M18" s="21"/>
      <c r="N18" s="23" t="str">
        <f>IF(ISERROR(VLOOKUP(CONCATENATE($N$10,"_",M18),選手名簿!$A:$E,5,FALSE))=TRUE,"",VLOOKUP(CONCATENATE($N$10,"_",M18),選手名簿!$A:$E,5,FALSE))</f>
        <v/>
      </c>
      <c r="T18" s="19" t="s">
        <v>228</v>
      </c>
      <c r="U18" s="20" t="str">
        <f>IF(ISERROR(VLOOKUP(CONCATENATE($U$10,"_",V18),選手名簿!$A:$E,5,FALSE))=TRUE,"",VLOOKUP(CONCATENATE($U$10,"_",V18),選手名簿!$A:$E,5,FALSE))</f>
        <v/>
      </c>
      <c r="V18" s="21"/>
      <c r="W18" s="21"/>
      <c r="X18" s="21"/>
      <c r="Y18" s="22"/>
      <c r="Z18" s="21"/>
      <c r="AA18" s="21"/>
      <c r="AB18" s="21"/>
      <c r="AC18" s="23" t="str">
        <f>IF(ISERROR(VLOOKUP(CONCATENATE($AC$10,"_",AB18),選手名簿!$A:$E,5,FALSE))=TRUE,"",VLOOKUP(CONCATENATE($AC$10,"_",AB18),選手名簿!$A:$E,5,FALSE))</f>
        <v/>
      </c>
    </row>
    <row r="19" spans="1:32" ht="20.25" hidden="1" customHeight="1" x14ac:dyDescent="0.45">
      <c r="E19" s="19" t="s">
        <v>228</v>
      </c>
      <c r="F19" s="20" t="str">
        <f>IF(ISERROR(VLOOKUP(CONCATENATE($F$10,"_",G19),選手名簿!$A:$E,5,FALSE))=TRUE,"",VLOOKUP(CONCATENATE($F$10,"_",G19),選手名簿!$A:$E,5,FALSE))</f>
        <v/>
      </c>
      <c r="G19" s="21"/>
      <c r="H19" s="21"/>
      <c r="I19" s="21"/>
      <c r="J19" s="22"/>
      <c r="K19" s="21"/>
      <c r="L19" s="21"/>
      <c r="M19" s="21"/>
      <c r="N19" s="23" t="str">
        <f>IF(ISERROR(VLOOKUP(CONCATENATE($N$10,"_",M19),選手名簿!$A:$E,5,FALSE))=TRUE,"",VLOOKUP(CONCATENATE($N$10,"_",M19),選手名簿!$A:$E,5,FALSE))</f>
        <v/>
      </c>
      <c r="T19" s="19" t="s">
        <v>228</v>
      </c>
      <c r="U19" s="20" t="str">
        <f>IF(ISERROR(VLOOKUP(CONCATENATE($U$10,"_",V19),選手名簿!$A:$E,5,FALSE))=TRUE,"",VLOOKUP(CONCATENATE($U$10,"_",V19),選手名簿!$A:$E,5,FALSE))</f>
        <v/>
      </c>
      <c r="V19" s="21"/>
      <c r="W19" s="21"/>
      <c r="X19" s="21"/>
      <c r="Y19" s="22"/>
      <c r="Z19" s="21"/>
      <c r="AA19" s="21"/>
      <c r="AB19" s="21"/>
      <c r="AC19" s="23" t="str">
        <f>IF(ISERROR(VLOOKUP(CONCATENATE($AC$10,"_",AB19),選手名簿!$A:$E,5,FALSE))=TRUE,"",VLOOKUP(CONCATENATE($AC$10,"_",AB19),選手名簿!$A:$E,5,FALSE))</f>
        <v/>
      </c>
    </row>
    <row r="20" spans="1:32" ht="20.25" hidden="1" customHeight="1" x14ac:dyDescent="0.45">
      <c r="E20" s="19" t="s">
        <v>228</v>
      </c>
      <c r="F20" s="20" t="str">
        <f>IF(ISERROR(VLOOKUP(CONCATENATE($F$10,"_",G20),選手名簿!$A:$E,5,FALSE))=TRUE,"",VLOOKUP(CONCATENATE($F$10,"_",G20),選手名簿!$A:$E,5,FALSE))</f>
        <v/>
      </c>
      <c r="G20" s="21"/>
      <c r="H20" s="21"/>
      <c r="I20" s="21"/>
      <c r="J20" s="22"/>
      <c r="K20" s="21"/>
      <c r="L20" s="21"/>
      <c r="M20" s="21"/>
      <c r="N20" s="23" t="str">
        <f>IF(ISERROR(VLOOKUP(CONCATENATE($N$10,"_",M20),選手名簿!$A:$E,5,FALSE))=TRUE,"",VLOOKUP(CONCATENATE($N$10,"_",M20),選手名簿!$A:$E,5,FALSE))</f>
        <v/>
      </c>
      <c r="T20" s="19" t="s">
        <v>228</v>
      </c>
      <c r="U20" s="20" t="str">
        <f>IF(ISERROR(VLOOKUP(CONCATENATE($U$10,"_",V20),選手名簿!$A:$E,5,FALSE))=TRUE,"",VLOOKUP(CONCATENATE($U$10,"_",V20),選手名簿!$A:$E,5,FALSE))</f>
        <v/>
      </c>
      <c r="V20" s="21"/>
      <c r="W20" s="21"/>
      <c r="X20" s="21"/>
      <c r="Y20" s="22"/>
      <c r="Z20" s="21"/>
      <c r="AA20" s="21"/>
      <c r="AB20" s="21"/>
      <c r="AC20" s="23" t="str">
        <f>IF(ISERROR(VLOOKUP(CONCATENATE($AC$10,"_",AB20),選手名簿!$A:$E,5,FALSE))=TRUE,"",VLOOKUP(CONCATENATE($AC$10,"_",AB20),選手名簿!$A:$E,5,FALSE))</f>
        <v/>
      </c>
    </row>
    <row r="21" spans="1:32" ht="20.25" hidden="1" customHeight="1" x14ac:dyDescent="0.45">
      <c r="E21" s="19" t="s">
        <v>228</v>
      </c>
      <c r="F21" s="20" t="str">
        <f>IF(ISERROR(VLOOKUP(CONCATENATE($F$10,"_",G21),選手名簿!$A:$E,5,FALSE))=TRUE,"",VLOOKUP(CONCATENATE($F$10,"_",G21),選手名簿!$A:$E,5,FALSE))</f>
        <v/>
      </c>
      <c r="G21" s="21"/>
      <c r="H21" s="21"/>
      <c r="I21" s="21"/>
      <c r="J21" s="22"/>
      <c r="K21" s="21"/>
      <c r="L21" s="21"/>
      <c r="M21" s="21"/>
      <c r="N21" s="23" t="str">
        <f>IF(ISERROR(VLOOKUP(CONCATENATE($N$10,"_",M21),選手名簿!$A:$E,5,FALSE))=TRUE,"",VLOOKUP(CONCATENATE($N$10,"_",M21),選手名簿!$A:$E,5,FALSE))</f>
        <v/>
      </c>
      <c r="T21" s="19" t="s">
        <v>228</v>
      </c>
      <c r="U21" s="20" t="str">
        <f>IF(ISERROR(VLOOKUP(CONCATENATE($U$10,"_",V21),選手名簿!$A:$E,5,FALSE))=TRUE,"",VLOOKUP(CONCATENATE($U$10,"_",V21),選手名簿!$A:$E,5,FALSE))</f>
        <v/>
      </c>
      <c r="V21" s="21"/>
      <c r="W21" s="21"/>
      <c r="X21" s="21"/>
      <c r="Y21" s="22"/>
      <c r="Z21" s="21"/>
      <c r="AA21" s="21"/>
      <c r="AB21" s="21"/>
      <c r="AC21" s="23" t="str">
        <f>IF(ISERROR(VLOOKUP(CONCATENATE($AC$10,"_",AB21),選手名簿!$A:$E,5,FALSE))=TRUE,"",VLOOKUP(CONCATENATE($AC$10,"_",AB21),選手名簿!$A:$E,5,FALSE))</f>
        <v/>
      </c>
    </row>
    <row r="22" spans="1:32" ht="20.25" hidden="1" customHeight="1" x14ac:dyDescent="0.45">
      <c r="E22" s="19" t="s">
        <v>228</v>
      </c>
      <c r="F22" s="20" t="str">
        <f>IF(ISERROR(VLOOKUP(CONCATENATE($F$10,"_",G22),選手名簿!$A:$E,5,FALSE))=TRUE,"",VLOOKUP(CONCATENATE($F$10,"_",G22),選手名簿!$A:$E,5,FALSE))</f>
        <v/>
      </c>
      <c r="G22" s="21"/>
      <c r="H22" s="21"/>
      <c r="I22" s="21"/>
      <c r="J22" s="22"/>
      <c r="K22" s="21"/>
      <c r="L22" s="21"/>
      <c r="M22" s="21"/>
      <c r="N22" s="23" t="str">
        <f>IF(ISERROR(VLOOKUP(CONCATENATE($N$10,"_",M22),選手名簿!$A:$E,5,FALSE))=TRUE,"",VLOOKUP(CONCATENATE($N$10,"_",M22),選手名簿!$A:$E,5,FALSE))</f>
        <v/>
      </c>
      <c r="T22" s="19" t="s">
        <v>228</v>
      </c>
      <c r="U22" s="20" t="str">
        <f>IF(ISERROR(VLOOKUP(CONCATENATE($U$10,"_",V22),選手名簿!$A:$E,5,FALSE))=TRUE,"",VLOOKUP(CONCATENATE($U$10,"_",V22),選手名簿!$A:$E,5,FALSE))</f>
        <v/>
      </c>
      <c r="V22" s="21"/>
      <c r="W22" s="21"/>
      <c r="X22" s="21"/>
      <c r="Y22" s="22"/>
      <c r="Z22" s="21"/>
      <c r="AA22" s="21"/>
      <c r="AB22" s="21"/>
      <c r="AC22" s="23" t="str">
        <f>IF(ISERROR(VLOOKUP(CONCATENATE($AC$10,"_",AB22),選手名簿!$A:$E,5,FALSE))=TRUE,"",VLOOKUP(CONCATENATE($AC$10,"_",AB22),選手名簿!$A:$E,5,FALSE))</f>
        <v/>
      </c>
    </row>
    <row r="23" spans="1:32" ht="20.25" hidden="1" customHeight="1" thickBot="1" x14ac:dyDescent="0.6">
      <c r="E23" s="24" t="s">
        <v>228</v>
      </c>
      <c r="F23" s="25" t="str">
        <f>IF(ISERROR(VLOOKUP(CONCATENATE($F$10,"_",G23),選手名簿!$A:$E,5,FALSE))=TRUE,"",VLOOKUP(CONCATENATE($F$10,"_",G23),選手名簿!$A:$E,5,FALSE))</f>
        <v/>
      </c>
      <c r="G23" s="26"/>
      <c r="H23" s="26"/>
      <c r="I23" s="26"/>
      <c r="J23" s="27"/>
      <c r="K23" s="26"/>
      <c r="L23" s="26"/>
      <c r="M23" s="26"/>
      <c r="N23" s="28" t="str">
        <f>IF(ISERROR(VLOOKUP(CONCATENATE($N$10,"_",M23),選手名簿!$A:$E,5,FALSE))=TRUE,"",VLOOKUP(CONCATENATE($N$10,"_",M23),選手名簿!$A:$E,5,FALSE))</f>
        <v/>
      </c>
      <c r="T23" s="24" t="s">
        <v>228</v>
      </c>
      <c r="U23" s="25" t="str">
        <f>IF(ISERROR(VLOOKUP(CONCATENATE($U$10,"_",V23),選手名簿!$A:$E,5,FALSE))=TRUE,"",VLOOKUP(CONCATENATE($U$10,"_",V23),選手名簿!$A:$E,5,FALSE))</f>
        <v/>
      </c>
      <c r="V23" s="26"/>
      <c r="W23" s="26"/>
      <c r="X23" s="26"/>
      <c r="Y23" s="27"/>
      <c r="Z23" s="26"/>
      <c r="AA23" s="26"/>
      <c r="AB23" s="26"/>
      <c r="AC23" s="28" t="str">
        <f>IF(ISERROR(VLOOKUP(CONCATENATE($AC$10,"_",AB23),選手名簿!$A:$E,5,FALSE))=TRUE,"",VLOOKUP(CONCATENATE($AC$10,"_",AB23),選手名簿!$A:$E,5,FALSE))</f>
        <v/>
      </c>
    </row>
    <row r="24" spans="1:32" ht="20.25" customHeight="1" x14ac:dyDescent="0.45">
      <c r="A24" s="29" t="s">
        <v>226</v>
      </c>
      <c r="B24" s="774" t="s">
        <v>1245</v>
      </c>
      <c r="C24" s="774"/>
      <c r="D24" s="774"/>
      <c r="E24" s="19" t="s">
        <v>196</v>
      </c>
      <c r="F24" s="20" t="str">
        <f>IF(ISERROR(VLOOKUP(CONCATENATE($F$10,"_",G24),選手名簿!$A:$E,5,FALSE))=TRUE,"",VLOOKUP(CONCATENATE($F$10,"_",G24),選手名簿!$A:$E,5,FALSE))</f>
        <v/>
      </c>
      <c r="G24" s="21"/>
      <c r="H24" s="21"/>
      <c r="I24" s="21"/>
      <c r="J24" s="22"/>
      <c r="K24" s="21"/>
      <c r="L24" s="21"/>
      <c r="M24" s="21"/>
      <c r="N24" s="23" t="str">
        <f>IF(ISERROR(VLOOKUP(CONCATENATE($N$10,"_",M24),選手名簿!$A:$E,5,FALSE))=TRUE,"",VLOOKUP(CONCATENATE($N$10,"_",M24),選手名簿!$A:$E,5,FALSE))</f>
        <v/>
      </c>
      <c r="P24" s="29" t="s">
        <v>226</v>
      </c>
      <c r="Q24" s="774" t="s">
        <v>1759</v>
      </c>
      <c r="R24" s="774"/>
      <c r="S24" s="774"/>
      <c r="T24" s="19" t="s">
        <v>196</v>
      </c>
      <c r="U24" s="20" t="str">
        <f>IF(ISERROR(VLOOKUP(CONCATENATE($U$10,"_",V24),選手名簿!$A:$E,5,FALSE))=TRUE,"",VLOOKUP(CONCATENATE($U$10,"_",V24),選手名簿!$A:$E,5,FALSE))</f>
        <v/>
      </c>
      <c r="V24" s="21"/>
      <c r="W24" s="21"/>
      <c r="X24" s="21"/>
      <c r="Y24" s="22"/>
      <c r="Z24" s="21"/>
      <c r="AA24" s="21"/>
      <c r="AB24" s="21"/>
      <c r="AC24" s="23" t="str">
        <f>IF(ISERROR(VLOOKUP(CONCATENATE($AC$10,"_",AB24),選手名簿!$A:$E,5,FALSE))=TRUE,"",VLOOKUP(CONCATENATE($AC$10,"_",AB24),選手名簿!$A:$E,5,FALSE))</f>
        <v/>
      </c>
    </row>
    <row r="25" spans="1:32" ht="20.25" customHeight="1" x14ac:dyDescent="0.45">
      <c r="A25" s="83" t="s">
        <v>1959</v>
      </c>
      <c r="B25" s="769" t="str">
        <f>IF(ISERROR(VLOOKUP(B24,審判員!$A:$C,2,FALSE))=TRUE,"",VLOOKUP(B24,審判員!$A:$C,2,FALSE))</f>
        <v>久保　雅敬</v>
      </c>
      <c r="C25" s="770"/>
      <c r="D25" s="30" t="str">
        <f>IF(ISERROR(VLOOKUP(B24,審判員!$A:$C,3,FALSE))=TRUE,"",VLOOKUP(B24,審判員!$A:$C,3,FALSE))</f>
        <v>３級</v>
      </c>
      <c r="E25" s="31" t="s">
        <v>196</v>
      </c>
      <c r="F25" s="32" t="str">
        <f>IF(ISERROR(VLOOKUP(CONCATENATE($F$10,"_",G25),選手名簿!$A:$E,5,FALSE))=TRUE,"",VLOOKUP(CONCATENATE($F$10,"_",G25),選手名簿!$A:$E,5,FALSE))</f>
        <v/>
      </c>
      <c r="G25" s="33"/>
      <c r="H25" s="33"/>
      <c r="I25" s="33"/>
      <c r="J25" s="22"/>
      <c r="K25" s="33"/>
      <c r="L25" s="33"/>
      <c r="M25" s="33"/>
      <c r="N25" s="34" t="str">
        <f>IF(ISERROR(VLOOKUP(CONCATENATE($N$10,"_",M25),選手名簿!$A:$E,5,FALSE))=TRUE,"",VLOOKUP(CONCATENATE($N$10,"_",M25),選手名簿!$A:$E,5,FALSE))</f>
        <v/>
      </c>
      <c r="P25" s="83" t="s">
        <v>1959</v>
      </c>
      <c r="Q25" s="769" t="str">
        <f>IF(ISERROR(VLOOKUP(Q24,審判員!$A:$C,2,FALSE))=TRUE,"",VLOOKUP(Q24,審判員!$A:$C,2,FALSE))</f>
        <v>寺次　良生</v>
      </c>
      <c r="R25" s="770"/>
      <c r="S25" s="83" t="str">
        <f>IF(ISERROR(VLOOKUP(Q24,審判員!$A:$C,3,FALSE))=TRUE,"",VLOOKUP(Q24,審判員!$A:$C,3,FALSE))</f>
        <v>３級</v>
      </c>
      <c r="T25" s="31" t="s">
        <v>196</v>
      </c>
      <c r="U25" s="32" t="str">
        <f>IF(ISERROR(VLOOKUP(CONCATENATE($U$10,"_",V25),選手名簿!$A:$E,5,FALSE))=TRUE,"",VLOOKUP(CONCATENATE($U$10,"_",V25),選手名簿!$A:$E,5,FALSE))</f>
        <v/>
      </c>
      <c r="V25" s="33"/>
      <c r="W25" s="33"/>
      <c r="X25" s="33"/>
      <c r="Y25" s="22"/>
      <c r="Z25" s="33"/>
      <c r="AA25" s="33"/>
      <c r="AB25" s="33"/>
      <c r="AC25" s="34" t="str">
        <f>IF(ISERROR(VLOOKUP(CONCATENATE($AC$10,"_",AB25),選手名簿!$A:$E,5,FALSE))=TRUE,"",VLOOKUP(CONCATENATE($AC$10,"_",AB25),選手名簿!$A:$E,5,FALSE))</f>
        <v/>
      </c>
    </row>
    <row r="26" spans="1:32" ht="20.25" customHeight="1" x14ac:dyDescent="0.45">
      <c r="A26" s="29" t="s">
        <v>226</v>
      </c>
      <c r="B26" s="771" t="s">
        <v>11846</v>
      </c>
      <c r="C26" s="771"/>
      <c r="D26" s="771"/>
      <c r="E26" s="31" t="s">
        <v>196</v>
      </c>
      <c r="F26" s="32" t="str">
        <f>IF(ISERROR(VLOOKUP(CONCATENATE($F$10,"_",G26),選手名簿!$A:$E,5,FALSE))=TRUE,"",VLOOKUP(CONCATENATE($F$10,"_",G26),選手名簿!$A:$E,5,FALSE))</f>
        <v/>
      </c>
      <c r="G26" s="33"/>
      <c r="H26" s="33"/>
      <c r="I26" s="33"/>
      <c r="J26" s="22"/>
      <c r="K26" s="33"/>
      <c r="L26" s="33"/>
      <c r="M26" s="33"/>
      <c r="N26" s="34" t="str">
        <f>IF(ISERROR(VLOOKUP(CONCATENATE($N$10,"_",M26),選手名簿!$A:$E,5,FALSE))=TRUE,"",VLOOKUP(CONCATENATE($N$10,"_",M26),選手名簿!$A:$E,5,FALSE))</f>
        <v/>
      </c>
      <c r="P26" s="29" t="s">
        <v>226</v>
      </c>
      <c r="Q26" s="771" t="s">
        <v>11858</v>
      </c>
      <c r="R26" s="771"/>
      <c r="S26" s="772"/>
      <c r="T26" s="31" t="s">
        <v>196</v>
      </c>
      <c r="U26" s="32" t="str">
        <f>IF(ISERROR(VLOOKUP(CONCATENATE($U$10,"_",V26),選手名簿!$A:$E,5,FALSE))=TRUE,"",VLOOKUP(CONCATENATE($U$10,"_",V26),選手名簿!$A:$E,5,FALSE))</f>
        <v/>
      </c>
      <c r="V26" s="33"/>
      <c r="W26" s="33"/>
      <c r="X26" s="33"/>
      <c r="Y26" s="22"/>
      <c r="Z26" s="33"/>
      <c r="AA26" s="33"/>
      <c r="AB26" s="33"/>
      <c r="AC26" s="34" t="str">
        <f>IF(ISERROR(VLOOKUP(CONCATENATE($AC$10,"_",AB26),選手名簿!$A:$E,5,FALSE))=TRUE,"",VLOOKUP(CONCATENATE($AC$10,"_",AB26),選手名簿!$A:$E,5,FALSE))</f>
        <v/>
      </c>
      <c r="AF26" s="1"/>
    </row>
    <row r="27" spans="1:32" ht="20.25" customHeight="1" x14ac:dyDescent="0.45">
      <c r="A27" s="83" t="s">
        <v>1966</v>
      </c>
      <c r="B27" s="769" t="str">
        <f>IF(ISERROR(VLOOKUP(B26,審判員!$A:$C,2,FALSE))=TRUE,"",VLOOKUP(B26,審判員!$A:$C,2,FALSE))</f>
        <v>横山　大悟</v>
      </c>
      <c r="C27" s="770"/>
      <c r="D27" s="30" t="str">
        <f>IF(ISERROR(VLOOKUP(B26,審判員!$A:$C,3,FALSE))=TRUE,"",VLOOKUP(B26,審判員!$A:$C,3,FALSE))</f>
        <v>３級</v>
      </c>
      <c r="E27" s="31" t="s">
        <v>196</v>
      </c>
      <c r="F27" s="32" t="str">
        <f>IF(ISERROR(VLOOKUP(CONCATENATE($F$10,"_",G27),選手名簿!$A:$E,5,FALSE))=TRUE,"",VLOOKUP(CONCATENATE($F$10,"_",G27),選手名簿!$A:$E,5,FALSE))</f>
        <v/>
      </c>
      <c r="G27" s="33"/>
      <c r="H27" s="33"/>
      <c r="I27" s="33"/>
      <c r="J27" s="22"/>
      <c r="K27" s="33"/>
      <c r="L27" s="33"/>
      <c r="M27" s="33"/>
      <c r="N27" s="34" t="str">
        <f>IF(ISERROR(VLOOKUP(CONCATENATE($N$10,"_",M27),選手名簿!$A:$E,5,FALSE))=TRUE,"",VLOOKUP(CONCATENATE($N$10,"_",M27),選手名簿!$A:$E,5,FALSE))</f>
        <v/>
      </c>
      <c r="P27" s="83" t="s">
        <v>1966</v>
      </c>
      <c r="Q27" s="769" t="str">
        <f>IF(ISERROR(VLOOKUP(Q26,審判員!$A:$C,2,FALSE))=TRUE,"",VLOOKUP(Q26,審判員!$A:$C,2,FALSE))</f>
        <v>鴨川　奨</v>
      </c>
      <c r="R27" s="770"/>
      <c r="S27" s="83" t="str">
        <f>IF(ISERROR(VLOOKUP(Q26,審判員!$A:$C,3,FALSE))=TRUE,"",VLOOKUP(Q26,審判員!$A:$C,3,FALSE))</f>
        <v>３級</v>
      </c>
      <c r="T27" s="31" t="s">
        <v>196</v>
      </c>
      <c r="U27" s="32" t="str">
        <f>IF(ISERROR(VLOOKUP(CONCATENATE($U$10,"_",V27),選手名簿!$A:$E,5,FALSE))=TRUE,"",VLOOKUP(CONCATENATE($U$10,"_",V27),選手名簿!$A:$E,5,FALSE))</f>
        <v/>
      </c>
      <c r="V27" s="33"/>
      <c r="W27" s="33"/>
      <c r="X27" s="33"/>
      <c r="Y27" s="22"/>
      <c r="Z27" s="33"/>
      <c r="AA27" s="33"/>
      <c r="AB27" s="33"/>
      <c r="AC27" s="34" t="str">
        <f>IF(ISERROR(VLOOKUP(CONCATENATE($AC$10,"_",AB27),選手名簿!$A:$E,5,FALSE))=TRUE,"",VLOOKUP(CONCATENATE($AC$10,"_",AB27),選手名簿!$A:$E,5,FALSE))</f>
        <v/>
      </c>
    </row>
    <row r="28" spans="1:32" ht="20.25" customHeight="1" x14ac:dyDescent="0.45">
      <c r="A28" s="29" t="s">
        <v>226</v>
      </c>
      <c r="B28" s="771" t="s">
        <v>11863</v>
      </c>
      <c r="C28" s="771"/>
      <c r="D28" s="771"/>
      <c r="E28" s="31" t="s">
        <v>196</v>
      </c>
      <c r="F28" s="32" t="str">
        <f>IF(ISERROR(VLOOKUP(CONCATENATE($F$10,"_",G28),選手名簿!$A:$E,5,FALSE))=TRUE,"",VLOOKUP(CONCATENATE($F$10,"_",G28),選手名簿!$A:$E,5,FALSE))</f>
        <v/>
      </c>
      <c r="G28" s="33"/>
      <c r="H28" s="33"/>
      <c r="I28" s="33"/>
      <c r="J28" s="22"/>
      <c r="K28" s="33"/>
      <c r="L28" s="33"/>
      <c r="M28" s="33"/>
      <c r="N28" s="34" t="str">
        <f>IF(ISERROR(VLOOKUP(CONCATENATE($N$10,"_",M28),選手名簿!$A:$E,5,FALSE))=TRUE,"",VLOOKUP(CONCATENATE($N$10,"_",M28),選手名簿!$A:$E,5,FALSE))</f>
        <v/>
      </c>
      <c r="P28" s="29" t="s">
        <v>226</v>
      </c>
      <c r="Q28" s="771" t="s">
        <v>11859</v>
      </c>
      <c r="R28" s="771"/>
      <c r="S28" s="772"/>
      <c r="T28" s="31" t="s">
        <v>196</v>
      </c>
      <c r="U28" s="32" t="str">
        <f>IF(ISERROR(VLOOKUP(CONCATENATE($U$10,"_",V28),選手名簿!$A:$E,5,FALSE))=TRUE,"",VLOOKUP(CONCATENATE($U$10,"_",V28),選手名簿!$A:$E,5,FALSE))</f>
        <v/>
      </c>
      <c r="V28" s="33"/>
      <c r="W28" s="33"/>
      <c r="X28" s="33"/>
      <c r="Y28" s="22"/>
      <c r="Z28" s="33"/>
      <c r="AA28" s="33"/>
      <c r="AB28" s="33"/>
      <c r="AC28" s="34" t="str">
        <f>IF(ISERROR(VLOOKUP(CONCATENATE($AC$10,"_",AB28),選手名簿!$A:$E,5,FALSE))=TRUE,"",VLOOKUP(CONCATENATE($AC$10,"_",AB28),選手名簿!$A:$E,5,FALSE))</f>
        <v/>
      </c>
    </row>
    <row r="29" spans="1:32" ht="20.25" customHeight="1" x14ac:dyDescent="0.45">
      <c r="A29" s="83" t="s">
        <v>1967</v>
      </c>
      <c r="B29" s="769" t="str">
        <f>IF(ISERROR(VLOOKUP(B28,審判員!$A:$C,2,FALSE))=TRUE,"",VLOOKUP(B28,審判員!$A:$C,2,FALSE))</f>
        <v>荒牧　聡</v>
      </c>
      <c r="C29" s="770"/>
      <c r="D29" s="30" t="str">
        <f>IF(ISERROR(VLOOKUP(B28,審判員!$A:$C,3,FALSE))=TRUE,"",VLOOKUP(B28,審判員!$A:$C,3,FALSE))</f>
        <v>３級</v>
      </c>
      <c r="E29" s="31" t="s">
        <v>196</v>
      </c>
      <c r="F29" s="32" t="str">
        <f>IF(ISERROR(VLOOKUP(CONCATENATE($F$10,"_",G29),選手名簿!$A:$E,5,FALSE))=TRUE,"",VLOOKUP(CONCATENATE($F$10,"_",G29),選手名簿!$A:$E,5,FALSE))</f>
        <v/>
      </c>
      <c r="G29" s="33"/>
      <c r="H29" s="33"/>
      <c r="I29" s="33"/>
      <c r="J29" s="22"/>
      <c r="K29" s="33"/>
      <c r="L29" s="33"/>
      <c r="M29" s="33"/>
      <c r="N29" s="34" t="str">
        <f>IF(ISERROR(VLOOKUP(CONCATENATE($N$10,"_",M29),選手名簿!$A:$E,5,FALSE))=TRUE,"",VLOOKUP(CONCATENATE($N$10,"_",M29),選手名簿!$A:$E,5,FALSE))</f>
        <v/>
      </c>
      <c r="P29" s="83" t="s">
        <v>1967</v>
      </c>
      <c r="Q29" s="769" t="str">
        <f>IF(ISERROR(VLOOKUP(Q28,審判員!$A:$C,2,FALSE))=TRUE,"",VLOOKUP(Q28,審判員!$A:$C,2,FALSE))</f>
        <v>桑原　栄二郎</v>
      </c>
      <c r="R29" s="770"/>
      <c r="S29" s="83" t="str">
        <f>IF(ISERROR(VLOOKUP(Q28,審判員!$A:$C,3,FALSE))=TRUE,"",VLOOKUP(Q28,審判員!$A:$C,3,FALSE))</f>
        <v>３級</v>
      </c>
      <c r="T29" s="31" t="s">
        <v>196</v>
      </c>
      <c r="U29" s="32" t="str">
        <f>IF(ISERROR(VLOOKUP(CONCATENATE($U$10,"_",V29),選手名簿!$A:$E,5,FALSE))=TRUE,"",VLOOKUP(CONCATENATE($U$10,"_",V29),選手名簿!$A:$E,5,FALSE))</f>
        <v/>
      </c>
      <c r="V29" s="33"/>
      <c r="W29" s="33"/>
      <c r="X29" s="33"/>
      <c r="Y29" s="22"/>
      <c r="Z29" s="33"/>
      <c r="AA29" s="33"/>
      <c r="AB29" s="33"/>
      <c r="AC29" s="34" t="str">
        <f>IF(ISERROR(VLOOKUP(CONCATENATE($AC$10,"_",AB29),選手名簿!$A:$E,5,FALSE))=TRUE,"",VLOOKUP(CONCATENATE($AC$10,"_",AB29),選手名簿!$A:$E,5,FALSE))</f>
        <v/>
      </c>
    </row>
    <row r="30" spans="1:32" ht="20.25" customHeight="1" x14ac:dyDescent="0.45">
      <c r="A30" s="29" t="s">
        <v>226</v>
      </c>
      <c r="B30" s="774" t="s">
        <v>1759</v>
      </c>
      <c r="C30" s="774"/>
      <c r="D30" s="774"/>
      <c r="E30" s="31" t="s">
        <v>196</v>
      </c>
      <c r="F30" s="32" t="str">
        <f>IF(ISERROR(VLOOKUP(CONCATENATE($F$10,"_",G30),選手名簿!$A:$E,5,FALSE))=TRUE,"",VLOOKUP(CONCATENATE($F$10,"_",G30),選手名簿!$A:$E,5,FALSE))</f>
        <v/>
      </c>
      <c r="G30" s="33"/>
      <c r="H30" s="33"/>
      <c r="I30" s="33"/>
      <c r="J30" s="22"/>
      <c r="K30" s="33"/>
      <c r="L30" s="33"/>
      <c r="M30" s="33"/>
      <c r="N30" s="34" t="str">
        <f>IF(ISERROR(VLOOKUP(CONCATENATE($N$10,"_",M30),選手名簿!$A:$E,5,FALSE))=TRUE,"",VLOOKUP(CONCATENATE($N$10,"_",M30),選手名簿!$A:$E,5,FALSE))</f>
        <v/>
      </c>
      <c r="P30" s="29" t="s">
        <v>226</v>
      </c>
      <c r="Q30" s="774" t="s">
        <v>1588</v>
      </c>
      <c r="R30" s="774"/>
      <c r="S30" s="774"/>
      <c r="T30" s="31" t="s">
        <v>196</v>
      </c>
      <c r="U30" s="32" t="str">
        <f>IF(ISERROR(VLOOKUP(CONCATENATE($U$10,"_",V30),選手名簿!$A:$E,5,FALSE))=TRUE,"",VLOOKUP(CONCATENATE($U$10,"_",V30),選手名簿!$A:$E,5,FALSE))</f>
        <v/>
      </c>
      <c r="V30" s="33"/>
      <c r="W30" s="33"/>
      <c r="X30" s="33"/>
      <c r="Y30" s="22"/>
      <c r="Z30" s="33"/>
      <c r="AA30" s="33"/>
      <c r="AB30" s="33"/>
      <c r="AC30" s="34" t="str">
        <f>IF(ISERROR(VLOOKUP(CONCATENATE($AC$10,"_",AB30),選手名簿!$A:$E,5,FALSE))=TRUE,"",VLOOKUP(CONCATENATE($AC$10,"_",AB30),選手名簿!$A:$E,5,FALSE))</f>
        <v/>
      </c>
    </row>
    <row r="31" spans="1:32" ht="20.25" customHeight="1" thickBot="1" x14ac:dyDescent="0.6">
      <c r="A31" s="83" t="s">
        <v>1968</v>
      </c>
      <c r="B31" s="769" t="str">
        <f>IF(ISERROR(VLOOKUP(B30,審判員!$A:$C,2,FALSE))=TRUE,"",VLOOKUP(B30,審判員!$A:$C,2,FALSE))</f>
        <v>寺次　良生</v>
      </c>
      <c r="C31" s="770"/>
      <c r="D31" s="30" t="str">
        <f>IF(ISERROR(VLOOKUP(B30,審判員!$A:$C,3,FALSE))=TRUE,"",VLOOKUP(B30,審判員!$A:$C,3,FALSE))</f>
        <v>３級</v>
      </c>
      <c r="E31" s="35" t="s">
        <v>196</v>
      </c>
      <c r="F31" s="36" t="str">
        <f>IF(ISERROR(VLOOKUP(CONCATENATE($F$10,"_",G31),選手名簿!$A:$E,5,FALSE))=TRUE,"",VLOOKUP(CONCATENATE($F$10,"_",G31),選手名簿!$A:$E,5,FALSE))</f>
        <v/>
      </c>
      <c r="G31" s="37"/>
      <c r="H31" s="37"/>
      <c r="I31" s="37"/>
      <c r="J31" s="27"/>
      <c r="K31" s="37"/>
      <c r="L31" s="37"/>
      <c r="M31" s="37"/>
      <c r="N31" s="38" t="str">
        <f>IF(ISERROR(VLOOKUP(CONCATENATE($N$10,"_",M31),選手名簿!$A:$E,5,FALSE))=TRUE,"",VLOOKUP(CONCATENATE($N$10,"_",M31),選手名簿!$A:$E,5,FALSE))</f>
        <v/>
      </c>
      <c r="P31" s="83" t="s">
        <v>1968</v>
      </c>
      <c r="Q31" s="769" t="str">
        <f>IF(ISERROR(VLOOKUP(Q30,審判員!$A:$C,2,FALSE))=TRUE,"",VLOOKUP(Q30,審判員!$A:$C,2,FALSE))</f>
        <v>田尻　貴志</v>
      </c>
      <c r="R31" s="770"/>
      <c r="S31" s="83" t="str">
        <f>IF(ISERROR(VLOOKUP(Q30,審判員!$A:$C,3,FALSE))=TRUE,"",VLOOKUP(Q30,審判員!$A:$C,3,FALSE))</f>
        <v>３級</v>
      </c>
      <c r="T31" s="35" t="s">
        <v>196</v>
      </c>
      <c r="U31" s="36" t="str">
        <f>IF(ISERROR(VLOOKUP(CONCATENATE($U$10,"_",V31),選手名簿!$A:$E,5,FALSE))=TRUE,"",VLOOKUP(CONCATENATE($U$10,"_",V31),選手名簿!$A:$E,5,FALSE))</f>
        <v/>
      </c>
      <c r="V31" s="37"/>
      <c r="W31" s="37"/>
      <c r="X31" s="37"/>
      <c r="Y31" s="27"/>
      <c r="Z31" s="37"/>
      <c r="AA31" s="37"/>
      <c r="AB31" s="37"/>
      <c r="AC31" s="38" t="str">
        <f>IF(ISERROR(VLOOKUP(CONCATENATE($AC$10,"_",AB31),選手名簿!$A:$E,5,FALSE))=TRUE,"",VLOOKUP(CONCATENATE($AC$10,"_",AB31),選手名簿!$A:$E,5,FALSE))</f>
        <v/>
      </c>
    </row>
    <row r="32" spans="1:32" ht="9.9499999999999993" customHeight="1" x14ac:dyDescent="0.45">
      <c r="E32" s="39"/>
      <c r="T32" s="39"/>
    </row>
    <row r="33" spans="1:29" ht="9.9499999999999993" customHeight="1" x14ac:dyDescent="0.45">
      <c r="E33" s="39"/>
      <c r="T33" s="39"/>
    </row>
    <row r="34" spans="1:29" ht="9.9499999999999993" customHeight="1" x14ac:dyDescent="0.45"/>
    <row r="35" spans="1:29" ht="9.9499999999999993" customHeight="1" x14ac:dyDescent="0.45"/>
    <row r="36" spans="1:29" ht="9.9499999999999993" customHeight="1" x14ac:dyDescent="0.45"/>
    <row r="37" spans="1:29" ht="9.9499999999999993" customHeight="1" x14ac:dyDescent="0.45"/>
    <row r="38" spans="1:29" ht="9.9499999999999993" customHeight="1" thickBot="1" x14ac:dyDescent="0.6">
      <c r="E38" s="39"/>
      <c r="T38" s="39"/>
    </row>
    <row r="39" spans="1:29" ht="27.4" customHeight="1" x14ac:dyDescent="0.45">
      <c r="A39" s="365" t="s">
        <v>3235</v>
      </c>
      <c r="B39" s="789" t="s">
        <v>10008</v>
      </c>
      <c r="C39" s="790"/>
      <c r="D39" s="791"/>
      <c r="E39" s="778">
        <v>0.52083333333333337</v>
      </c>
      <c r="F39" s="781" t="str">
        <f>F6</f>
        <v>明野東サッカースポーツ少年団</v>
      </c>
      <c r="G39" s="784">
        <f>IF(I39="","",SUM(I39:I40))</f>
        <v>0</v>
      </c>
      <c r="H39" s="793" t="s">
        <v>205</v>
      </c>
      <c r="I39" s="84">
        <v>0</v>
      </c>
      <c r="J39" s="84" t="s">
        <v>116</v>
      </c>
      <c r="K39" s="84">
        <v>2</v>
      </c>
      <c r="L39" s="793" t="s">
        <v>206</v>
      </c>
      <c r="M39" s="784">
        <f>IF(K39="","",SUM(K39:K40))</f>
        <v>3</v>
      </c>
      <c r="N39" s="775" t="str">
        <f>F7</f>
        <v>玖珠サッカースポーツ少年団</v>
      </c>
      <c r="P39" s="365" t="s">
        <v>3235</v>
      </c>
      <c r="Q39" s="789" t="s">
        <v>282</v>
      </c>
      <c r="R39" s="790"/>
      <c r="S39" s="791"/>
      <c r="T39" s="778">
        <v>0.5625</v>
      </c>
      <c r="U39" s="781" t="str">
        <f>U6</f>
        <v>金池長浜サッカースポーツ少年団</v>
      </c>
      <c r="V39" s="784">
        <f>IF(X39="","",SUM(X39:X40))</f>
        <v>0</v>
      </c>
      <c r="W39" s="793" t="s">
        <v>205</v>
      </c>
      <c r="X39" s="84">
        <v>0</v>
      </c>
      <c r="Y39" s="84" t="s">
        <v>116</v>
      </c>
      <c r="Z39" s="84">
        <v>0</v>
      </c>
      <c r="AA39" s="793" t="s">
        <v>206</v>
      </c>
      <c r="AB39" s="784">
        <f>IF(Z39="","",SUM(Z39:Z40))</f>
        <v>0</v>
      </c>
      <c r="AC39" s="775" t="str">
        <f>U7</f>
        <v>太陽スポーツクラブ大分西</v>
      </c>
    </row>
    <row r="40" spans="1:29" ht="27.4" customHeight="1" x14ac:dyDescent="0.45">
      <c r="A40" s="366" t="s">
        <v>3236</v>
      </c>
      <c r="B40" s="792" t="s">
        <v>3924</v>
      </c>
      <c r="C40" s="792"/>
      <c r="D40" s="789"/>
      <c r="E40" s="779"/>
      <c r="F40" s="782"/>
      <c r="G40" s="785"/>
      <c r="H40" s="794"/>
      <c r="I40" s="9">
        <v>0</v>
      </c>
      <c r="J40" s="9" t="s">
        <v>117</v>
      </c>
      <c r="K40" s="9">
        <v>1</v>
      </c>
      <c r="L40" s="794"/>
      <c r="M40" s="785"/>
      <c r="N40" s="776"/>
      <c r="P40" s="366" t="s">
        <v>3236</v>
      </c>
      <c r="Q40" s="792" t="s">
        <v>3924</v>
      </c>
      <c r="R40" s="792"/>
      <c r="S40" s="789"/>
      <c r="T40" s="779"/>
      <c r="U40" s="782"/>
      <c r="V40" s="785"/>
      <c r="W40" s="794"/>
      <c r="X40" s="9">
        <v>0</v>
      </c>
      <c r="Y40" s="9" t="s">
        <v>117</v>
      </c>
      <c r="Z40" s="9">
        <v>0</v>
      </c>
      <c r="AA40" s="794"/>
      <c r="AB40" s="785"/>
      <c r="AC40" s="776"/>
    </row>
    <row r="41" spans="1:29" ht="27.4" customHeight="1" thickBot="1" x14ac:dyDescent="0.6">
      <c r="A41" s="366" t="s">
        <v>3237</v>
      </c>
      <c r="B41" s="792" t="s">
        <v>274</v>
      </c>
      <c r="C41" s="792"/>
      <c r="D41" s="789"/>
      <c r="E41" s="780"/>
      <c r="F41" s="783"/>
      <c r="G41" s="786"/>
      <c r="H41" s="795"/>
      <c r="I41" s="85"/>
      <c r="J41" s="85" t="s">
        <v>188</v>
      </c>
      <c r="K41" s="85"/>
      <c r="L41" s="795"/>
      <c r="M41" s="786"/>
      <c r="N41" s="777"/>
      <c r="P41" s="366" t="s">
        <v>3237</v>
      </c>
      <c r="Q41" s="792" t="s">
        <v>10008</v>
      </c>
      <c r="R41" s="792"/>
      <c r="S41" s="789"/>
      <c r="T41" s="780"/>
      <c r="U41" s="783"/>
      <c r="V41" s="786"/>
      <c r="W41" s="795"/>
      <c r="X41" s="85"/>
      <c r="Y41" s="85" t="s">
        <v>188</v>
      </c>
      <c r="Z41" s="85"/>
      <c r="AA41" s="795"/>
      <c r="AB41" s="786"/>
      <c r="AC41" s="777"/>
    </row>
    <row r="42" spans="1:29" ht="20.25" customHeight="1" thickTop="1" x14ac:dyDescent="0.45">
      <c r="A42" s="787" t="s">
        <v>1969</v>
      </c>
      <c r="B42" s="787"/>
      <c r="C42" s="787"/>
      <c r="D42" s="788"/>
      <c r="E42" s="15"/>
      <c r="F42" s="16" t="s">
        <v>190</v>
      </c>
      <c r="G42" s="16" t="s">
        <v>1970</v>
      </c>
      <c r="H42" s="16" t="s">
        <v>145</v>
      </c>
      <c r="I42" s="16"/>
      <c r="J42" s="17"/>
      <c r="K42" s="16"/>
      <c r="L42" s="16" t="s">
        <v>145</v>
      </c>
      <c r="M42" s="16" t="s">
        <v>1970</v>
      </c>
      <c r="N42" s="18" t="s">
        <v>190</v>
      </c>
      <c r="P42" s="787" t="s">
        <v>1969</v>
      </c>
      <c r="Q42" s="787"/>
      <c r="R42" s="787"/>
      <c r="S42" s="788"/>
      <c r="T42" s="15"/>
      <c r="U42" s="16" t="s">
        <v>190</v>
      </c>
      <c r="V42" s="16" t="s">
        <v>1970</v>
      </c>
      <c r="W42" s="16" t="s">
        <v>145</v>
      </c>
      <c r="X42" s="16"/>
      <c r="Y42" s="17"/>
      <c r="Z42" s="16"/>
      <c r="AA42" s="16" t="s">
        <v>145</v>
      </c>
      <c r="AB42" s="16" t="s">
        <v>1970</v>
      </c>
      <c r="AC42" s="18" t="s">
        <v>190</v>
      </c>
    </row>
    <row r="43" spans="1:29" ht="20.25" hidden="1" customHeight="1" x14ac:dyDescent="0.45">
      <c r="E43" s="19" t="s">
        <v>228</v>
      </c>
      <c r="F43" s="20" t="str">
        <f>IF(ISERROR(VLOOKUP(CONCATENATE($F$39,"_",G43),選手名簿!$A:$E,5,FALSE))=TRUE,"",VLOOKUP(CONCATENATE($F$39,"_",G43),選手名簿!$A:$E,5,FALSE))</f>
        <v/>
      </c>
      <c r="G43" s="21"/>
      <c r="H43" s="21"/>
      <c r="I43" s="21"/>
      <c r="J43" s="22"/>
      <c r="K43" s="21"/>
      <c r="L43" s="21"/>
      <c r="M43" s="21"/>
      <c r="N43" s="23" t="str">
        <f>IF(ISERROR(VLOOKUP(CONCATENATE($N$39,"_",M43),選手名簿!$A:$E,5,FALSE))=TRUE,"",VLOOKUP(CONCATENATE($N$39,"_",M43),選手名簿!$A:$E,5,FALSE))</f>
        <v/>
      </c>
      <c r="T43" s="19" t="s">
        <v>228</v>
      </c>
      <c r="U43" s="20" t="str">
        <f>IF(ISERROR(VLOOKUP(CONCATENATE($U$39,"_",V43),選手名簿!$A:$E,5,FALSE))=TRUE,"",VLOOKUP(CONCATENATE($U$39,"_",V43),選手名簿!$A:$E,5,FALSE))</f>
        <v/>
      </c>
      <c r="V43" s="21"/>
      <c r="W43" s="21"/>
      <c r="X43" s="21"/>
      <c r="Y43" s="22"/>
      <c r="Z43" s="21"/>
      <c r="AA43" s="21"/>
      <c r="AB43" s="21"/>
      <c r="AC43" s="23" t="str">
        <f>IF(ISERROR(VLOOKUP(CONCATENATE($AC$39,"_",AB43),選手名簿!$A:$E,5,FALSE))=TRUE,"",VLOOKUP(CONCATENATE($AC$39,"_",AB43),選手名簿!$A:$E,5,FALSE))</f>
        <v/>
      </c>
    </row>
    <row r="44" spans="1:29" ht="20.25" hidden="1" customHeight="1" x14ac:dyDescent="0.45">
      <c r="E44" s="19" t="s">
        <v>228</v>
      </c>
      <c r="F44" s="20" t="str">
        <f>IF(ISERROR(VLOOKUP(CONCATENATE($F$39,"_",G44),選手名簿!$A:$E,5,FALSE))=TRUE,"",VLOOKUP(CONCATENATE($F$39,"_",G44),選手名簿!$A:$E,5,FALSE))</f>
        <v/>
      </c>
      <c r="G44" s="21"/>
      <c r="H44" s="21"/>
      <c r="I44" s="21"/>
      <c r="J44" s="22"/>
      <c r="K44" s="21"/>
      <c r="L44" s="21"/>
      <c r="M44" s="21"/>
      <c r="N44" s="23" t="str">
        <f>IF(ISERROR(VLOOKUP(CONCATENATE($N$39,"_",M44),選手名簿!$A:$E,5,FALSE))=TRUE,"",VLOOKUP(CONCATENATE($N$39,"_",M44),選手名簿!$A:$E,5,FALSE))</f>
        <v/>
      </c>
      <c r="T44" s="19" t="s">
        <v>228</v>
      </c>
      <c r="U44" s="20" t="str">
        <f>IF(ISERROR(VLOOKUP(CONCATENATE($U$39,"_",V44),選手名簿!$A:$E,5,FALSE))=TRUE,"",VLOOKUP(CONCATENATE($U$39,"_",V44),選手名簿!$A:$E,5,FALSE))</f>
        <v/>
      </c>
      <c r="V44" s="21"/>
      <c r="W44" s="21"/>
      <c r="X44" s="21"/>
      <c r="Y44" s="22"/>
      <c r="Z44" s="21"/>
      <c r="AA44" s="21"/>
      <c r="AB44" s="21"/>
      <c r="AC44" s="23" t="str">
        <f>IF(ISERROR(VLOOKUP(CONCATENATE($AC$39,"_",AB44),選手名簿!$A:$E,5,FALSE))=TRUE,"",VLOOKUP(CONCATENATE($AC$39,"_",AB44),選手名簿!$A:$E,5,FALSE))</f>
        <v/>
      </c>
    </row>
    <row r="45" spans="1:29" ht="20.25" hidden="1" customHeight="1" x14ac:dyDescent="0.45">
      <c r="E45" s="19" t="s">
        <v>228</v>
      </c>
      <c r="F45" s="20" t="str">
        <f>IF(ISERROR(VLOOKUP(CONCATENATE($F$39,"_",G45),選手名簿!$A:$E,5,FALSE))=TRUE,"",VLOOKUP(CONCATENATE($F$39,"_",G45),選手名簿!$A:$E,5,FALSE))</f>
        <v/>
      </c>
      <c r="G45" s="21"/>
      <c r="H45" s="21"/>
      <c r="I45" s="21"/>
      <c r="J45" s="22"/>
      <c r="K45" s="21"/>
      <c r="L45" s="21"/>
      <c r="M45" s="21"/>
      <c r="N45" s="23" t="str">
        <f>IF(ISERROR(VLOOKUP(CONCATENATE($N$39,"_",M45),選手名簿!$A:$E,5,FALSE))=TRUE,"",VLOOKUP(CONCATENATE($N$39,"_",M45),選手名簿!$A:$E,5,FALSE))</f>
        <v/>
      </c>
      <c r="T45" s="19" t="s">
        <v>228</v>
      </c>
      <c r="U45" s="20" t="str">
        <f>IF(ISERROR(VLOOKUP(CONCATENATE($U$39,"_",V45),選手名簿!$A:$E,5,FALSE))=TRUE,"",VLOOKUP(CONCATENATE($U$39,"_",V45),選手名簿!$A:$E,5,FALSE))</f>
        <v/>
      </c>
      <c r="V45" s="21"/>
      <c r="W45" s="21"/>
      <c r="X45" s="21"/>
      <c r="Y45" s="22"/>
      <c r="Z45" s="21"/>
      <c r="AA45" s="21"/>
      <c r="AB45" s="21"/>
      <c r="AC45" s="23" t="str">
        <f>IF(ISERROR(VLOOKUP(CONCATENATE($AC$39,"_",AB45),選手名簿!$A:$E,5,FALSE))=TRUE,"",VLOOKUP(CONCATENATE($AC$39,"_",AB45),選手名簿!$A:$E,5,FALSE))</f>
        <v/>
      </c>
    </row>
    <row r="46" spans="1:29" ht="20.25" hidden="1" customHeight="1" x14ac:dyDescent="0.45">
      <c r="E46" s="19" t="s">
        <v>228</v>
      </c>
      <c r="F46" s="20" t="str">
        <f>IF(ISERROR(VLOOKUP(CONCATENATE($F$39,"_",G46),選手名簿!$A:$E,5,FALSE))=TRUE,"",VLOOKUP(CONCATENATE($F$39,"_",G46),選手名簿!$A:$E,5,FALSE))</f>
        <v/>
      </c>
      <c r="G46" s="21"/>
      <c r="H46" s="21"/>
      <c r="I46" s="21"/>
      <c r="J46" s="22"/>
      <c r="K46" s="21"/>
      <c r="L46" s="21"/>
      <c r="M46" s="21"/>
      <c r="N46" s="23" t="str">
        <f>IF(ISERROR(VLOOKUP(CONCATENATE($N$39,"_",M46),選手名簿!$A:$E,5,FALSE))=TRUE,"",VLOOKUP(CONCATENATE($N$39,"_",M46),選手名簿!$A:$E,5,FALSE))</f>
        <v/>
      </c>
      <c r="T46" s="19" t="s">
        <v>228</v>
      </c>
      <c r="U46" s="20" t="str">
        <f>IF(ISERROR(VLOOKUP(CONCATENATE($U$39,"_",V46),選手名簿!$A:$E,5,FALSE))=TRUE,"",VLOOKUP(CONCATENATE($U$39,"_",V46),選手名簿!$A:$E,5,FALSE))</f>
        <v/>
      </c>
      <c r="V46" s="21"/>
      <c r="W46" s="21"/>
      <c r="X46" s="21"/>
      <c r="Y46" s="22"/>
      <c r="Z46" s="21"/>
      <c r="AA46" s="21"/>
      <c r="AB46" s="21"/>
      <c r="AC46" s="23" t="str">
        <f>IF(ISERROR(VLOOKUP(CONCATENATE($AC$39,"_",AB46),選手名簿!$A:$E,5,FALSE))=TRUE,"",VLOOKUP(CONCATENATE($AC$39,"_",AB46),選手名簿!$A:$E,5,FALSE))</f>
        <v/>
      </c>
    </row>
    <row r="47" spans="1:29" ht="20.25" hidden="1" customHeight="1" x14ac:dyDescent="0.45">
      <c r="E47" s="19" t="s">
        <v>228</v>
      </c>
      <c r="F47" s="20" t="str">
        <f>IF(ISERROR(VLOOKUP(CONCATENATE($F$39,"_",G47),選手名簿!$A:$E,5,FALSE))=TRUE,"",VLOOKUP(CONCATENATE($F$39,"_",G47),選手名簿!$A:$E,5,FALSE))</f>
        <v/>
      </c>
      <c r="G47" s="21"/>
      <c r="H47" s="21"/>
      <c r="I47" s="21"/>
      <c r="J47" s="22"/>
      <c r="K47" s="21"/>
      <c r="L47" s="21"/>
      <c r="M47" s="21"/>
      <c r="N47" s="23" t="str">
        <f>IF(ISERROR(VLOOKUP(CONCATENATE($N$39,"_",M47),選手名簿!$A:$E,5,FALSE))=TRUE,"",VLOOKUP(CONCATENATE($N$39,"_",M47),選手名簿!$A:$E,5,FALSE))</f>
        <v/>
      </c>
      <c r="T47" s="19" t="s">
        <v>228</v>
      </c>
      <c r="U47" s="20" t="str">
        <f>IF(ISERROR(VLOOKUP(CONCATENATE($U$39,"_",V47),選手名簿!$A:$E,5,FALSE))=TRUE,"",VLOOKUP(CONCATENATE($U$39,"_",V47),選手名簿!$A:$E,5,FALSE))</f>
        <v/>
      </c>
      <c r="V47" s="21"/>
      <c r="W47" s="21"/>
      <c r="X47" s="21"/>
      <c r="Y47" s="22"/>
      <c r="Z47" s="21"/>
      <c r="AA47" s="21"/>
      <c r="AB47" s="21"/>
      <c r="AC47" s="23" t="str">
        <f>IF(ISERROR(VLOOKUP(CONCATENATE($AC$39,"_",AB47),選手名簿!$A:$E,5,FALSE))=TRUE,"",VLOOKUP(CONCATENATE($AC$39,"_",AB47),選手名簿!$A:$E,5,FALSE))</f>
        <v/>
      </c>
    </row>
    <row r="48" spans="1:29" ht="20.25" hidden="1" customHeight="1" x14ac:dyDescent="0.45">
      <c r="E48" s="19" t="s">
        <v>228</v>
      </c>
      <c r="F48" s="20" t="str">
        <f>IF(ISERROR(VLOOKUP(CONCATENATE($F$39,"_",G48),選手名簿!$A:$E,5,FALSE))=TRUE,"",VLOOKUP(CONCATENATE($F$39,"_",G48),選手名簿!$A:$E,5,FALSE))</f>
        <v/>
      </c>
      <c r="G48" s="21"/>
      <c r="H48" s="21"/>
      <c r="I48" s="21"/>
      <c r="J48" s="22"/>
      <c r="K48" s="21"/>
      <c r="L48" s="21"/>
      <c r="M48" s="21"/>
      <c r="N48" s="23" t="str">
        <f>IF(ISERROR(VLOOKUP(CONCATENATE($N$39,"_",M48),選手名簿!$A:$E,5,FALSE))=TRUE,"",VLOOKUP(CONCATENATE($N$39,"_",M48),選手名簿!$A:$E,5,FALSE))</f>
        <v/>
      </c>
      <c r="T48" s="19" t="s">
        <v>228</v>
      </c>
      <c r="U48" s="20" t="str">
        <f>IF(ISERROR(VLOOKUP(CONCATENATE($U$39,"_",V48),選手名簿!$A:$E,5,FALSE))=TRUE,"",VLOOKUP(CONCATENATE($U$39,"_",V48),選手名簿!$A:$E,5,FALSE))</f>
        <v/>
      </c>
      <c r="V48" s="21"/>
      <c r="W48" s="21"/>
      <c r="X48" s="21"/>
      <c r="Y48" s="22"/>
      <c r="Z48" s="21"/>
      <c r="AA48" s="21"/>
      <c r="AB48" s="21"/>
      <c r="AC48" s="23" t="str">
        <f>IF(ISERROR(VLOOKUP(CONCATENATE($AC$39,"_",AB48),選手名簿!$A:$E,5,FALSE))=TRUE,"",VLOOKUP(CONCATENATE($AC$39,"_",AB48),選手名簿!$A:$E,5,FALSE))</f>
        <v/>
      </c>
    </row>
    <row r="49" spans="1:29" ht="20.25" hidden="1" customHeight="1" x14ac:dyDescent="0.45">
      <c r="E49" s="19" t="s">
        <v>228</v>
      </c>
      <c r="F49" s="20" t="str">
        <f>IF(ISERROR(VLOOKUP(CONCATENATE($F$39,"_",G49),選手名簿!$A:$E,5,FALSE))=TRUE,"",VLOOKUP(CONCATENATE($F$39,"_",G49),選手名簿!$A:$E,5,FALSE))</f>
        <v/>
      </c>
      <c r="G49" s="21"/>
      <c r="H49" s="21"/>
      <c r="I49" s="21"/>
      <c r="J49" s="22"/>
      <c r="K49" s="21"/>
      <c r="L49" s="21"/>
      <c r="M49" s="21"/>
      <c r="N49" s="23" t="str">
        <f>IF(ISERROR(VLOOKUP(CONCATENATE($N$39,"_",M49),選手名簿!$A:$E,5,FALSE))=TRUE,"",VLOOKUP(CONCATENATE($N$39,"_",M49),選手名簿!$A:$E,5,FALSE))</f>
        <v/>
      </c>
      <c r="T49" s="19" t="s">
        <v>228</v>
      </c>
      <c r="U49" s="20" t="str">
        <f>IF(ISERROR(VLOOKUP(CONCATENATE($U$39,"_",V49),選手名簿!$A:$E,5,FALSE))=TRUE,"",VLOOKUP(CONCATENATE($U$39,"_",V49),選手名簿!$A:$E,5,FALSE))</f>
        <v/>
      </c>
      <c r="V49" s="21"/>
      <c r="W49" s="21"/>
      <c r="X49" s="21"/>
      <c r="Y49" s="22"/>
      <c r="Z49" s="21"/>
      <c r="AA49" s="21"/>
      <c r="AB49" s="21"/>
      <c r="AC49" s="23" t="str">
        <f>IF(ISERROR(VLOOKUP(CONCATENATE($AC$39,"_",AB49),選手名簿!$A:$E,5,FALSE))=TRUE,"",VLOOKUP(CONCATENATE($AC$39,"_",AB49),選手名簿!$A:$E,5,FALSE))</f>
        <v/>
      </c>
    </row>
    <row r="50" spans="1:29" ht="20.25" hidden="1" customHeight="1" x14ac:dyDescent="0.45">
      <c r="E50" s="19" t="s">
        <v>228</v>
      </c>
      <c r="F50" s="20" t="str">
        <f>IF(ISERROR(VLOOKUP(CONCATENATE($F$39,"_",G50),選手名簿!$A:$E,5,FALSE))=TRUE,"",VLOOKUP(CONCATENATE($F$39,"_",G50),選手名簿!$A:$E,5,FALSE))</f>
        <v/>
      </c>
      <c r="G50" s="21"/>
      <c r="H50" s="21"/>
      <c r="I50" s="21"/>
      <c r="J50" s="22"/>
      <c r="K50" s="21"/>
      <c r="L50" s="21"/>
      <c r="M50" s="21"/>
      <c r="N50" s="23" t="str">
        <f>IF(ISERROR(VLOOKUP(CONCATENATE($N$39,"_",M50),選手名簿!$A:$E,5,FALSE))=TRUE,"",VLOOKUP(CONCATENATE($N$39,"_",M50),選手名簿!$A:$E,5,FALSE))</f>
        <v/>
      </c>
      <c r="T50" s="19" t="s">
        <v>228</v>
      </c>
      <c r="U50" s="20" t="str">
        <f>IF(ISERROR(VLOOKUP(CONCATENATE($U$39,"_",V50),選手名簿!$A:$E,5,FALSE))=TRUE,"",VLOOKUP(CONCATENATE($U$39,"_",V50),選手名簿!$A:$E,5,FALSE))</f>
        <v/>
      </c>
      <c r="V50" s="21"/>
      <c r="W50" s="21"/>
      <c r="X50" s="21"/>
      <c r="Y50" s="22"/>
      <c r="Z50" s="21"/>
      <c r="AA50" s="21"/>
      <c r="AB50" s="21"/>
      <c r="AC50" s="23" t="str">
        <f>IF(ISERROR(VLOOKUP(CONCATENATE($AC$39,"_",AB50),選手名簿!$A:$E,5,FALSE))=TRUE,"",VLOOKUP(CONCATENATE($AC$39,"_",AB50),選手名簿!$A:$E,5,FALSE))</f>
        <v/>
      </c>
    </row>
    <row r="51" spans="1:29" ht="20.25" hidden="1" customHeight="1" x14ac:dyDescent="0.45">
      <c r="E51" s="19" t="s">
        <v>228</v>
      </c>
      <c r="F51" s="20" t="str">
        <f>IF(ISERROR(VLOOKUP(CONCATENATE($F$39,"_",G51),選手名簿!$A:$E,5,FALSE))=TRUE,"",VLOOKUP(CONCATENATE($F$39,"_",G51),選手名簿!$A:$E,5,FALSE))</f>
        <v/>
      </c>
      <c r="G51" s="21"/>
      <c r="H51" s="21"/>
      <c r="I51" s="21"/>
      <c r="J51" s="22"/>
      <c r="K51" s="21"/>
      <c r="L51" s="21"/>
      <c r="M51" s="21"/>
      <c r="N51" s="23" t="str">
        <f>IF(ISERROR(VLOOKUP(CONCATENATE($N$39,"_",M51),選手名簿!$A:$E,5,FALSE))=TRUE,"",VLOOKUP(CONCATENATE($N$39,"_",M51),選手名簿!$A:$E,5,FALSE))</f>
        <v/>
      </c>
      <c r="T51" s="19" t="s">
        <v>228</v>
      </c>
      <c r="U51" s="20" t="str">
        <f>IF(ISERROR(VLOOKUP(CONCATENATE($U$39,"_",V51),選手名簿!$A:$E,5,FALSE))=TRUE,"",VLOOKUP(CONCATENATE($U$39,"_",V51),選手名簿!$A:$E,5,FALSE))</f>
        <v/>
      </c>
      <c r="V51" s="21"/>
      <c r="W51" s="21"/>
      <c r="X51" s="21"/>
      <c r="Y51" s="22"/>
      <c r="Z51" s="21"/>
      <c r="AA51" s="21"/>
      <c r="AB51" s="21"/>
      <c r="AC51" s="23" t="str">
        <f>IF(ISERROR(VLOOKUP(CONCATENATE($AC$39,"_",AB51),選手名簿!$A:$E,5,FALSE))=TRUE,"",VLOOKUP(CONCATENATE($AC$39,"_",AB51),選手名簿!$A:$E,5,FALSE))</f>
        <v/>
      </c>
    </row>
    <row r="52" spans="1:29" ht="20.25" hidden="1" customHeight="1" thickBot="1" x14ac:dyDescent="0.6">
      <c r="E52" s="24" t="s">
        <v>228</v>
      </c>
      <c r="F52" s="25" t="str">
        <f>IF(ISERROR(VLOOKUP(CONCATENATE($F$39,"_",G52),選手名簿!$A:$E,5,FALSE))=TRUE,"",VLOOKUP(CONCATENATE($F$39,"_",G52),選手名簿!$A:$E,5,FALSE))</f>
        <v/>
      </c>
      <c r="G52" s="26"/>
      <c r="H52" s="26"/>
      <c r="I52" s="26"/>
      <c r="J52" s="27"/>
      <c r="K52" s="26"/>
      <c r="L52" s="26"/>
      <c r="M52" s="26"/>
      <c r="N52" s="28" t="str">
        <f>IF(ISERROR(VLOOKUP(CONCATENATE($N$39,"_",M52),選手名簿!$A:$E,5,FALSE))=TRUE,"",VLOOKUP(CONCATENATE($N$39,"_",M52),選手名簿!$A:$E,5,FALSE))</f>
        <v/>
      </c>
      <c r="T52" s="24" t="s">
        <v>228</v>
      </c>
      <c r="U52" s="25" t="str">
        <f>IF(ISERROR(VLOOKUP(CONCATENATE($U$39,"_",V52),選手名簿!$A:$E,5,FALSE))=TRUE,"",VLOOKUP(CONCATENATE($U$39,"_",V52),選手名簿!$A:$E,5,FALSE))</f>
        <v/>
      </c>
      <c r="V52" s="26"/>
      <c r="W52" s="26"/>
      <c r="X52" s="26"/>
      <c r="Y52" s="27"/>
      <c r="Z52" s="26"/>
      <c r="AA52" s="26"/>
      <c r="AB52" s="26"/>
      <c r="AC52" s="28" t="str">
        <f>IF(ISERROR(VLOOKUP(CONCATENATE($AC$39,"_",AB52),選手名簿!$A:$E,5,FALSE))=TRUE,"",VLOOKUP(CONCATENATE($AC$39,"_",AB52),選手名簿!$A:$E,5,FALSE))</f>
        <v/>
      </c>
    </row>
    <row r="53" spans="1:29" ht="20.25" customHeight="1" x14ac:dyDescent="0.45">
      <c r="A53" s="29" t="s">
        <v>226</v>
      </c>
      <c r="B53" s="774" t="s">
        <v>1588</v>
      </c>
      <c r="C53" s="774"/>
      <c r="D53" s="774"/>
      <c r="E53" s="19" t="s">
        <v>196</v>
      </c>
      <c r="F53" s="20" t="str">
        <f>IF(ISERROR(VLOOKUP(CONCATENATE($F$39,"_",G53),選手名簿!$A:$E,5,FALSE))=TRUE,"",VLOOKUP(CONCATENATE($F$39,"_",G53),選手名簿!$A:$E,5,FALSE))</f>
        <v/>
      </c>
      <c r="G53" s="21"/>
      <c r="H53" s="21"/>
      <c r="I53" s="21"/>
      <c r="J53" s="22"/>
      <c r="K53" s="21"/>
      <c r="L53" s="21"/>
      <c r="M53" s="21"/>
      <c r="N53" s="23" t="str">
        <f>IF(ISERROR(VLOOKUP(CONCATENATE($N$39,"_",M53),選手名簿!$A:$E,5,FALSE))=TRUE,"",VLOOKUP(CONCATENATE($N$39,"_",M53),選手名簿!$A:$E,5,FALSE))</f>
        <v/>
      </c>
      <c r="P53" s="29" t="s">
        <v>226</v>
      </c>
      <c r="Q53" s="774" t="s">
        <v>1245</v>
      </c>
      <c r="R53" s="774"/>
      <c r="S53" s="774"/>
      <c r="T53" s="19" t="s">
        <v>196</v>
      </c>
      <c r="U53" s="20" t="str">
        <f>IF(ISERROR(VLOOKUP(CONCATENATE($U$39,"_",V53),選手名簿!$A:$E,5,FALSE))=TRUE,"",VLOOKUP(CONCATENATE($U$39,"_",V53),選手名簿!$A:$E,5,FALSE))</f>
        <v/>
      </c>
      <c r="V53" s="21"/>
      <c r="W53" s="21"/>
      <c r="X53" s="21"/>
      <c r="Y53" s="22"/>
      <c r="Z53" s="21"/>
      <c r="AA53" s="21"/>
      <c r="AB53" s="21"/>
      <c r="AC53" s="23" t="str">
        <f>IF(ISERROR(VLOOKUP(CONCATENATE($AC$39,"_",AB53),選手名簿!$A:$E,5,FALSE))=TRUE,"",VLOOKUP(CONCATENATE($AC$39,"_",AB53),選手名簿!$A:$E,5,FALSE))</f>
        <v/>
      </c>
    </row>
    <row r="54" spans="1:29" ht="20.25" customHeight="1" x14ac:dyDescent="0.45">
      <c r="A54" s="83" t="s">
        <v>1959</v>
      </c>
      <c r="B54" s="769" t="str">
        <f>IF(ISERROR(VLOOKUP(B53,審判員!$A:$C,2,FALSE))=TRUE,"",VLOOKUP(B53,審判員!$A:$C,2,FALSE))</f>
        <v>田尻　貴志</v>
      </c>
      <c r="C54" s="770"/>
      <c r="D54" s="83" t="str">
        <f>IF(ISERROR(VLOOKUP(B53,審判員!$A:$C,3,FALSE))=TRUE,"",VLOOKUP(B53,審判員!$A:$C,3,FALSE))</f>
        <v>３級</v>
      </c>
      <c r="E54" s="31" t="s">
        <v>196</v>
      </c>
      <c r="F54" s="32" t="str">
        <f>IF(ISERROR(VLOOKUP(CONCATENATE($F$39,"_",G54),選手名簿!$A:$E,5,FALSE))=TRUE,"",VLOOKUP(CONCATENATE($F$39,"_",G54),選手名簿!$A:$E,5,FALSE))</f>
        <v/>
      </c>
      <c r="G54" s="33"/>
      <c r="H54" s="33"/>
      <c r="I54" s="33"/>
      <c r="J54" s="22"/>
      <c r="K54" s="33"/>
      <c r="L54" s="33"/>
      <c r="M54" s="33"/>
      <c r="N54" s="34" t="str">
        <f>IF(ISERROR(VLOOKUP(CONCATENATE($N$39,"_",M54),選手名簿!$A:$E,5,FALSE))=TRUE,"",VLOOKUP(CONCATENATE($N$39,"_",M54),選手名簿!$A:$E,5,FALSE))</f>
        <v/>
      </c>
      <c r="P54" s="83" t="s">
        <v>1959</v>
      </c>
      <c r="Q54" s="769" t="str">
        <f>IF(ISERROR(VLOOKUP(Q53,審判員!$A:$C,2,FALSE))=TRUE,"",VLOOKUP(Q53,審判員!$A:$C,2,FALSE))</f>
        <v>久保　雅敬</v>
      </c>
      <c r="R54" s="770"/>
      <c r="S54" s="83" t="str">
        <f>IF(ISERROR(VLOOKUP(Q53,審判員!$A:$C,3,FALSE))=TRUE,"",VLOOKUP(Q53,審判員!$A:$C,3,FALSE))</f>
        <v>３級</v>
      </c>
      <c r="T54" s="31" t="s">
        <v>196</v>
      </c>
      <c r="U54" s="32" t="str">
        <f>IF(ISERROR(VLOOKUP(CONCATENATE($U$39,"_",V54),選手名簿!$A:$E,5,FALSE))=TRUE,"",VLOOKUP(CONCATENATE($U$39,"_",V54),選手名簿!$A:$E,5,FALSE))</f>
        <v/>
      </c>
      <c r="V54" s="33"/>
      <c r="W54" s="33"/>
      <c r="X54" s="33"/>
      <c r="Y54" s="22"/>
      <c r="Z54" s="33"/>
      <c r="AA54" s="33"/>
      <c r="AB54" s="33"/>
      <c r="AC54" s="34" t="str">
        <f>IF(ISERROR(VLOOKUP(CONCATENATE($AC$39,"_",AB54),選手名簿!$A:$E,5,FALSE))=TRUE,"",VLOOKUP(CONCATENATE($AC$39,"_",AB54),選手名簿!$A:$E,5,FALSE))</f>
        <v/>
      </c>
    </row>
    <row r="55" spans="1:29" ht="20.25" customHeight="1" x14ac:dyDescent="0.45">
      <c r="A55" s="29" t="s">
        <v>226</v>
      </c>
      <c r="B55" s="771" t="s">
        <v>11863</v>
      </c>
      <c r="C55" s="771"/>
      <c r="D55" s="772"/>
      <c r="E55" s="31" t="s">
        <v>196</v>
      </c>
      <c r="F55" s="32" t="str">
        <f>IF(ISERROR(VLOOKUP(CONCATENATE($F$39,"_",G55),選手名簿!$A:$E,5,FALSE))=TRUE,"",VLOOKUP(CONCATENATE($F$39,"_",G55),選手名簿!$A:$E,5,FALSE))</f>
        <v/>
      </c>
      <c r="G55" s="33"/>
      <c r="H55" s="33"/>
      <c r="I55" s="33"/>
      <c r="J55" s="22"/>
      <c r="K55" s="33"/>
      <c r="L55" s="33"/>
      <c r="M55" s="33"/>
      <c r="N55" s="34" t="str">
        <f>IF(ISERROR(VLOOKUP(CONCATENATE($N$39,"_",M55),選手名簿!$A:$E,5,FALSE))=TRUE,"",VLOOKUP(CONCATENATE($N$39,"_",M55),選手名簿!$A:$E,5,FALSE))</f>
        <v/>
      </c>
      <c r="P55" s="29" t="s">
        <v>226</v>
      </c>
      <c r="Q55" s="771" t="s">
        <v>11859</v>
      </c>
      <c r="R55" s="771"/>
      <c r="S55" s="772"/>
      <c r="T55" s="31" t="s">
        <v>196</v>
      </c>
      <c r="U55" s="32" t="str">
        <f>IF(ISERROR(VLOOKUP(CONCATENATE($U$39,"_",V55),選手名簿!$A:$E,5,FALSE))=TRUE,"",VLOOKUP(CONCATENATE($U$39,"_",V55),選手名簿!$A:$E,5,FALSE))</f>
        <v/>
      </c>
      <c r="V55" s="33"/>
      <c r="W55" s="33"/>
      <c r="X55" s="33"/>
      <c r="Y55" s="22"/>
      <c r="Z55" s="33"/>
      <c r="AA55" s="33"/>
      <c r="AB55" s="33"/>
      <c r="AC55" s="34" t="str">
        <f>IF(ISERROR(VLOOKUP(CONCATENATE($AC$39,"_",AB55),選手名簿!$A:$E,5,FALSE))=TRUE,"",VLOOKUP(CONCATENATE($AC$39,"_",AB55),選手名簿!$A:$E,5,FALSE))</f>
        <v/>
      </c>
    </row>
    <row r="56" spans="1:29" ht="20.25" customHeight="1" x14ac:dyDescent="0.45">
      <c r="A56" s="83" t="s">
        <v>1966</v>
      </c>
      <c r="B56" s="769" t="str">
        <f>IF(ISERROR(VLOOKUP(B55,審判員!$A:$C,2,FALSE))=TRUE,"",VLOOKUP(B55,審判員!$A:$C,2,FALSE))</f>
        <v>荒牧　聡</v>
      </c>
      <c r="C56" s="770"/>
      <c r="D56" s="83" t="str">
        <f>IF(ISERROR(VLOOKUP(B55,審判員!$A:$C,3,FALSE))=TRUE,"",VLOOKUP(B55,審判員!$A:$C,3,FALSE))</f>
        <v>３級</v>
      </c>
      <c r="E56" s="31" t="s">
        <v>196</v>
      </c>
      <c r="F56" s="32" t="str">
        <f>IF(ISERROR(VLOOKUP(CONCATENATE($F$39,"_",G56),選手名簿!$A:$E,5,FALSE))=TRUE,"",VLOOKUP(CONCATENATE($F$39,"_",G56),選手名簿!$A:$E,5,FALSE))</f>
        <v/>
      </c>
      <c r="G56" s="33"/>
      <c r="H56" s="33"/>
      <c r="I56" s="33"/>
      <c r="J56" s="22"/>
      <c r="K56" s="33"/>
      <c r="L56" s="33"/>
      <c r="M56" s="33"/>
      <c r="N56" s="34" t="str">
        <f>IF(ISERROR(VLOOKUP(CONCATENATE($N$39,"_",M56),選手名簿!$A:$E,5,FALSE))=TRUE,"",VLOOKUP(CONCATENATE($N$39,"_",M56),選手名簿!$A:$E,5,FALSE))</f>
        <v/>
      </c>
      <c r="P56" s="83" t="s">
        <v>1966</v>
      </c>
      <c r="Q56" s="769" t="str">
        <f>IF(ISERROR(VLOOKUP(Q55,審判員!$A:$C,2,FALSE))=TRUE,"",VLOOKUP(Q55,審判員!$A:$C,2,FALSE))</f>
        <v>桑原　栄二郎</v>
      </c>
      <c r="R56" s="770"/>
      <c r="S56" s="83" t="str">
        <f>IF(ISERROR(VLOOKUP(Q55,審判員!$A:$C,3,FALSE))=TRUE,"",VLOOKUP(Q55,審判員!$A:$C,3,FALSE))</f>
        <v>３級</v>
      </c>
      <c r="T56" s="31" t="s">
        <v>196</v>
      </c>
      <c r="U56" s="32" t="str">
        <f>IF(ISERROR(VLOOKUP(CONCATENATE($U$39,"_",V56),選手名簿!$A:$E,5,FALSE))=TRUE,"",VLOOKUP(CONCATENATE($U$39,"_",V56),選手名簿!$A:$E,5,FALSE))</f>
        <v/>
      </c>
      <c r="V56" s="33"/>
      <c r="W56" s="33"/>
      <c r="X56" s="33"/>
      <c r="Y56" s="22"/>
      <c r="Z56" s="33"/>
      <c r="AA56" s="33"/>
      <c r="AB56" s="33"/>
      <c r="AC56" s="34" t="str">
        <f>IF(ISERROR(VLOOKUP(CONCATENATE($AC$39,"_",AB56),選手名簿!$A:$E,5,FALSE))=TRUE,"",VLOOKUP(CONCATENATE($AC$39,"_",AB56),選手名簿!$A:$E,5,FALSE))</f>
        <v/>
      </c>
    </row>
    <row r="57" spans="1:29" ht="20.25" customHeight="1" x14ac:dyDescent="0.45">
      <c r="A57" s="29" t="s">
        <v>226</v>
      </c>
      <c r="B57" s="771" t="s">
        <v>11864</v>
      </c>
      <c r="C57" s="771"/>
      <c r="D57" s="772"/>
      <c r="E57" s="31" t="s">
        <v>196</v>
      </c>
      <c r="F57" s="32" t="str">
        <f>IF(ISERROR(VLOOKUP(CONCATENATE($F$39,"_",G57),選手名簿!$A:$E,5,FALSE))=TRUE,"",VLOOKUP(CONCATENATE($F$39,"_",G57),選手名簿!$A:$E,5,FALSE))</f>
        <v/>
      </c>
      <c r="G57" s="33"/>
      <c r="H57" s="33"/>
      <c r="I57" s="33"/>
      <c r="J57" s="22"/>
      <c r="K57" s="33"/>
      <c r="L57" s="33"/>
      <c r="M57" s="33"/>
      <c r="N57" s="34" t="str">
        <f>IF(ISERROR(VLOOKUP(CONCATENATE($N$39,"_",M57),選手名簿!$A:$E,5,FALSE))=TRUE,"",VLOOKUP(CONCATENATE($N$39,"_",M57),選手名簿!$A:$E,5,FALSE))</f>
        <v/>
      </c>
      <c r="P57" s="29" t="s">
        <v>226</v>
      </c>
      <c r="Q57" s="771" t="s">
        <v>11869</v>
      </c>
      <c r="R57" s="771"/>
      <c r="S57" s="772"/>
      <c r="T57" s="31" t="s">
        <v>196</v>
      </c>
      <c r="U57" s="32" t="str">
        <f>IF(ISERROR(VLOOKUP(CONCATENATE($U$39,"_",V57),選手名簿!$A:$E,5,FALSE))=TRUE,"",VLOOKUP(CONCATENATE($U$39,"_",V57),選手名簿!$A:$E,5,FALSE))</f>
        <v/>
      </c>
      <c r="V57" s="33"/>
      <c r="W57" s="33"/>
      <c r="X57" s="33"/>
      <c r="Y57" s="22"/>
      <c r="Z57" s="33"/>
      <c r="AA57" s="33"/>
      <c r="AB57" s="33"/>
      <c r="AC57" s="34" t="str">
        <f>IF(ISERROR(VLOOKUP(CONCATENATE($AC$39,"_",AB57),選手名簿!$A:$E,5,FALSE))=TRUE,"",VLOOKUP(CONCATENATE($AC$39,"_",AB57),選手名簿!$A:$E,5,FALSE))</f>
        <v/>
      </c>
    </row>
    <row r="58" spans="1:29" ht="20.25" customHeight="1" x14ac:dyDescent="0.45">
      <c r="A58" s="83" t="s">
        <v>1967</v>
      </c>
      <c r="B58" s="769" t="str">
        <f>IF(ISERROR(VLOOKUP(B57,審判員!$A:$C,2,FALSE))=TRUE,"",VLOOKUP(B57,審判員!$A:$C,2,FALSE))</f>
        <v>野中　裕介</v>
      </c>
      <c r="C58" s="770"/>
      <c r="D58" s="83" t="str">
        <f>IF(ISERROR(VLOOKUP(B57,審判員!$A:$C,3,FALSE))=TRUE,"",VLOOKUP(B57,審判員!$A:$C,3,FALSE))</f>
        <v>３級</v>
      </c>
      <c r="E58" s="31" t="s">
        <v>196</v>
      </c>
      <c r="F58" s="32" t="str">
        <f>IF(ISERROR(VLOOKUP(CONCATENATE($F$39,"_",G58),選手名簿!$A:$E,5,FALSE))=TRUE,"",VLOOKUP(CONCATENATE($F$39,"_",G58),選手名簿!$A:$E,5,FALSE))</f>
        <v/>
      </c>
      <c r="G58" s="33"/>
      <c r="H58" s="33"/>
      <c r="I58" s="33"/>
      <c r="J58" s="22"/>
      <c r="K58" s="33"/>
      <c r="L58" s="33"/>
      <c r="M58" s="33"/>
      <c r="N58" s="34" t="str">
        <f>IF(ISERROR(VLOOKUP(CONCATENATE($N$39,"_",M58),選手名簿!$A:$E,5,FALSE))=TRUE,"",VLOOKUP(CONCATENATE($N$39,"_",M58),選手名簿!$A:$E,5,FALSE))</f>
        <v/>
      </c>
      <c r="P58" s="83" t="s">
        <v>1967</v>
      </c>
      <c r="Q58" s="769" t="str">
        <f>IF(ISERROR(VLOOKUP(Q57,審判員!$A:$C,2,FALSE))=TRUE,"",VLOOKUP(Q57,審判員!$A:$C,2,FALSE))</f>
        <v>石井　洋平</v>
      </c>
      <c r="R58" s="770"/>
      <c r="S58" s="83" t="str">
        <f>IF(ISERROR(VLOOKUP(Q57,審判員!$A:$C,3,FALSE))=TRUE,"",VLOOKUP(Q57,審判員!$A:$C,3,FALSE))</f>
        <v>３級</v>
      </c>
      <c r="T58" s="31" t="s">
        <v>196</v>
      </c>
      <c r="U58" s="32" t="str">
        <f>IF(ISERROR(VLOOKUP(CONCATENATE($U$39,"_",V58),選手名簿!$A:$E,5,FALSE))=TRUE,"",VLOOKUP(CONCATENATE($U$39,"_",V58),選手名簿!$A:$E,5,FALSE))</f>
        <v/>
      </c>
      <c r="V58" s="33"/>
      <c r="W58" s="33"/>
      <c r="X58" s="33"/>
      <c r="Y58" s="22"/>
      <c r="Z58" s="33"/>
      <c r="AA58" s="33"/>
      <c r="AB58" s="33"/>
      <c r="AC58" s="34" t="str">
        <f>IF(ISERROR(VLOOKUP(CONCATENATE($AC$39,"_",AB58),選手名簿!$A:$E,5,FALSE))=TRUE,"",VLOOKUP(CONCATENATE($AC$39,"_",AB58),選手名簿!$A:$E,5,FALSE))</f>
        <v/>
      </c>
    </row>
    <row r="59" spans="1:29" ht="20.25" customHeight="1" x14ac:dyDescent="0.45">
      <c r="A59" s="29" t="s">
        <v>226</v>
      </c>
      <c r="B59" s="774" t="s">
        <v>1245</v>
      </c>
      <c r="C59" s="774"/>
      <c r="D59" s="774"/>
      <c r="E59" s="31" t="s">
        <v>196</v>
      </c>
      <c r="F59" s="32" t="str">
        <f>IF(ISERROR(VLOOKUP(CONCATENATE($F$39,"_",G59),選手名簿!$A:$E,5,FALSE))=TRUE,"",VLOOKUP(CONCATENATE($F$39,"_",G59),選手名簿!$A:$E,5,FALSE))</f>
        <v/>
      </c>
      <c r="G59" s="33"/>
      <c r="H59" s="33"/>
      <c r="I59" s="33"/>
      <c r="J59" s="22"/>
      <c r="K59" s="33"/>
      <c r="L59" s="33"/>
      <c r="M59" s="33"/>
      <c r="N59" s="34" t="str">
        <f>IF(ISERROR(VLOOKUP(CONCATENATE($N$39,"_",M59),選手名簿!$A:$E,5,FALSE))=TRUE,"",VLOOKUP(CONCATENATE($N$39,"_",M59),選手名簿!$A:$E,5,FALSE))</f>
        <v/>
      </c>
      <c r="P59" s="29" t="s">
        <v>226</v>
      </c>
      <c r="Q59" s="774" t="s">
        <v>1759</v>
      </c>
      <c r="R59" s="774"/>
      <c r="S59" s="774"/>
      <c r="T59" s="31" t="s">
        <v>196</v>
      </c>
      <c r="U59" s="32" t="str">
        <f>IF(ISERROR(VLOOKUP(CONCATENATE($U$39,"_",V59),選手名簿!$A:$E,5,FALSE))=TRUE,"",VLOOKUP(CONCATENATE($U$39,"_",V59),選手名簿!$A:$E,5,FALSE))</f>
        <v/>
      </c>
      <c r="V59" s="33"/>
      <c r="W59" s="33"/>
      <c r="X59" s="33"/>
      <c r="Y59" s="22"/>
      <c r="Z59" s="33"/>
      <c r="AA59" s="33"/>
      <c r="AB59" s="33"/>
      <c r="AC59" s="34" t="str">
        <f>IF(ISERROR(VLOOKUP(CONCATENATE($AC$39,"_",AB59),選手名簿!$A:$E,5,FALSE))=TRUE,"",VLOOKUP(CONCATENATE($AC$39,"_",AB59),選手名簿!$A:$E,5,FALSE))</f>
        <v/>
      </c>
    </row>
    <row r="60" spans="1:29" ht="20.25" customHeight="1" thickBot="1" x14ac:dyDescent="0.6">
      <c r="A60" s="83" t="s">
        <v>1968</v>
      </c>
      <c r="B60" s="769" t="str">
        <f>IF(ISERROR(VLOOKUP(B59,審判員!$A:$C,2,FALSE))=TRUE,"",VLOOKUP(B59,審判員!$A:$C,2,FALSE))</f>
        <v>久保　雅敬</v>
      </c>
      <c r="C60" s="770"/>
      <c r="D60" s="83" t="str">
        <f>IF(ISERROR(VLOOKUP(B59,審判員!$A:$C,3,FALSE))=TRUE,"",VLOOKUP(B59,審判員!$A:$C,3,FALSE))</f>
        <v>３級</v>
      </c>
      <c r="E60" s="35" t="s">
        <v>196</v>
      </c>
      <c r="F60" s="36" t="str">
        <f>IF(ISERROR(VLOOKUP(CONCATENATE($F$39,"_",G60),選手名簿!$A:$E,5,FALSE))=TRUE,"",VLOOKUP(CONCATENATE($F$39,"_",G60),選手名簿!$A:$E,5,FALSE))</f>
        <v/>
      </c>
      <c r="G60" s="37"/>
      <c r="H60" s="37"/>
      <c r="I60" s="37"/>
      <c r="J60" s="27"/>
      <c r="K60" s="37"/>
      <c r="L60" s="37"/>
      <c r="M60" s="37"/>
      <c r="N60" s="38" t="str">
        <f>IF(ISERROR(VLOOKUP(CONCATENATE($N$39,"_",M60),選手名簿!$A:$E,5,FALSE))=TRUE,"",VLOOKUP(CONCATENATE($N$39,"_",M60),選手名簿!$A:$E,5,FALSE))</f>
        <v/>
      </c>
      <c r="P60" s="83" t="s">
        <v>1968</v>
      </c>
      <c r="Q60" s="769" t="str">
        <f>IF(ISERROR(VLOOKUP(Q59,審判員!$A:$C,2,FALSE))=TRUE,"",VLOOKUP(Q59,審判員!$A:$C,2,FALSE))</f>
        <v>寺次　良生</v>
      </c>
      <c r="R60" s="770"/>
      <c r="S60" s="83" t="str">
        <f>IF(ISERROR(VLOOKUP(Q59,審判員!$A:$C,3,FALSE))=TRUE,"",VLOOKUP(Q59,審判員!$A:$C,3,FALSE))</f>
        <v>３級</v>
      </c>
      <c r="T60" s="35" t="s">
        <v>196</v>
      </c>
      <c r="U60" s="36" t="str">
        <f>IF(ISERROR(VLOOKUP(CONCATENATE($U$39,"_",V60),選手名簿!$A:$E,5,FALSE))=TRUE,"",VLOOKUP(CONCATENATE($U$39,"_",V60),選手名簿!$A:$E,5,FALSE))</f>
        <v/>
      </c>
      <c r="V60" s="37"/>
      <c r="W60" s="37"/>
      <c r="X60" s="37"/>
      <c r="Y60" s="27"/>
      <c r="Z60" s="37"/>
      <c r="AA60" s="37"/>
      <c r="AB60" s="37"/>
      <c r="AC60" s="38" t="str">
        <f>IF(ISERROR(VLOOKUP(CONCATENATE($AC$39,"_",AB60),選手名簿!$A:$E,5,FALSE))=TRUE,"",VLOOKUP(CONCATENATE($AC$39,"_",AB60),選手名簿!$A:$E,5,FALSE))</f>
        <v/>
      </c>
    </row>
    <row r="61" spans="1:29" ht="9.9499999999999993" customHeight="1" x14ac:dyDescent="0.45">
      <c r="E61" s="39"/>
      <c r="T61" s="39"/>
    </row>
    <row r="62" spans="1:29" ht="9.9499999999999993" customHeight="1" x14ac:dyDescent="0.45">
      <c r="E62" s="39"/>
      <c r="T62" s="39"/>
    </row>
    <row r="63" spans="1:29" ht="9.9499999999999993" customHeight="1" x14ac:dyDescent="0.45"/>
    <row r="64" spans="1:29" ht="9.9499999999999993" customHeight="1" x14ac:dyDescent="0.45"/>
    <row r="65" spans="1:29" ht="9.9499999999999993" customHeight="1" x14ac:dyDescent="0.45"/>
    <row r="66" spans="1:29" ht="9.9499999999999993" customHeight="1" x14ac:dyDescent="0.45"/>
    <row r="67" spans="1:29" ht="9.9499999999999993" customHeight="1" thickBot="1" x14ac:dyDescent="0.6">
      <c r="E67" s="39"/>
      <c r="T67" s="39"/>
    </row>
    <row r="68" spans="1:29" ht="27.4" customHeight="1" x14ac:dyDescent="0.45">
      <c r="A68" s="365" t="s">
        <v>3235</v>
      </c>
      <c r="B68" s="789" t="s">
        <v>274</v>
      </c>
      <c r="C68" s="790"/>
      <c r="D68" s="791"/>
      <c r="E68" s="778">
        <v>0.60416666666666663</v>
      </c>
      <c r="F68" s="781" t="str">
        <f>F7</f>
        <v>玖珠サッカースポーツ少年団</v>
      </c>
      <c r="G68" s="784">
        <f>IF(I68="","",SUM(I68:I69))</f>
        <v>1</v>
      </c>
      <c r="H68" s="793" t="s">
        <v>205</v>
      </c>
      <c r="I68" s="84">
        <v>0</v>
      </c>
      <c r="J68" s="84" t="s">
        <v>116</v>
      </c>
      <c r="K68" s="84">
        <v>0</v>
      </c>
      <c r="L68" s="793" t="s">
        <v>206</v>
      </c>
      <c r="M68" s="784">
        <f>IF(K68="","",SUM(K68:K69))</f>
        <v>0</v>
      </c>
      <c r="N68" s="775" t="str">
        <f>F5</f>
        <v>別府フットボールクラブ．ミネルバＵ－１２</v>
      </c>
      <c r="P68" s="365" t="s">
        <v>3235</v>
      </c>
      <c r="Q68" s="789" t="s">
        <v>10008</v>
      </c>
      <c r="R68" s="790"/>
      <c r="S68" s="791"/>
      <c r="T68" s="778">
        <v>0.64583333333333337</v>
      </c>
      <c r="U68" s="781" t="str">
        <f>U7</f>
        <v>太陽スポーツクラブ大分西</v>
      </c>
      <c r="V68" s="784">
        <f>IF(X68="","",SUM(X68:X69))</f>
        <v>0</v>
      </c>
      <c r="W68" s="793" t="s">
        <v>205</v>
      </c>
      <c r="X68" s="84">
        <v>0</v>
      </c>
      <c r="Y68" s="84" t="s">
        <v>116</v>
      </c>
      <c r="Z68" s="84">
        <v>0</v>
      </c>
      <c r="AA68" s="793" t="s">
        <v>206</v>
      </c>
      <c r="AB68" s="784">
        <f>IF(Z68="","",SUM(Z68:Z69))</f>
        <v>0</v>
      </c>
      <c r="AC68" s="775" t="str">
        <f>U5</f>
        <v>ＦＣ　ＷＡＹＳ</v>
      </c>
    </row>
    <row r="69" spans="1:29" ht="27.4" customHeight="1" x14ac:dyDescent="0.45">
      <c r="A69" s="366" t="s">
        <v>3236</v>
      </c>
      <c r="B69" s="792" t="s">
        <v>3924</v>
      </c>
      <c r="C69" s="792"/>
      <c r="D69" s="789"/>
      <c r="E69" s="779"/>
      <c r="F69" s="782"/>
      <c r="G69" s="785"/>
      <c r="H69" s="794"/>
      <c r="I69" s="9">
        <v>1</v>
      </c>
      <c r="J69" s="9" t="s">
        <v>117</v>
      </c>
      <c r="K69" s="9">
        <v>0</v>
      </c>
      <c r="L69" s="794"/>
      <c r="M69" s="785"/>
      <c r="N69" s="776"/>
      <c r="P69" s="366" t="s">
        <v>3236</v>
      </c>
      <c r="Q69" s="792" t="s">
        <v>3924</v>
      </c>
      <c r="R69" s="792"/>
      <c r="S69" s="789"/>
      <c r="T69" s="779"/>
      <c r="U69" s="782"/>
      <c r="V69" s="785"/>
      <c r="W69" s="794"/>
      <c r="X69" s="9">
        <v>0</v>
      </c>
      <c r="Y69" s="9" t="s">
        <v>117</v>
      </c>
      <c r="Z69" s="9">
        <v>0</v>
      </c>
      <c r="AA69" s="794"/>
      <c r="AB69" s="785"/>
      <c r="AC69" s="776"/>
    </row>
    <row r="70" spans="1:29" ht="27.4" customHeight="1" thickBot="1" x14ac:dyDescent="0.6">
      <c r="A70" s="366" t="s">
        <v>3237</v>
      </c>
      <c r="B70" s="792" t="s">
        <v>282</v>
      </c>
      <c r="C70" s="792"/>
      <c r="D70" s="789"/>
      <c r="E70" s="780"/>
      <c r="F70" s="783"/>
      <c r="G70" s="786"/>
      <c r="H70" s="795"/>
      <c r="I70" s="85"/>
      <c r="J70" s="85" t="s">
        <v>188</v>
      </c>
      <c r="K70" s="85"/>
      <c r="L70" s="795"/>
      <c r="M70" s="786"/>
      <c r="N70" s="777"/>
      <c r="P70" s="366" t="s">
        <v>3237</v>
      </c>
      <c r="Q70" s="792" t="s">
        <v>274</v>
      </c>
      <c r="R70" s="792"/>
      <c r="S70" s="789"/>
      <c r="T70" s="780"/>
      <c r="U70" s="783"/>
      <c r="V70" s="786"/>
      <c r="W70" s="795"/>
      <c r="X70" s="85"/>
      <c r="Y70" s="85" t="s">
        <v>188</v>
      </c>
      <c r="Z70" s="85"/>
      <c r="AA70" s="795"/>
      <c r="AB70" s="786"/>
      <c r="AC70" s="777"/>
    </row>
    <row r="71" spans="1:29" ht="20.25" customHeight="1" thickTop="1" x14ac:dyDescent="0.45">
      <c r="A71" s="787" t="s">
        <v>1969</v>
      </c>
      <c r="B71" s="787"/>
      <c r="C71" s="787"/>
      <c r="D71" s="788"/>
      <c r="E71" s="15"/>
      <c r="F71" s="16" t="s">
        <v>190</v>
      </c>
      <c r="G71" s="16" t="s">
        <v>1970</v>
      </c>
      <c r="H71" s="16" t="s">
        <v>145</v>
      </c>
      <c r="I71" s="16"/>
      <c r="J71" s="17"/>
      <c r="K71" s="16"/>
      <c r="L71" s="16" t="s">
        <v>145</v>
      </c>
      <c r="M71" s="16" t="s">
        <v>1970</v>
      </c>
      <c r="N71" s="18" t="s">
        <v>190</v>
      </c>
      <c r="P71" s="787" t="s">
        <v>1969</v>
      </c>
      <c r="Q71" s="787"/>
      <c r="R71" s="787"/>
      <c r="S71" s="788"/>
      <c r="T71" s="15"/>
      <c r="U71" s="16" t="s">
        <v>190</v>
      </c>
      <c r="V71" s="16" t="s">
        <v>1970</v>
      </c>
      <c r="W71" s="16" t="s">
        <v>145</v>
      </c>
      <c r="X71" s="16"/>
      <c r="Y71" s="17"/>
      <c r="Z71" s="16"/>
      <c r="AA71" s="16" t="s">
        <v>145</v>
      </c>
      <c r="AB71" s="16" t="s">
        <v>1970</v>
      </c>
      <c r="AC71" s="18" t="s">
        <v>190</v>
      </c>
    </row>
    <row r="72" spans="1:29" ht="20.25" hidden="1" customHeight="1" x14ac:dyDescent="0.45">
      <c r="E72" s="19" t="s">
        <v>228</v>
      </c>
      <c r="F72" s="20" t="str">
        <f>IF(ISERROR(VLOOKUP(CONCATENATE($F$68,"_",G72),選手名簿!$A:$E,5,FALSE))=TRUE,"",VLOOKUP(CONCATENATE($F$68,"_",G72),選手名簿!$A:$E,5,FALSE))</f>
        <v/>
      </c>
      <c r="G72" s="21"/>
      <c r="H72" s="21"/>
      <c r="I72" s="21"/>
      <c r="J72" s="22"/>
      <c r="K72" s="21"/>
      <c r="L72" s="21"/>
      <c r="M72" s="21"/>
      <c r="N72" s="23" t="str">
        <f>IF(ISERROR(VLOOKUP(CONCATENATE($N$68,"_",M72),選手名簿!$A:$E,5,FALSE))=TRUE,"",VLOOKUP(CONCATENATE($N$68,"_",M72),選手名簿!$A:$E,5,FALSE))</f>
        <v/>
      </c>
      <c r="T72" s="19" t="s">
        <v>228</v>
      </c>
      <c r="U72" s="20" t="str">
        <f>IF(ISERROR(VLOOKUP(CONCATENATE($U$68,"_",V72),選手名簿!$A:$E,5,FALSE))=TRUE,"",VLOOKUP(CONCATENATE($U$68,"_",V72),選手名簿!$A:$E,5,FALSE))</f>
        <v/>
      </c>
      <c r="V72" s="21"/>
      <c r="W72" s="21"/>
      <c r="X72" s="21"/>
      <c r="Y72" s="22"/>
      <c r="Z72" s="21"/>
      <c r="AA72" s="21"/>
      <c r="AB72" s="21"/>
      <c r="AC72" s="23" t="str">
        <f>IF(ISERROR(VLOOKUP(CONCATENATE($AC$68,"_",AB72),選手名簿!$A:$E,5,FALSE))=TRUE,"",VLOOKUP(CONCATENATE($AC$68,"_",AB72),選手名簿!$A:$E,5,FALSE))</f>
        <v/>
      </c>
    </row>
    <row r="73" spans="1:29" ht="20.25" hidden="1" customHeight="1" x14ac:dyDescent="0.45">
      <c r="E73" s="19" t="s">
        <v>228</v>
      </c>
      <c r="F73" s="20" t="str">
        <f>IF(ISERROR(VLOOKUP(CONCATENATE($F$68,"_",G73),選手名簿!$A:$E,5,FALSE))=TRUE,"",VLOOKUP(CONCATENATE($F$68,"_",G73),選手名簿!$A:$E,5,FALSE))</f>
        <v/>
      </c>
      <c r="G73" s="21"/>
      <c r="H73" s="21"/>
      <c r="I73" s="21"/>
      <c r="J73" s="22"/>
      <c r="K73" s="21"/>
      <c r="L73" s="21"/>
      <c r="M73" s="21"/>
      <c r="N73" s="23" t="str">
        <f>IF(ISERROR(VLOOKUP(CONCATENATE($N$68,"_",M73),選手名簿!$A:$E,5,FALSE))=TRUE,"",VLOOKUP(CONCATENATE($N$68,"_",M73),選手名簿!$A:$E,5,FALSE))</f>
        <v/>
      </c>
      <c r="T73" s="19" t="s">
        <v>228</v>
      </c>
      <c r="U73" s="20" t="str">
        <f>IF(ISERROR(VLOOKUP(CONCATENATE($U$68,"_",V73),選手名簿!$A:$E,5,FALSE))=TRUE,"",VLOOKUP(CONCATENATE($U$68,"_",V73),選手名簿!$A:$E,5,FALSE))</f>
        <v/>
      </c>
      <c r="V73" s="21"/>
      <c r="W73" s="21"/>
      <c r="X73" s="21"/>
      <c r="Y73" s="22"/>
      <c r="Z73" s="21"/>
      <c r="AA73" s="21"/>
      <c r="AB73" s="21"/>
      <c r="AC73" s="23" t="str">
        <f>IF(ISERROR(VLOOKUP(CONCATENATE($AC$68,"_",AB73),選手名簿!$A:$E,5,FALSE))=TRUE,"",VLOOKUP(CONCATENATE($AC$68,"_",AB73),選手名簿!$A:$E,5,FALSE))</f>
        <v/>
      </c>
    </row>
    <row r="74" spans="1:29" ht="20.25" hidden="1" customHeight="1" x14ac:dyDescent="0.45">
      <c r="E74" s="19" t="s">
        <v>228</v>
      </c>
      <c r="F74" s="20" t="str">
        <f>IF(ISERROR(VLOOKUP(CONCATENATE($F$68,"_",G74),選手名簿!$A:$E,5,FALSE))=TRUE,"",VLOOKUP(CONCATENATE($F$68,"_",G74),選手名簿!$A:$E,5,FALSE))</f>
        <v/>
      </c>
      <c r="G74" s="21"/>
      <c r="H74" s="21"/>
      <c r="I74" s="21"/>
      <c r="J74" s="22"/>
      <c r="K74" s="21"/>
      <c r="L74" s="21"/>
      <c r="M74" s="21"/>
      <c r="N74" s="23" t="str">
        <f>IF(ISERROR(VLOOKUP(CONCATENATE($N$68,"_",M74),選手名簿!$A:$E,5,FALSE))=TRUE,"",VLOOKUP(CONCATENATE($N$68,"_",M74),選手名簿!$A:$E,5,FALSE))</f>
        <v/>
      </c>
      <c r="T74" s="19" t="s">
        <v>228</v>
      </c>
      <c r="U74" s="20" t="str">
        <f>IF(ISERROR(VLOOKUP(CONCATENATE($U$68,"_",V74),選手名簿!$A:$E,5,FALSE))=TRUE,"",VLOOKUP(CONCATENATE($U$68,"_",V74),選手名簿!$A:$E,5,FALSE))</f>
        <v/>
      </c>
      <c r="V74" s="21"/>
      <c r="W74" s="21"/>
      <c r="X74" s="21"/>
      <c r="Y74" s="22"/>
      <c r="Z74" s="21"/>
      <c r="AA74" s="21"/>
      <c r="AB74" s="21"/>
      <c r="AC74" s="23" t="str">
        <f>IF(ISERROR(VLOOKUP(CONCATENATE($AC$68,"_",AB74),選手名簿!$A:$E,5,FALSE))=TRUE,"",VLOOKUP(CONCATENATE($AC$68,"_",AB74),選手名簿!$A:$E,5,FALSE))</f>
        <v/>
      </c>
    </row>
    <row r="75" spans="1:29" ht="20.25" hidden="1" customHeight="1" x14ac:dyDescent="0.45">
      <c r="E75" s="19" t="s">
        <v>228</v>
      </c>
      <c r="F75" s="20" t="str">
        <f>IF(ISERROR(VLOOKUP(CONCATENATE($F$68,"_",G75),選手名簿!$A:$E,5,FALSE))=TRUE,"",VLOOKUP(CONCATENATE($F$68,"_",G75),選手名簿!$A:$E,5,FALSE))</f>
        <v/>
      </c>
      <c r="G75" s="21"/>
      <c r="H75" s="21"/>
      <c r="I75" s="21"/>
      <c r="J75" s="22"/>
      <c r="K75" s="21"/>
      <c r="L75" s="21"/>
      <c r="M75" s="21"/>
      <c r="N75" s="23" t="str">
        <f>IF(ISERROR(VLOOKUP(CONCATENATE($N$68,"_",M75),選手名簿!$A:$E,5,FALSE))=TRUE,"",VLOOKUP(CONCATENATE($N$68,"_",M75),選手名簿!$A:$E,5,FALSE))</f>
        <v/>
      </c>
      <c r="T75" s="19" t="s">
        <v>228</v>
      </c>
      <c r="U75" s="20" t="str">
        <f>IF(ISERROR(VLOOKUP(CONCATENATE($U$68,"_",V75),選手名簿!$A:$E,5,FALSE))=TRUE,"",VLOOKUP(CONCATENATE($U$68,"_",V75),選手名簿!$A:$E,5,FALSE))</f>
        <v/>
      </c>
      <c r="V75" s="21"/>
      <c r="W75" s="21"/>
      <c r="X75" s="21"/>
      <c r="Y75" s="22"/>
      <c r="Z75" s="21"/>
      <c r="AA75" s="21"/>
      <c r="AB75" s="21"/>
      <c r="AC75" s="23" t="str">
        <f>IF(ISERROR(VLOOKUP(CONCATENATE($AC$68,"_",AB75),選手名簿!$A:$E,5,FALSE))=TRUE,"",VLOOKUP(CONCATENATE($AC$68,"_",AB75),選手名簿!$A:$E,5,FALSE))</f>
        <v/>
      </c>
    </row>
    <row r="76" spans="1:29" ht="20.25" hidden="1" customHeight="1" x14ac:dyDescent="0.45">
      <c r="E76" s="19" t="s">
        <v>228</v>
      </c>
      <c r="F76" s="20" t="str">
        <f>IF(ISERROR(VLOOKUP(CONCATENATE($F$68,"_",G76),選手名簿!$A:$E,5,FALSE))=TRUE,"",VLOOKUP(CONCATENATE($F$68,"_",G76),選手名簿!$A:$E,5,FALSE))</f>
        <v/>
      </c>
      <c r="G76" s="21"/>
      <c r="H76" s="21"/>
      <c r="I76" s="21"/>
      <c r="J76" s="22"/>
      <c r="K76" s="21"/>
      <c r="L76" s="21"/>
      <c r="M76" s="21"/>
      <c r="N76" s="23" t="str">
        <f>IF(ISERROR(VLOOKUP(CONCATENATE($N$68,"_",M76),選手名簿!$A:$E,5,FALSE))=TRUE,"",VLOOKUP(CONCATENATE($N$68,"_",M76),選手名簿!$A:$E,5,FALSE))</f>
        <v/>
      </c>
      <c r="T76" s="19" t="s">
        <v>228</v>
      </c>
      <c r="U76" s="20" t="str">
        <f>IF(ISERROR(VLOOKUP(CONCATENATE($U$68,"_",V76),選手名簿!$A:$E,5,FALSE))=TRUE,"",VLOOKUP(CONCATENATE($U$68,"_",V76),選手名簿!$A:$E,5,FALSE))</f>
        <v/>
      </c>
      <c r="V76" s="21"/>
      <c r="W76" s="21"/>
      <c r="X76" s="21"/>
      <c r="Y76" s="22"/>
      <c r="Z76" s="21"/>
      <c r="AA76" s="21"/>
      <c r="AB76" s="21"/>
      <c r="AC76" s="23" t="str">
        <f>IF(ISERROR(VLOOKUP(CONCATENATE($AC$68,"_",AB76),選手名簿!$A:$E,5,FALSE))=TRUE,"",VLOOKUP(CONCATENATE($AC$68,"_",AB76),選手名簿!$A:$E,5,FALSE))</f>
        <v/>
      </c>
    </row>
    <row r="77" spans="1:29" ht="20.25" hidden="1" customHeight="1" x14ac:dyDescent="0.45">
      <c r="E77" s="19" t="s">
        <v>228</v>
      </c>
      <c r="F77" s="20" t="str">
        <f>IF(ISERROR(VLOOKUP(CONCATENATE($F$68,"_",G77),選手名簿!$A:$E,5,FALSE))=TRUE,"",VLOOKUP(CONCATENATE($F$68,"_",G77),選手名簿!$A:$E,5,FALSE))</f>
        <v/>
      </c>
      <c r="G77" s="21"/>
      <c r="H77" s="21"/>
      <c r="I77" s="21"/>
      <c r="J77" s="22"/>
      <c r="K77" s="21"/>
      <c r="L77" s="21"/>
      <c r="M77" s="21"/>
      <c r="N77" s="23" t="str">
        <f>IF(ISERROR(VLOOKUP(CONCATENATE($N$68,"_",M77),選手名簿!$A:$E,5,FALSE))=TRUE,"",VLOOKUP(CONCATENATE($N$68,"_",M77),選手名簿!$A:$E,5,FALSE))</f>
        <v/>
      </c>
      <c r="T77" s="19" t="s">
        <v>228</v>
      </c>
      <c r="U77" s="20" t="str">
        <f>IF(ISERROR(VLOOKUP(CONCATENATE($U$68,"_",V77),選手名簿!$A:$E,5,FALSE))=TRUE,"",VLOOKUP(CONCATENATE($U$68,"_",V77),選手名簿!$A:$E,5,FALSE))</f>
        <v/>
      </c>
      <c r="V77" s="21"/>
      <c r="W77" s="21"/>
      <c r="X77" s="21"/>
      <c r="Y77" s="22"/>
      <c r="Z77" s="21"/>
      <c r="AA77" s="21"/>
      <c r="AB77" s="21"/>
      <c r="AC77" s="23" t="str">
        <f>IF(ISERROR(VLOOKUP(CONCATENATE($AC$68,"_",AB77),選手名簿!$A:$E,5,FALSE))=TRUE,"",VLOOKUP(CONCATENATE($AC$68,"_",AB77),選手名簿!$A:$E,5,FALSE))</f>
        <v/>
      </c>
    </row>
    <row r="78" spans="1:29" ht="20.25" hidden="1" customHeight="1" x14ac:dyDescent="0.45">
      <c r="E78" s="19" t="s">
        <v>228</v>
      </c>
      <c r="F78" s="20" t="str">
        <f>IF(ISERROR(VLOOKUP(CONCATENATE($F$68,"_",G78),選手名簿!$A:$E,5,FALSE))=TRUE,"",VLOOKUP(CONCATENATE($F$68,"_",G78),選手名簿!$A:$E,5,FALSE))</f>
        <v/>
      </c>
      <c r="G78" s="21"/>
      <c r="H78" s="21"/>
      <c r="I78" s="21"/>
      <c r="J78" s="22"/>
      <c r="K78" s="21"/>
      <c r="L78" s="21"/>
      <c r="M78" s="21"/>
      <c r="N78" s="23" t="str">
        <f>IF(ISERROR(VLOOKUP(CONCATENATE($N$68,"_",M78),選手名簿!$A:$E,5,FALSE))=TRUE,"",VLOOKUP(CONCATENATE($N$68,"_",M78),選手名簿!$A:$E,5,FALSE))</f>
        <v/>
      </c>
      <c r="T78" s="19" t="s">
        <v>228</v>
      </c>
      <c r="U78" s="20" t="str">
        <f>IF(ISERROR(VLOOKUP(CONCATENATE($U$68,"_",V78),選手名簿!$A:$E,5,FALSE))=TRUE,"",VLOOKUP(CONCATENATE($U$68,"_",V78),選手名簿!$A:$E,5,FALSE))</f>
        <v/>
      </c>
      <c r="V78" s="21"/>
      <c r="W78" s="21"/>
      <c r="X78" s="21"/>
      <c r="Y78" s="22"/>
      <c r="Z78" s="21"/>
      <c r="AA78" s="21"/>
      <c r="AB78" s="21"/>
      <c r="AC78" s="23" t="str">
        <f>IF(ISERROR(VLOOKUP(CONCATENATE($AC$68,"_",AB78),選手名簿!$A:$E,5,FALSE))=TRUE,"",VLOOKUP(CONCATENATE($AC$68,"_",AB78),選手名簿!$A:$E,5,FALSE))</f>
        <v/>
      </c>
    </row>
    <row r="79" spans="1:29" ht="20.25" hidden="1" customHeight="1" x14ac:dyDescent="0.45">
      <c r="E79" s="19" t="s">
        <v>228</v>
      </c>
      <c r="F79" s="20" t="str">
        <f>IF(ISERROR(VLOOKUP(CONCATENATE($F$68,"_",G79),選手名簿!$A:$E,5,FALSE))=TRUE,"",VLOOKUP(CONCATENATE($F$68,"_",G79),選手名簿!$A:$E,5,FALSE))</f>
        <v/>
      </c>
      <c r="G79" s="21"/>
      <c r="H79" s="21"/>
      <c r="I79" s="21"/>
      <c r="J79" s="22"/>
      <c r="K79" s="21"/>
      <c r="L79" s="21"/>
      <c r="M79" s="21"/>
      <c r="N79" s="23" t="str">
        <f>IF(ISERROR(VLOOKUP(CONCATENATE($N$68,"_",M79),選手名簿!$A:$E,5,FALSE))=TRUE,"",VLOOKUP(CONCATENATE($N$68,"_",M79),選手名簿!$A:$E,5,FALSE))</f>
        <v/>
      </c>
      <c r="T79" s="19" t="s">
        <v>228</v>
      </c>
      <c r="U79" s="20" t="str">
        <f>IF(ISERROR(VLOOKUP(CONCATENATE($U$68,"_",V79),選手名簿!$A:$E,5,FALSE))=TRUE,"",VLOOKUP(CONCATENATE($U$68,"_",V79),選手名簿!$A:$E,5,FALSE))</f>
        <v/>
      </c>
      <c r="V79" s="21"/>
      <c r="W79" s="21"/>
      <c r="X79" s="21"/>
      <c r="Y79" s="22"/>
      <c r="Z79" s="21"/>
      <c r="AA79" s="21"/>
      <c r="AB79" s="21"/>
      <c r="AC79" s="23" t="str">
        <f>IF(ISERROR(VLOOKUP(CONCATENATE($AC$68,"_",AB79),選手名簿!$A:$E,5,FALSE))=TRUE,"",VLOOKUP(CONCATENATE($AC$68,"_",AB79),選手名簿!$A:$E,5,FALSE))</f>
        <v/>
      </c>
    </row>
    <row r="80" spans="1:29" ht="20.25" hidden="1" customHeight="1" x14ac:dyDescent="0.45">
      <c r="E80" s="19" t="s">
        <v>228</v>
      </c>
      <c r="F80" s="20" t="str">
        <f>IF(ISERROR(VLOOKUP(CONCATENATE($F$68,"_",G80),選手名簿!$A:$E,5,FALSE))=TRUE,"",VLOOKUP(CONCATENATE($F$68,"_",G80),選手名簿!$A:$E,5,FALSE))</f>
        <v/>
      </c>
      <c r="G80" s="21"/>
      <c r="H80" s="21"/>
      <c r="I80" s="21"/>
      <c r="J80" s="22"/>
      <c r="K80" s="21"/>
      <c r="L80" s="21"/>
      <c r="M80" s="21"/>
      <c r="N80" s="23" t="str">
        <f>IF(ISERROR(VLOOKUP(CONCATENATE($N$68,"_",M80),選手名簿!$A:$E,5,FALSE))=TRUE,"",VLOOKUP(CONCATENATE($N$68,"_",M80),選手名簿!$A:$E,5,FALSE))</f>
        <v/>
      </c>
      <c r="T80" s="19" t="s">
        <v>228</v>
      </c>
      <c r="U80" s="20" t="str">
        <f>IF(ISERROR(VLOOKUP(CONCATENATE($U$68,"_",V80),選手名簿!$A:$E,5,FALSE))=TRUE,"",VLOOKUP(CONCATENATE($U$68,"_",V80),選手名簿!$A:$E,5,FALSE))</f>
        <v/>
      </c>
      <c r="V80" s="21"/>
      <c r="W80" s="21"/>
      <c r="X80" s="21"/>
      <c r="Y80" s="22"/>
      <c r="Z80" s="21"/>
      <c r="AA80" s="21"/>
      <c r="AB80" s="21"/>
      <c r="AC80" s="23" t="str">
        <f>IF(ISERROR(VLOOKUP(CONCATENATE($AC$68,"_",AB80),選手名簿!$A:$E,5,FALSE))=TRUE,"",VLOOKUP(CONCATENATE($AC$68,"_",AB80),選手名簿!$A:$E,5,FALSE))</f>
        <v/>
      </c>
    </row>
    <row r="81" spans="1:29" ht="20.25" hidden="1" customHeight="1" thickBot="1" x14ac:dyDescent="0.6">
      <c r="E81" s="24" t="s">
        <v>228</v>
      </c>
      <c r="F81" s="25" t="str">
        <f>IF(ISERROR(VLOOKUP(CONCATENATE($F$68,"_",G81),選手名簿!$A:$E,5,FALSE))=TRUE,"",VLOOKUP(CONCATENATE($F$68,"_",G81),選手名簿!$A:$E,5,FALSE))</f>
        <v/>
      </c>
      <c r="G81" s="26"/>
      <c r="H81" s="26"/>
      <c r="I81" s="26"/>
      <c r="J81" s="27"/>
      <c r="K81" s="26"/>
      <c r="L81" s="26"/>
      <c r="M81" s="26"/>
      <c r="N81" s="28" t="str">
        <f>IF(ISERROR(VLOOKUP(CONCATENATE($N$68,"_",M81),選手名簿!$A:$E,5,FALSE))=TRUE,"",VLOOKUP(CONCATENATE($N$68,"_",M81),選手名簿!$A:$E,5,FALSE))</f>
        <v/>
      </c>
      <c r="T81" s="24" t="s">
        <v>228</v>
      </c>
      <c r="U81" s="25" t="str">
        <f>IF(ISERROR(VLOOKUP(CONCATENATE($U$68,"_",V81),選手名簿!$A:$E,5,FALSE))=TRUE,"",VLOOKUP(CONCATENATE($U$68,"_",V81),選手名簿!$A:$E,5,FALSE))</f>
        <v/>
      </c>
      <c r="V81" s="26"/>
      <c r="W81" s="26"/>
      <c r="X81" s="26"/>
      <c r="Y81" s="27"/>
      <c r="Z81" s="26"/>
      <c r="AA81" s="26"/>
      <c r="AB81" s="26"/>
      <c r="AC81" s="28" t="str">
        <f>IF(ISERROR(VLOOKUP(CONCATENATE($AC$68,"_",AB81),選手名簿!$A:$E,5,FALSE))=TRUE,"",VLOOKUP(CONCATENATE($AC$68,"_",AB81),選手名簿!$A:$E,5,FALSE))</f>
        <v/>
      </c>
    </row>
    <row r="82" spans="1:29" ht="20.25" customHeight="1" x14ac:dyDescent="0.45">
      <c r="A82" s="29" t="s">
        <v>226</v>
      </c>
      <c r="B82" s="774" t="s">
        <v>1759</v>
      </c>
      <c r="C82" s="774"/>
      <c r="D82" s="774"/>
      <c r="E82" s="19" t="s">
        <v>196</v>
      </c>
      <c r="F82" s="20" t="str">
        <f>IF(ISERROR(VLOOKUP(CONCATENATE($F$68,"_",G82),選手名簿!$A:$E,5,FALSE))=TRUE,"",VLOOKUP(CONCATENATE($F$68,"_",G82),選手名簿!$A:$E,5,FALSE))</f>
        <v/>
      </c>
      <c r="G82" s="21"/>
      <c r="H82" s="21"/>
      <c r="I82" s="21"/>
      <c r="J82" s="22"/>
      <c r="K82" s="458" t="s">
        <v>11872</v>
      </c>
      <c r="L82" s="21">
        <v>18</v>
      </c>
      <c r="M82" s="21">
        <v>10</v>
      </c>
      <c r="N82" s="23" t="str">
        <f>IF(ISERROR(VLOOKUP(CONCATENATE($N$68,"_",M82),選手名簿!$A:$E,5,FALSE))=TRUE,"",VLOOKUP(CONCATENATE($N$68,"_",M82),選手名簿!$A:$E,5,FALSE))</f>
        <v>林　蔵人</v>
      </c>
      <c r="P82" s="29" t="s">
        <v>226</v>
      </c>
      <c r="Q82" s="774" t="s">
        <v>1588</v>
      </c>
      <c r="R82" s="774"/>
      <c r="S82" s="774"/>
      <c r="T82" s="19" t="s">
        <v>196</v>
      </c>
      <c r="U82" s="20" t="str">
        <f>IF(ISERROR(VLOOKUP(CONCATENATE($U$68,"_",V82),選手名簿!$A:$E,5,FALSE))=TRUE,"",VLOOKUP(CONCATENATE($U$68,"_",V82),選手名簿!$A:$E,5,FALSE))</f>
        <v/>
      </c>
      <c r="V82" s="21"/>
      <c r="W82" s="21"/>
      <c r="X82" s="21"/>
      <c r="Y82" s="22"/>
      <c r="Z82" s="21"/>
      <c r="AA82" s="21"/>
      <c r="AB82" s="21"/>
      <c r="AC82" s="23" t="str">
        <f>IF(ISERROR(VLOOKUP(CONCATENATE($AC$68,"_",AB82),選手名簿!$A:$E,5,FALSE))=TRUE,"",VLOOKUP(CONCATENATE($AC$68,"_",AB82),選手名簿!$A:$E,5,FALSE))</f>
        <v/>
      </c>
    </row>
    <row r="83" spans="1:29" ht="20.25" customHeight="1" x14ac:dyDescent="0.45">
      <c r="A83" s="83" t="s">
        <v>1959</v>
      </c>
      <c r="B83" s="769" t="str">
        <f>IF(ISERROR(VLOOKUP(B82,審判員!$A:$C,2,FALSE))=TRUE,"",VLOOKUP(B82,審判員!$A:$C,2,FALSE))</f>
        <v>寺次　良生</v>
      </c>
      <c r="C83" s="770"/>
      <c r="D83" s="83" t="str">
        <f>IF(ISERROR(VLOOKUP(B82,審判員!$A:$C,3,FALSE))=TRUE,"",VLOOKUP(B82,審判員!$A:$C,3,FALSE))</f>
        <v>３級</v>
      </c>
      <c r="E83" s="31" t="s">
        <v>196</v>
      </c>
      <c r="F83" s="32" t="str">
        <f>IF(ISERROR(VLOOKUP(CONCATENATE($F$68,"_",G83),選手名簿!$A:$E,5,FALSE))=TRUE,"",VLOOKUP(CONCATENATE($F$68,"_",G83),選手名簿!$A:$E,5,FALSE))</f>
        <v/>
      </c>
      <c r="G83" s="33"/>
      <c r="H83" s="33"/>
      <c r="I83" s="33"/>
      <c r="J83" s="22"/>
      <c r="K83" s="33"/>
      <c r="L83" s="33"/>
      <c r="M83" s="33"/>
      <c r="N83" s="34" t="str">
        <f>IF(ISERROR(VLOOKUP(CONCATENATE($N$68,"_",M83),選手名簿!$A:$E,5,FALSE))=TRUE,"",VLOOKUP(CONCATENATE($N$68,"_",M83),選手名簿!$A:$E,5,FALSE))</f>
        <v/>
      </c>
      <c r="P83" s="83" t="s">
        <v>1959</v>
      </c>
      <c r="Q83" s="769" t="str">
        <f>IF(ISERROR(VLOOKUP(Q82,審判員!$A:$C,2,FALSE))=TRUE,"",VLOOKUP(Q82,審判員!$A:$C,2,FALSE))</f>
        <v>田尻　貴志</v>
      </c>
      <c r="R83" s="770"/>
      <c r="S83" s="83" t="str">
        <f>IF(ISERROR(VLOOKUP(Q82,審判員!$A:$C,3,FALSE))=TRUE,"",VLOOKUP(Q82,審判員!$A:$C,3,FALSE))</f>
        <v>３級</v>
      </c>
      <c r="T83" s="31" t="s">
        <v>196</v>
      </c>
      <c r="U83" s="32" t="str">
        <f>IF(ISERROR(VLOOKUP(CONCATENATE($U$68,"_",V83),選手名簿!$A:$E,5,FALSE))=TRUE,"",VLOOKUP(CONCATENATE($U$68,"_",V83),選手名簿!$A:$E,5,FALSE))</f>
        <v/>
      </c>
      <c r="V83" s="33"/>
      <c r="W83" s="33"/>
      <c r="X83" s="33"/>
      <c r="Y83" s="22"/>
      <c r="Z83" s="33"/>
      <c r="AA83" s="33"/>
      <c r="AB83" s="33"/>
      <c r="AC83" s="34" t="str">
        <f>IF(ISERROR(VLOOKUP(CONCATENATE($AC$68,"_",AB83),選手名簿!$A:$E,5,FALSE))=TRUE,"",VLOOKUP(CONCATENATE($AC$68,"_",AB83),選手名簿!$A:$E,5,FALSE))</f>
        <v/>
      </c>
    </row>
    <row r="84" spans="1:29" ht="20.25" customHeight="1" x14ac:dyDescent="0.45">
      <c r="A84" s="29" t="s">
        <v>226</v>
      </c>
      <c r="B84" s="771" t="s">
        <v>11864</v>
      </c>
      <c r="C84" s="771"/>
      <c r="D84" s="772"/>
      <c r="E84" s="31" t="s">
        <v>196</v>
      </c>
      <c r="F84" s="32" t="str">
        <f>IF(ISERROR(VLOOKUP(CONCATENATE($F$68,"_",G84),選手名簿!$A:$E,5,FALSE))=TRUE,"",VLOOKUP(CONCATENATE($F$68,"_",G84),選手名簿!$A:$E,5,FALSE))</f>
        <v/>
      </c>
      <c r="G84" s="33"/>
      <c r="H84" s="33"/>
      <c r="I84" s="33"/>
      <c r="J84" s="22"/>
      <c r="K84" s="33"/>
      <c r="L84" s="33"/>
      <c r="M84" s="33"/>
      <c r="N84" s="34" t="str">
        <f>IF(ISERROR(VLOOKUP(CONCATENATE($N$68,"_",M84),選手名簿!$A:$E,5,FALSE))=TRUE,"",VLOOKUP(CONCATENATE($N$68,"_",M84),選手名簿!$A:$E,5,FALSE))</f>
        <v/>
      </c>
      <c r="P84" s="29" t="s">
        <v>226</v>
      </c>
      <c r="Q84" s="771" t="s">
        <v>11869</v>
      </c>
      <c r="R84" s="771"/>
      <c r="S84" s="772"/>
      <c r="T84" s="31" t="s">
        <v>196</v>
      </c>
      <c r="U84" s="32" t="str">
        <f>IF(ISERROR(VLOOKUP(CONCATENATE($U$68,"_",V84),選手名簿!$A:$E,5,FALSE))=TRUE,"",VLOOKUP(CONCATENATE($U$68,"_",V84),選手名簿!$A:$E,5,FALSE))</f>
        <v/>
      </c>
      <c r="V84" s="33"/>
      <c r="W84" s="33"/>
      <c r="X84" s="33"/>
      <c r="Y84" s="22"/>
      <c r="Z84" s="33"/>
      <c r="AA84" s="33"/>
      <c r="AB84" s="33"/>
      <c r="AC84" s="34" t="str">
        <f>IF(ISERROR(VLOOKUP(CONCATENATE($AC$68,"_",AB84),選手名簿!$A:$E,5,FALSE))=TRUE,"",VLOOKUP(CONCATENATE($AC$68,"_",AB84),選手名簿!$A:$E,5,FALSE))</f>
        <v/>
      </c>
    </row>
    <row r="85" spans="1:29" ht="20.25" customHeight="1" x14ac:dyDescent="0.45">
      <c r="A85" s="83" t="s">
        <v>1966</v>
      </c>
      <c r="B85" s="769" t="str">
        <f>IF(ISERROR(VLOOKUP(B84,審判員!$A:$C,2,FALSE))=TRUE,"",VLOOKUP(B84,審判員!$A:$C,2,FALSE))</f>
        <v>野中　裕介</v>
      </c>
      <c r="C85" s="770"/>
      <c r="D85" s="83" t="str">
        <f>IF(ISERROR(VLOOKUP(B84,審判員!$A:$C,3,FALSE))=TRUE,"",VLOOKUP(B84,審判員!$A:$C,3,FALSE))</f>
        <v>３級</v>
      </c>
      <c r="E85" s="31" t="s">
        <v>196</v>
      </c>
      <c r="F85" s="32" t="str">
        <f>IF(ISERROR(VLOOKUP(CONCATENATE($F$68,"_",G85),選手名簿!$A:$E,5,FALSE))=TRUE,"",VLOOKUP(CONCATENATE($F$68,"_",G85),選手名簿!$A:$E,5,FALSE))</f>
        <v/>
      </c>
      <c r="G85" s="33"/>
      <c r="H85" s="33"/>
      <c r="I85" s="33"/>
      <c r="J85" s="22"/>
      <c r="K85" s="33"/>
      <c r="L85" s="33"/>
      <c r="M85" s="33"/>
      <c r="N85" s="34" t="str">
        <f>IF(ISERROR(VLOOKUP(CONCATENATE($N$68,"_",M85),選手名簿!$A:$E,5,FALSE))=TRUE,"",VLOOKUP(CONCATENATE($N$68,"_",M85),選手名簿!$A:$E,5,FALSE))</f>
        <v/>
      </c>
      <c r="P85" s="83" t="s">
        <v>1966</v>
      </c>
      <c r="Q85" s="769" t="str">
        <f>IF(ISERROR(VLOOKUP(Q84,審判員!$A:$C,2,FALSE))=TRUE,"",VLOOKUP(Q84,審判員!$A:$C,2,FALSE))</f>
        <v>石井　洋平</v>
      </c>
      <c r="R85" s="770"/>
      <c r="S85" s="83" t="str">
        <f>IF(ISERROR(VLOOKUP(Q84,審判員!$A:$C,3,FALSE))=TRUE,"",VLOOKUP(Q84,審判員!$A:$C,3,FALSE))</f>
        <v>３級</v>
      </c>
      <c r="T85" s="31" t="s">
        <v>196</v>
      </c>
      <c r="U85" s="32" t="str">
        <f>IF(ISERROR(VLOOKUP(CONCATENATE($U$68,"_",V85),選手名簿!$A:$E,5,FALSE))=TRUE,"",VLOOKUP(CONCATENATE($U$68,"_",V85),選手名簿!$A:$E,5,FALSE))</f>
        <v/>
      </c>
      <c r="V85" s="33"/>
      <c r="W85" s="33"/>
      <c r="X85" s="33"/>
      <c r="Y85" s="22"/>
      <c r="Z85" s="33"/>
      <c r="AA85" s="33"/>
      <c r="AB85" s="33"/>
      <c r="AC85" s="34" t="str">
        <f>IF(ISERROR(VLOOKUP(CONCATENATE($AC$68,"_",AB85),選手名簿!$A:$E,5,FALSE))=TRUE,"",VLOOKUP(CONCATENATE($AC$68,"_",AB85),選手名簿!$A:$E,5,FALSE))</f>
        <v/>
      </c>
    </row>
    <row r="86" spans="1:29" ht="20.25" customHeight="1" x14ac:dyDescent="0.45">
      <c r="A86" s="29" t="s">
        <v>226</v>
      </c>
      <c r="B86" s="771" t="s">
        <v>11846</v>
      </c>
      <c r="C86" s="771"/>
      <c r="D86" s="772"/>
      <c r="E86" s="31" t="s">
        <v>196</v>
      </c>
      <c r="F86" s="32" t="str">
        <f>IF(ISERROR(VLOOKUP(CONCATENATE($F$68,"_",G86),選手名簿!$A:$E,5,FALSE))=TRUE,"",VLOOKUP(CONCATENATE($F$68,"_",G86),選手名簿!$A:$E,5,FALSE))</f>
        <v/>
      </c>
      <c r="G86" s="33"/>
      <c r="H86" s="33"/>
      <c r="I86" s="33"/>
      <c r="J86" s="22"/>
      <c r="K86" s="33"/>
      <c r="L86" s="33"/>
      <c r="M86" s="33"/>
      <c r="N86" s="34" t="str">
        <f>IF(ISERROR(VLOOKUP(CONCATENATE($N$68,"_",M86),選手名簿!$A:$E,5,FALSE))=TRUE,"",VLOOKUP(CONCATENATE($N$68,"_",M86),選手名簿!$A:$E,5,FALSE))</f>
        <v/>
      </c>
      <c r="P86" s="29" t="s">
        <v>226</v>
      </c>
      <c r="Q86" s="771" t="s">
        <v>11875</v>
      </c>
      <c r="R86" s="771"/>
      <c r="S86" s="772"/>
      <c r="T86" s="31" t="s">
        <v>196</v>
      </c>
      <c r="U86" s="32" t="str">
        <f>IF(ISERROR(VLOOKUP(CONCATENATE($U$68,"_",V86),選手名簿!$A:$E,5,FALSE))=TRUE,"",VLOOKUP(CONCATENATE($U$68,"_",V86),選手名簿!$A:$E,5,FALSE))</f>
        <v/>
      </c>
      <c r="V86" s="33"/>
      <c r="W86" s="33"/>
      <c r="X86" s="33"/>
      <c r="Y86" s="22"/>
      <c r="Z86" s="33"/>
      <c r="AA86" s="33"/>
      <c r="AB86" s="33"/>
      <c r="AC86" s="34" t="str">
        <f>IF(ISERROR(VLOOKUP(CONCATENATE($AC$68,"_",AB86),選手名簿!$A:$E,5,FALSE))=TRUE,"",VLOOKUP(CONCATENATE($AC$68,"_",AB86),選手名簿!$A:$E,5,FALSE))</f>
        <v/>
      </c>
    </row>
    <row r="87" spans="1:29" ht="20.25" customHeight="1" x14ac:dyDescent="0.45">
      <c r="A87" s="83" t="s">
        <v>1967</v>
      </c>
      <c r="B87" s="769" t="str">
        <f>IF(ISERROR(VLOOKUP(B86,審判員!$A:$C,2,FALSE))=TRUE,"",VLOOKUP(B86,審判員!$A:$C,2,FALSE))</f>
        <v>横山　大悟</v>
      </c>
      <c r="C87" s="770"/>
      <c r="D87" s="83" t="str">
        <f>IF(ISERROR(VLOOKUP(B86,審判員!$A:$C,3,FALSE))=TRUE,"",VLOOKUP(B86,審判員!$A:$C,3,FALSE))</f>
        <v>３級</v>
      </c>
      <c r="E87" s="31" t="s">
        <v>196</v>
      </c>
      <c r="F87" s="32" t="str">
        <f>IF(ISERROR(VLOOKUP(CONCATENATE($F$68,"_",G87),選手名簿!$A:$E,5,FALSE))=TRUE,"",VLOOKUP(CONCATENATE($F$68,"_",G87),選手名簿!$A:$E,5,FALSE))</f>
        <v/>
      </c>
      <c r="G87" s="33"/>
      <c r="H87" s="33"/>
      <c r="I87" s="33"/>
      <c r="J87" s="22"/>
      <c r="K87" s="33"/>
      <c r="L87" s="33"/>
      <c r="M87" s="33"/>
      <c r="N87" s="34" t="str">
        <f>IF(ISERROR(VLOOKUP(CONCATENATE($N$68,"_",M87),選手名簿!$A:$E,5,FALSE))=TRUE,"",VLOOKUP(CONCATENATE($N$68,"_",M87),選手名簿!$A:$E,5,FALSE))</f>
        <v/>
      </c>
      <c r="P87" s="83" t="s">
        <v>1967</v>
      </c>
      <c r="Q87" s="769" t="str">
        <f>IF(ISERROR(VLOOKUP(Q86,審判員!$A:$C,2,FALSE))=TRUE,"",VLOOKUP(Q86,審判員!$A:$C,2,FALSE))</f>
        <v>中野　匠</v>
      </c>
      <c r="R87" s="770"/>
      <c r="S87" s="83" t="str">
        <f>IF(ISERROR(VLOOKUP(Q86,審判員!$A:$C,3,FALSE))=TRUE,"",VLOOKUP(Q86,審判員!$A:$C,3,FALSE))</f>
        <v>３級</v>
      </c>
      <c r="T87" s="31" t="s">
        <v>196</v>
      </c>
      <c r="U87" s="32" t="str">
        <f>IF(ISERROR(VLOOKUP(CONCATENATE($U$68,"_",V87),選手名簿!$A:$E,5,FALSE))=TRUE,"",VLOOKUP(CONCATENATE($U$68,"_",V87),選手名簿!$A:$E,5,FALSE))</f>
        <v/>
      </c>
      <c r="V87" s="33"/>
      <c r="W87" s="33"/>
      <c r="X87" s="33"/>
      <c r="Y87" s="22"/>
      <c r="Z87" s="33"/>
      <c r="AA87" s="33"/>
      <c r="AB87" s="33"/>
      <c r="AC87" s="34" t="str">
        <f>IF(ISERROR(VLOOKUP(CONCATENATE($AC$68,"_",AB87),選手名簿!$A:$E,5,FALSE))=TRUE,"",VLOOKUP(CONCATENATE($AC$68,"_",AB87),選手名簿!$A:$E,5,FALSE))</f>
        <v/>
      </c>
    </row>
    <row r="88" spans="1:29" ht="20.25" customHeight="1" x14ac:dyDescent="0.45">
      <c r="A88" s="29" t="s">
        <v>226</v>
      </c>
      <c r="B88" s="774" t="s">
        <v>1588</v>
      </c>
      <c r="C88" s="774"/>
      <c r="D88" s="774"/>
      <c r="E88" s="31" t="s">
        <v>196</v>
      </c>
      <c r="F88" s="32" t="str">
        <f>IF(ISERROR(VLOOKUP(CONCATENATE($F$68,"_",G88),選手名簿!$A:$E,5,FALSE))=TRUE,"",VLOOKUP(CONCATENATE($F$68,"_",G88),選手名簿!$A:$E,5,FALSE))</f>
        <v/>
      </c>
      <c r="G88" s="33"/>
      <c r="H88" s="33"/>
      <c r="I88" s="33"/>
      <c r="J88" s="22"/>
      <c r="K88" s="33"/>
      <c r="L88" s="33"/>
      <c r="M88" s="33"/>
      <c r="N88" s="34" t="str">
        <f>IF(ISERROR(VLOOKUP(CONCATENATE($N$68,"_",M88),選手名簿!$A:$E,5,FALSE))=TRUE,"",VLOOKUP(CONCATENATE($N$68,"_",M88),選手名簿!$A:$E,5,FALSE))</f>
        <v/>
      </c>
      <c r="P88" s="29" t="s">
        <v>226</v>
      </c>
      <c r="Q88" s="774" t="s">
        <v>1245</v>
      </c>
      <c r="R88" s="774"/>
      <c r="S88" s="774"/>
      <c r="T88" s="31" t="s">
        <v>196</v>
      </c>
      <c r="U88" s="32" t="str">
        <f>IF(ISERROR(VLOOKUP(CONCATENATE($U$68,"_",V88),選手名簿!$A:$E,5,FALSE))=TRUE,"",VLOOKUP(CONCATENATE($U$68,"_",V88),選手名簿!$A:$E,5,FALSE))</f>
        <v/>
      </c>
      <c r="V88" s="33"/>
      <c r="W88" s="33"/>
      <c r="X88" s="33"/>
      <c r="Y88" s="22"/>
      <c r="Z88" s="33"/>
      <c r="AA88" s="33"/>
      <c r="AB88" s="33"/>
      <c r="AC88" s="34" t="str">
        <f>IF(ISERROR(VLOOKUP(CONCATENATE($AC$68,"_",AB88),選手名簿!$A:$E,5,FALSE))=TRUE,"",VLOOKUP(CONCATENATE($AC$68,"_",AB88),選手名簿!$A:$E,5,FALSE))</f>
        <v/>
      </c>
    </row>
    <row r="89" spans="1:29" ht="20.25" customHeight="1" thickBot="1" x14ac:dyDescent="0.6">
      <c r="A89" s="83" t="s">
        <v>1968</v>
      </c>
      <c r="B89" s="769" t="str">
        <f>IF(ISERROR(VLOOKUP(B88,審判員!$A:$C,2,FALSE))=TRUE,"",VLOOKUP(B88,審判員!$A:$C,2,FALSE))</f>
        <v>田尻　貴志</v>
      </c>
      <c r="C89" s="770"/>
      <c r="D89" s="83" t="str">
        <f>IF(ISERROR(VLOOKUP(B88,審判員!$A:$C,3,FALSE))=TRUE,"",VLOOKUP(B88,審判員!$A:$C,3,FALSE))</f>
        <v>３級</v>
      </c>
      <c r="E89" s="35" t="s">
        <v>196</v>
      </c>
      <c r="F89" s="36" t="str">
        <f>IF(ISERROR(VLOOKUP(CONCATENATE($F$68,"_",G89),選手名簿!$A:$E,5,FALSE))=TRUE,"",VLOOKUP(CONCATENATE($F$68,"_",G89),選手名簿!$A:$E,5,FALSE))</f>
        <v/>
      </c>
      <c r="G89" s="37"/>
      <c r="H89" s="37"/>
      <c r="I89" s="37"/>
      <c r="J89" s="27"/>
      <c r="K89" s="37"/>
      <c r="L89" s="37"/>
      <c r="M89" s="37"/>
      <c r="N89" s="38" t="str">
        <f>IF(ISERROR(VLOOKUP(CONCATENATE($N$68,"_",M89),選手名簿!$A:$E,5,FALSE))=TRUE,"",VLOOKUP(CONCATENATE($N$68,"_",M89),選手名簿!$A:$E,5,FALSE))</f>
        <v/>
      </c>
      <c r="P89" s="83" t="s">
        <v>1968</v>
      </c>
      <c r="Q89" s="769" t="str">
        <f>IF(ISERROR(VLOOKUP(Q88,審判員!$A:$C,2,FALSE))=TRUE,"",VLOOKUP(Q88,審判員!$A:$C,2,FALSE))</f>
        <v>久保　雅敬</v>
      </c>
      <c r="R89" s="770"/>
      <c r="S89" s="83" t="str">
        <f>IF(ISERROR(VLOOKUP(Q88,審判員!$A:$C,3,FALSE))=TRUE,"",VLOOKUP(Q88,審判員!$A:$C,3,FALSE))</f>
        <v>３級</v>
      </c>
      <c r="T89" s="35" t="s">
        <v>196</v>
      </c>
      <c r="U89" s="36" t="str">
        <f>IF(ISERROR(VLOOKUP(CONCATENATE($U$68,"_",V89),選手名簿!$A:$E,5,FALSE))=TRUE,"",VLOOKUP(CONCATENATE($U$68,"_",V89),選手名簿!$A:$E,5,FALSE))</f>
        <v/>
      </c>
      <c r="V89" s="37"/>
      <c r="W89" s="37"/>
      <c r="X89" s="37"/>
      <c r="Y89" s="27"/>
      <c r="Z89" s="37"/>
      <c r="AA89" s="37"/>
      <c r="AB89" s="37"/>
      <c r="AC89" s="38" t="str">
        <f>IF(ISERROR(VLOOKUP(CONCATENATE($AC$68,"_",AB89),選手名簿!$A:$E,5,FALSE))=TRUE,"",VLOOKUP(CONCATENATE($AC$68,"_",AB89),選手名簿!$A:$E,5,FALSE))</f>
        <v/>
      </c>
    </row>
  </sheetData>
  <mergeCells count="130">
    <mergeCell ref="V39:V41"/>
    <mergeCell ref="AB7:AC7"/>
    <mergeCell ref="T10:T12"/>
    <mergeCell ref="U10:U12"/>
    <mergeCell ref="W10:W12"/>
    <mergeCell ref="M7:N7"/>
    <mergeCell ref="M10:M12"/>
    <mergeCell ref="N10:N12"/>
    <mergeCell ref="F7:L7"/>
    <mergeCell ref="W39:W41"/>
    <mergeCell ref="AA39:AA41"/>
    <mergeCell ref="AB39:AB41"/>
    <mergeCell ref="AC39:AC41"/>
    <mergeCell ref="P13:S13"/>
    <mergeCell ref="F39:F41"/>
    <mergeCell ref="G39:G41"/>
    <mergeCell ref="A1:J1"/>
    <mergeCell ref="K1:N1"/>
    <mergeCell ref="P1:Y1"/>
    <mergeCell ref="Z1:AC1"/>
    <mergeCell ref="B24:D24"/>
    <mergeCell ref="B25:C25"/>
    <mergeCell ref="T39:T41"/>
    <mergeCell ref="U39:U41"/>
    <mergeCell ref="H10:H12"/>
    <mergeCell ref="L10:L12"/>
    <mergeCell ref="E10:E12"/>
    <mergeCell ref="F10:F12"/>
    <mergeCell ref="Q24:S24"/>
    <mergeCell ref="B26:D26"/>
    <mergeCell ref="Q26:S26"/>
    <mergeCell ref="B27:C27"/>
    <mergeCell ref="Q27:R27"/>
    <mergeCell ref="B28:D28"/>
    <mergeCell ref="Q28:S28"/>
    <mergeCell ref="M39:M41"/>
    <mergeCell ref="N39:N41"/>
    <mergeCell ref="B29:C29"/>
    <mergeCell ref="M5:N5"/>
    <mergeCell ref="F5:L5"/>
    <mergeCell ref="U5:AA5"/>
    <mergeCell ref="Q25:R25"/>
    <mergeCell ref="AA10:AA12"/>
    <mergeCell ref="AB10:AB12"/>
    <mergeCell ref="AC10:AC12"/>
    <mergeCell ref="V10:V12"/>
    <mergeCell ref="U6:AA6"/>
    <mergeCell ref="U7:AA7"/>
    <mergeCell ref="AB5:AC5"/>
    <mergeCell ref="AB6:AC6"/>
    <mergeCell ref="Q10:S10"/>
    <mergeCell ref="Q11:S11"/>
    <mergeCell ref="Q12:S12"/>
    <mergeCell ref="B40:D40"/>
    <mergeCell ref="B41:D41"/>
    <mergeCell ref="Q39:S39"/>
    <mergeCell ref="Q40:S40"/>
    <mergeCell ref="Q41:S41"/>
    <mergeCell ref="L39:L41"/>
    <mergeCell ref="F6:L6"/>
    <mergeCell ref="M6:N6"/>
    <mergeCell ref="Q29:R29"/>
    <mergeCell ref="B30:D30"/>
    <mergeCell ref="Q30:S30"/>
    <mergeCell ref="B31:C31"/>
    <mergeCell ref="Q31:R31"/>
    <mergeCell ref="G10:G12"/>
    <mergeCell ref="E39:E41"/>
    <mergeCell ref="A13:D13"/>
    <mergeCell ref="B10:D10"/>
    <mergeCell ref="B11:D11"/>
    <mergeCell ref="B12:D12"/>
    <mergeCell ref="AC68:AC70"/>
    <mergeCell ref="B82:D82"/>
    <mergeCell ref="Q82:S82"/>
    <mergeCell ref="B83:C83"/>
    <mergeCell ref="Q83:R83"/>
    <mergeCell ref="B84:D84"/>
    <mergeCell ref="Q84:S84"/>
    <mergeCell ref="T68:T70"/>
    <mergeCell ref="U68:U70"/>
    <mergeCell ref="V68:V70"/>
    <mergeCell ref="A71:D71"/>
    <mergeCell ref="P71:S71"/>
    <mergeCell ref="M68:M70"/>
    <mergeCell ref="N68:N70"/>
    <mergeCell ref="W68:W70"/>
    <mergeCell ref="AA68:AA70"/>
    <mergeCell ref="AB68:AB70"/>
    <mergeCell ref="Q68:S68"/>
    <mergeCell ref="Q69:S69"/>
    <mergeCell ref="Q70:S70"/>
    <mergeCell ref="B68:D68"/>
    <mergeCell ref="B69:D69"/>
    <mergeCell ref="B70:D70"/>
    <mergeCell ref="E68:E70"/>
    <mergeCell ref="B88:D88"/>
    <mergeCell ref="Q88:S88"/>
    <mergeCell ref="B89:C89"/>
    <mergeCell ref="Q89:R89"/>
    <mergeCell ref="B85:C85"/>
    <mergeCell ref="Q85:R85"/>
    <mergeCell ref="B86:D86"/>
    <mergeCell ref="Q86:S86"/>
    <mergeCell ref="B87:C87"/>
    <mergeCell ref="Q87:R87"/>
    <mergeCell ref="B60:C60"/>
    <mergeCell ref="Q60:R60"/>
    <mergeCell ref="F68:F70"/>
    <mergeCell ref="G68:G70"/>
    <mergeCell ref="H68:H70"/>
    <mergeCell ref="L68:L70"/>
    <mergeCell ref="B53:D53"/>
    <mergeCell ref="Q53:S53"/>
    <mergeCell ref="H39:H41"/>
    <mergeCell ref="Q58:R58"/>
    <mergeCell ref="B59:D59"/>
    <mergeCell ref="Q59:S59"/>
    <mergeCell ref="B54:C54"/>
    <mergeCell ref="Q54:R54"/>
    <mergeCell ref="B55:D55"/>
    <mergeCell ref="Q55:S55"/>
    <mergeCell ref="B56:C56"/>
    <mergeCell ref="Q56:R56"/>
    <mergeCell ref="B58:C58"/>
    <mergeCell ref="A42:D42"/>
    <mergeCell ref="P42:S42"/>
    <mergeCell ref="B57:D57"/>
    <mergeCell ref="Q57:S57"/>
    <mergeCell ref="B39:D39"/>
  </mergeCells>
  <phoneticPr fontId="5"/>
  <printOptions horizontalCentered="1" verticalCentered="1"/>
  <pageMargins left="0" right="0" top="0" bottom="0" header="0" footer="0.51181102362204722"/>
  <pageSetup paperSize="9" scale="4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B96C983E-455A-4489-A0A2-B0DA5D548138}">
          <x14:formula1>
            <xm:f>項目!$G$1:$G$33</xm:f>
          </x14:formula1>
          <xm:sqref>B10:D12 Q68:S70 B68:D70 B39:D41 Q39:S41 Q10:S12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pageSetUpPr fitToPage="1"/>
  </sheetPr>
  <dimension ref="A1:AC89"/>
  <sheetViews>
    <sheetView zoomScale="70" zoomScaleNormal="70" workbookViewId="0">
      <selection activeCell="G3" sqref="G3:L3"/>
    </sheetView>
  </sheetViews>
  <sheetFormatPr defaultColWidth="9" defaultRowHeight="20.25" customHeight="1" x14ac:dyDescent="0.45"/>
  <cols>
    <col min="1" max="1" width="12.1328125" style="9" customWidth="1"/>
    <col min="2" max="2" width="11.86328125" style="9" bestFit="1" customWidth="1"/>
    <col min="3" max="3" width="3.1328125" style="9" customWidth="1"/>
    <col min="4" max="4" width="6.7265625" style="9" bestFit="1" customWidth="1"/>
    <col min="5" max="5" width="10.1328125" style="9" bestFit="1" customWidth="1"/>
    <col min="6" max="6" width="20.6328125" style="9" customWidth="1"/>
    <col min="7" max="7" width="7.6328125" style="9" customWidth="1"/>
    <col min="8" max="9" width="4.86328125" style="9" customWidth="1"/>
    <col min="10" max="10" width="5.2265625" style="9" customWidth="1"/>
    <col min="11" max="12" width="4.86328125" style="9" customWidth="1"/>
    <col min="13" max="13" width="7.6328125" style="9" customWidth="1"/>
    <col min="14" max="14" width="20.6328125" style="9" customWidth="1"/>
    <col min="15" max="15" width="5" style="9" bestFit="1" customWidth="1"/>
    <col min="16" max="16" width="12.1328125" style="9" customWidth="1"/>
    <col min="17" max="17" width="11.86328125" style="9" bestFit="1" customWidth="1"/>
    <col min="18" max="18" width="3.1328125" style="9" customWidth="1"/>
    <col min="19" max="19" width="6.7265625" style="9" bestFit="1" customWidth="1"/>
    <col min="20" max="20" width="10.1328125" style="9" bestFit="1" customWidth="1"/>
    <col min="21" max="21" width="20.6328125" style="9" customWidth="1"/>
    <col min="22" max="22" width="7.6328125" style="9" customWidth="1"/>
    <col min="23" max="24" width="4.86328125" style="9" customWidth="1"/>
    <col min="25" max="25" width="5.2265625" style="9" customWidth="1"/>
    <col min="26" max="27" width="4.86328125" style="9" customWidth="1"/>
    <col min="28" max="28" width="7.6328125" style="9" customWidth="1"/>
    <col min="29" max="29" width="20.6328125" style="9" customWidth="1"/>
    <col min="30" max="16384" width="9" style="9"/>
  </cols>
  <sheetData>
    <row r="1" spans="1:29" s="8" customFormat="1" ht="20.25" customHeight="1" x14ac:dyDescent="0.45">
      <c r="A1" s="800" t="str">
        <f>大会要項!$B$3</f>
        <v>第12回 全日本不動産協会杯争奪U-12サッカー大会【ラビットカップ】大分県大会</v>
      </c>
      <c r="B1" s="800"/>
      <c r="C1" s="800"/>
      <c r="D1" s="800"/>
      <c r="E1" s="800"/>
      <c r="F1" s="800"/>
      <c r="G1" s="800"/>
      <c r="H1" s="800"/>
      <c r="I1" s="800"/>
      <c r="J1" s="800"/>
      <c r="K1" s="800" t="s">
        <v>2009</v>
      </c>
      <c r="L1" s="800"/>
      <c r="M1" s="800"/>
      <c r="N1" s="800"/>
      <c r="O1" s="7"/>
      <c r="P1" s="800" t="str">
        <f>大会要項!$B$3</f>
        <v>第12回 全日本不動産協会杯争奪U-12サッカー大会【ラビットカップ】大分県大会</v>
      </c>
      <c r="Q1" s="800"/>
      <c r="R1" s="800"/>
      <c r="S1" s="800"/>
      <c r="T1" s="800"/>
      <c r="U1" s="800"/>
      <c r="V1" s="800"/>
      <c r="W1" s="800"/>
      <c r="X1" s="800"/>
      <c r="Y1" s="800"/>
      <c r="Z1" s="800" t="s">
        <v>2009</v>
      </c>
      <c r="AA1" s="800"/>
      <c r="AB1" s="800"/>
      <c r="AC1" s="800"/>
    </row>
    <row r="2" spans="1:29" ht="20.25" customHeight="1" x14ac:dyDescent="0.45">
      <c r="P2" s="10"/>
      <c r="Q2" s="10"/>
      <c r="R2" s="10"/>
      <c r="S2" s="10"/>
      <c r="T2" s="10"/>
      <c r="U2" s="10"/>
      <c r="V2" s="10"/>
      <c r="W2" s="10"/>
      <c r="X2" s="10"/>
      <c r="Y2" s="10"/>
      <c r="Z2" s="10"/>
      <c r="AA2" s="10"/>
      <c r="AB2" s="10"/>
      <c r="AC2" s="10"/>
    </row>
    <row r="3" spans="1:29" ht="20.25" customHeight="1" x14ac:dyDescent="0.45">
      <c r="A3" s="9" t="s">
        <v>47</v>
      </c>
      <c r="B3" s="6" t="str">
        <f>予選リーグ!I14</f>
        <v>大分県サッカー協会人工芝グラウンド</v>
      </c>
      <c r="C3" s="6"/>
      <c r="D3" s="6"/>
      <c r="E3" s="6"/>
      <c r="G3" s="6" t="str">
        <f>予選リーグ!I15</f>
        <v>「A」コート</v>
      </c>
      <c r="H3" s="6"/>
      <c r="I3" s="6"/>
      <c r="J3" s="6"/>
      <c r="K3" s="6"/>
      <c r="L3" s="6"/>
      <c r="P3" s="9" t="s">
        <v>47</v>
      </c>
      <c r="Q3" s="6" t="str">
        <f>予選リーグ!I14</f>
        <v>大分県サッカー協会人工芝グラウンド</v>
      </c>
      <c r="R3" s="6"/>
      <c r="S3" s="6"/>
      <c r="T3" s="6"/>
      <c r="V3" s="6" t="str">
        <f>予選リーグ!I15</f>
        <v>「A」コート</v>
      </c>
      <c r="W3" s="11"/>
      <c r="X3" s="11"/>
      <c r="Y3" s="11"/>
      <c r="Z3" s="11"/>
      <c r="AA3" s="11"/>
      <c r="AB3" s="11"/>
      <c r="AC3" s="11"/>
    </row>
    <row r="4" spans="1:29" ht="20.25" customHeight="1" x14ac:dyDescent="0.45">
      <c r="P4" s="10"/>
      <c r="Q4" s="10"/>
      <c r="R4" s="10"/>
      <c r="S4" s="10"/>
      <c r="T4" s="10"/>
      <c r="U4" s="10"/>
      <c r="V4" s="10"/>
      <c r="W4" s="10"/>
      <c r="X4" s="10"/>
      <c r="Y4" s="10"/>
      <c r="Z4" s="10"/>
      <c r="AA4" s="10"/>
      <c r="AB4" s="10"/>
      <c r="AC4" s="10"/>
    </row>
    <row r="5" spans="1:29" ht="20.25" customHeight="1" x14ac:dyDescent="0.45">
      <c r="E5" s="12" t="s">
        <v>56</v>
      </c>
      <c r="F5" s="796" t="str">
        <f>VLOOKUP(E5,組合せ抽選用!$Q:$U,5,FALSE)</f>
        <v>臼杵ＳＳＳ</v>
      </c>
      <c r="G5" s="796"/>
      <c r="H5" s="796"/>
      <c r="I5" s="796"/>
      <c r="J5" s="796"/>
      <c r="K5" s="796"/>
      <c r="L5" s="796"/>
      <c r="M5" s="796" t="str">
        <f>VLOOKUP(E5,組合せ抽選用!$Q:$V,6,FALSE)</f>
        <v>臼杵/津久見</v>
      </c>
      <c r="N5" s="797"/>
      <c r="R5" s="10"/>
      <c r="S5" s="10"/>
      <c r="T5" s="12" t="s">
        <v>68</v>
      </c>
      <c r="U5" s="796" t="str">
        <f>VLOOKUP(T5,組合せ抽選用!$Q:$U,5,FALSE)</f>
        <v>スマイス・セレソン</v>
      </c>
      <c r="V5" s="796"/>
      <c r="W5" s="796"/>
      <c r="X5" s="796"/>
      <c r="Y5" s="796"/>
      <c r="Z5" s="796"/>
      <c r="AA5" s="796"/>
      <c r="AB5" s="796" t="str">
        <f>VLOOKUP(T5,組合せ抽選用!$Q:$V,6,FALSE)</f>
        <v>別府</v>
      </c>
      <c r="AC5" s="797"/>
    </row>
    <row r="6" spans="1:29" ht="20.25" customHeight="1" x14ac:dyDescent="0.45">
      <c r="E6" s="13" t="s">
        <v>57</v>
      </c>
      <c r="F6" s="798" t="str">
        <f>VLOOKUP(E6,組合せ抽選用!$Q:$U,5,FALSE)</f>
        <v>ブルーウイングフットボールクラブ</v>
      </c>
      <c r="G6" s="798"/>
      <c r="H6" s="798"/>
      <c r="I6" s="798"/>
      <c r="J6" s="798"/>
      <c r="K6" s="798"/>
      <c r="L6" s="798"/>
      <c r="M6" s="798" t="str">
        <f>VLOOKUP(E6,組合せ抽選用!$Q:$V,6,FALSE)</f>
        <v>大分</v>
      </c>
      <c r="N6" s="799"/>
      <c r="P6" s="10"/>
      <c r="Q6" s="10"/>
      <c r="R6" s="10"/>
      <c r="S6" s="10"/>
      <c r="T6" s="13" t="s">
        <v>69</v>
      </c>
      <c r="U6" s="798" t="str">
        <f>VLOOKUP(T6,組合せ抽選用!$Q:$U,5,FALSE)</f>
        <v>明治サッカースポーツ少年団</v>
      </c>
      <c r="V6" s="798"/>
      <c r="W6" s="798"/>
      <c r="X6" s="798"/>
      <c r="Y6" s="798"/>
      <c r="Z6" s="798"/>
      <c r="AA6" s="798"/>
      <c r="AB6" s="798" t="str">
        <f>VLOOKUP(T6,組合せ抽選用!$Q:$V,6,FALSE)</f>
        <v>大分</v>
      </c>
      <c r="AC6" s="799"/>
    </row>
    <row r="7" spans="1:29" ht="20.25" customHeight="1" x14ac:dyDescent="0.45">
      <c r="E7" s="14" t="s">
        <v>58</v>
      </c>
      <c r="F7" s="801" t="str">
        <f>VLOOKUP(E7,組合せ抽選用!$Q:$U,5,FALSE)</f>
        <v>きつきＦＣ</v>
      </c>
      <c r="G7" s="801"/>
      <c r="H7" s="801"/>
      <c r="I7" s="801"/>
      <c r="J7" s="801"/>
      <c r="K7" s="801"/>
      <c r="L7" s="801"/>
      <c r="M7" s="801" t="str">
        <f>VLOOKUP(E7,組合せ抽選用!$Q:$V,6,FALSE)</f>
        <v>速杵国東</v>
      </c>
      <c r="N7" s="802"/>
      <c r="P7" s="10"/>
      <c r="Q7" s="10"/>
      <c r="R7" s="10"/>
      <c r="S7" s="10"/>
      <c r="T7" s="14" t="s">
        <v>70</v>
      </c>
      <c r="U7" s="801" t="str">
        <f>VLOOKUP(T7,組合せ抽選用!$Q:$U,5,FALSE)</f>
        <v>鶴見少年サッカークラブ</v>
      </c>
      <c r="V7" s="801"/>
      <c r="W7" s="801"/>
      <c r="X7" s="801"/>
      <c r="Y7" s="801"/>
      <c r="Z7" s="801"/>
      <c r="AA7" s="801"/>
      <c r="AB7" s="801" t="str">
        <f>VLOOKUP(T7,組合せ抽選用!$Q:$V,6,FALSE)</f>
        <v>佐伯</v>
      </c>
      <c r="AC7" s="802"/>
    </row>
    <row r="8" spans="1:29" ht="20.25" customHeight="1" x14ac:dyDescent="0.45">
      <c r="P8" s="10"/>
      <c r="Q8" s="10"/>
      <c r="R8" s="10"/>
      <c r="S8" s="10"/>
      <c r="T8" s="10"/>
      <c r="U8" s="10"/>
      <c r="V8" s="10"/>
      <c r="W8" s="10"/>
      <c r="X8" s="10"/>
      <c r="Y8" s="10"/>
      <c r="Z8" s="10"/>
      <c r="AA8" s="10"/>
      <c r="AB8" s="10"/>
      <c r="AC8" s="10"/>
    </row>
    <row r="9" spans="1:29" ht="20.25" customHeight="1" thickBot="1" x14ac:dyDescent="0.6"/>
    <row r="10" spans="1:29" ht="27.4" customHeight="1" x14ac:dyDescent="0.45">
      <c r="A10" s="365" t="s">
        <v>3235</v>
      </c>
      <c r="B10" s="789" t="s">
        <v>8428</v>
      </c>
      <c r="C10" s="790"/>
      <c r="D10" s="791"/>
      <c r="E10" s="778">
        <v>0.4375</v>
      </c>
      <c r="F10" s="781" t="str">
        <f>F5</f>
        <v>臼杵ＳＳＳ</v>
      </c>
      <c r="G10" s="784">
        <f>IF(I10="","",SUM(I10:I11))</f>
        <v>0</v>
      </c>
      <c r="H10" s="793" t="s">
        <v>205</v>
      </c>
      <c r="I10" s="84">
        <v>0</v>
      </c>
      <c r="J10" s="84" t="s">
        <v>116</v>
      </c>
      <c r="K10" s="84">
        <v>2</v>
      </c>
      <c r="L10" s="793" t="s">
        <v>206</v>
      </c>
      <c r="M10" s="784">
        <f>IF(K10="","",SUM(K10:K11))</f>
        <v>5</v>
      </c>
      <c r="N10" s="775" t="str">
        <f>F6</f>
        <v>ブルーウイングフットボールクラブ</v>
      </c>
      <c r="P10" s="365" t="s">
        <v>3235</v>
      </c>
      <c r="Q10" s="789" t="s">
        <v>3389</v>
      </c>
      <c r="R10" s="790"/>
      <c r="S10" s="791"/>
      <c r="T10" s="778">
        <v>0.47916666666666669</v>
      </c>
      <c r="U10" s="781" t="str">
        <f>U5</f>
        <v>スマイス・セレソン</v>
      </c>
      <c r="V10" s="784">
        <f>IF(X10="","",SUM(X10:X11))</f>
        <v>2</v>
      </c>
      <c r="W10" s="793" t="s">
        <v>205</v>
      </c>
      <c r="X10" s="84">
        <v>1</v>
      </c>
      <c r="Y10" s="84" t="s">
        <v>116</v>
      </c>
      <c r="Z10" s="84">
        <v>0</v>
      </c>
      <c r="AA10" s="793" t="s">
        <v>206</v>
      </c>
      <c r="AB10" s="784">
        <f>IF(Z10="","",SUM(Z10:Z11))</f>
        <v>0</v>
      </c>
      <c r="AC10" s="775" t="str">
        <f>U6</f>
        <v>明治サッカースポーツ少年団</v>
      </c>
    </row>
    <row r="11" spans="1:29" ht="27.4" customHeight="1" x14ac:dyDescent="0.45">
      <c r="A11" s="366" t="s">
        <v>3236</v>
      </c>
      <c r="B11" s="792" t="s">
        <v>3924</v>
      </c>
      <c r="C11" s="792"/>
      <c r="D11" s="789"/>
      <c r="E11" s="779"/>
      <c r="F11" s="782"/>
      <c r="G11" s="785"/>
      <c r="H11" s="794"/>
      <c r="I11" s="9">
        <v>0</v>
      </c>
      <c r="J11" s="9" t="s">
        <v>117</v>
      </c>
      <c r="K11" s="9">
        <v>3</v>
      </c>
      <c r="L11" s="794"/>
      <c r="M11" s="785"/>
      <c r="N11" s="776"/>
      <c r="P11" s="366" t="s">
        <v>3236</v>
      </c>
      <c r="Q11" s="792" t="s">
        <v>3924</v>
      </c>
      <c r="R11" s="792"/>
      <c r="S11" s="789"/>
      <c r="T11" s="779"/>
      <c r="U11" s="782"/>
      <c r="V11" s="785"/>
      <c r="W11" s="794"/>
      <c r="X11" s="9">
        <v>1</v>
      </c>
      <c r="Y11" s="9" t="s">
        <v>117</v>
      </c>
      <c r="Z11" s="9">
        <v>0</v>
      </c>
      <c r="AA11" s="794"/>
      <c r="AB11" s="785"/>
      <c r="AC11" s="776"/>
    </row>
    <row r="12" spans="1:29" ht="27.4" customHeight="1" thickBot="1" x14ac:dyDescent="0.6">
      <c r="A12" s="366" t="s">
        <v>3237</v>
      </c>
      <c r="B12" s="792" t="s">
        <v>3921</v>
      </c>
      <c r="C12" s="792"/>
      <c r="D12" s="789"/>
      <c r="E12" s="780"/>
      <c r="F12" s="783"/>
      <c r="G12" s="786"/>
      <c r="H12" s="795"/>
      <c r="I12" s="85"/>
      <c r="J12" s="85" t="s">
        <v>188</v>
      </c>
      <c r="K12" s="85"/>
      <c r="L12" s="795"/>
      <c r="M12" s="786"/>
      <c r="N12" s="777"/>
      <c r="P12" s="366" t="s">
        <v>3237</v>
      </c>
      <c r="Q12" s="792" t="s">
        <v>8428</v>
      </c>
      <c r="R12" s="792"/>
      <c r="S12" s="789"/>
      <c r="T12" s="780"/>
      <c r="U12" s="783"/>
      <c r="V12" s="786"/>
      <c r="W12" s="795"/>
      <c r="X12" s="85"/>
      <c r="Y12" s="85" t="s">
        <v>188</v>
      </c>
      <c r="Z12" s="85"/>
      <c r="AA12" s="795"/>
      <c r="AB12" s="786"/>
      <c r="AC12" s="777"/>
    </row>
    <row r="13" spans="1:29" ht="20.25" customHeight="1" thickTop="1" x14ac:dyDescent="0.45">
      <c r="A13" s="787" t="s">
        <v>1565</v>
      </c>
      <c r="B13" s="787"/>
      <c r="C13" s="787"/>
      <c r="D13" s="787"/>
      <c r="E13" s="15"/>
      <c r="F13" s="16" t="s">
        <v>190</v>
      </c>
      <c r="G13" s="16" t="s">
        <v>1552</v>
      </c>
      <c r="H13" s="16" t="s">
        <v>145</v>
      </c>
      <c r="I13" s="16"/>
      <c r="J13" s="17"/>
      <c r="K13" s="16"/>
      <c r="L13" s="16" t="s">
        <v>145</v>
      </c>
      <c r="M13" s="16" t="s">
        <v>1552</v>
      </c>
      <c r="N13" s="18" t="s">
        <v>190</v>
      </c>
      <c r="P13" s="787" t="s">
        <v>1565</v>
      </c>
      <c r="Q13" s="787"/>
      <c r="R13" s="787"/>
      <c r="S13" s="788"/>
      <c r="T13" s="15"/>
      <c r="U13" s="16" t="s">
        <v>190</v>
      </c>
      <c r="V13" s="16" t="s">
        <v>1552</v>
      </c>
      <c r="W13" s="16" t="s">
        <v>145</v>
      </c>
      <c r="X13" s="16"/>
      <c r="Y13" s="17"/>
      <c r="Z13" s="16"/>
      <c r="AA13" s="16" t="s">
        <v>145</v>
      </c>
      <c r="AB13" s="16" t="s">
        <v>1552</v>
      </c>
      <c r="AC13" s="18" t="s">
        <v>190</v>
      </c>
    </row>
    <row r="14" spans="1:29" ht="20.25" hidden="1" customHeight="1" x14ac:dyDescent="0.45">
      <c r="E14" s="19" t="s">
        <v>228</v>
      </c>
      <c r="F14" s="20" t="str">
        <f>IF(ISERROR(VLOOKUP(CONCATENATE($F$10,"_",G14),選手名簿!$A:$E,5,FALSE))=TRUE,"",VLOOKUP(CONCATENATE($F$10,"_",G14),選手名簿!$A:$E,5,FALSE))</f>
        <v/>
      </c>
      <c r="G14" s="21"/>
      <c r="H14" s="21"/>
      <c r="I14" s="21"/>
      <c r="J14" s="22"/>
      <c r="K14" s="21"/>
      <c r="L14" s="21"/>
      <c r="M14" s="21"/>
      <c r="N14" s="23" t="str">
        <f>IF(ISERROR(VLOOKUP(CONCATENATE($N$10,"_",M14),選手名簿!$A:$E,5,FALSE))=TRUE,"",VLOOKUP(CONCATENATE($N$10,"_",M14),選手名簿!$A:$E,5,FALSE))</f>
        <v/>
      </c>
      <c r="T14" s="19" t="s">
        <v>228</v>
      </c>
      <c r="U14" s="20" t="str">
        <f>IF(ISERROR(VLOOKUP(CONCATENATE($U$10,"_",V14),選手名簿!$A:$E,5,FALSE))=TRUE,"",VLOOKUP(CONCATENATE($U$10,"_",V14),選手名簿!$A:$E,5,FALSE))</f>
        <v/>
      </c>
      <c r="V14" s="21"/>
      <c r="W14" s="21"/>
      <c r="X14" s="21"/>
      <c r="Y14" s="22"/>
      <c r="Z14" s="21"/>
      <c r="AA14" s="21"/>
      <c r="AB14" s="21"/>
      <c r="AC14" s="23" t="str">
        <f>IF(ISERROR(VLOOKUP(CONCATENATE($AC$10,"_",AB14),選手名簿!$A:$E,5,FALSE))=TRUE,"",VLOOKUP(CONCATENATE($AC$10,"_",AB14),選手名簿!$A:$E,5,FALSE))</f>
        <v/>
      </c>
    </row>
    <row r="15" spans="1:29" ht="20.25" hidden="1" customHeight="1" x14ac:dyDescent="0.45">
      <c r="E15" s="19" t="s">
        <v>228</v>
      </c>
      <c r="F15" s="20" t="str">
        <f>IF(ISERROR(VLOOKUP(CONCATENATE($F$10,"_",G15),選手名簿!$A:$E,5,FALSE))=TRUE,"",VLOOKUP(CONCATENATE($F$10,"_",G15),選手名簿!$A:$E,5,FALSE))</f>
        <v/>
      </c>
      <c r="G15" s="21"/>
      <c r="H15" s="21"/>
      <c r="I15" s="21"/>
      <c r="J15" s="22"/>
      <c r="K15" s="21"/>
      <c r="L15" s="21"/>
      <c r="M15" s="21"/>
      <c r="N15" s="23" t="str">
        <f>IF(ISERROR(VLOOKUP(CONCATENATE($N$10,"_",M15),選手名簿!$A:$E,5,FALSE))=TRUE,"",VLOOKUP(CONCATENATE($N$10,"_",M15),選手名簿!$A:$E,5,FALSE))</f>
        <v/>
      </c>
      <c r="T15" s="19" t="s">
        <v>228</v>
      </c>
      <c r="U15" s="20" t="str">
        <f>IF(ISERROR(VLOOKUP(CONCATENATE($U$10,"_",V15),選手名簿!$A:$E,5,FALSE))=TRUE,"",VLOOKUP(CONCATENATE($U$10,"_",V15),選手名簿!$A:$E,5,FALSE))</f>
        <v/>
      </c>
      <c r="V15" s="21"/>
      <c r="W15" s="21"/>
      <c r="X15" s="21"/>
      <c r="Y15" s="22"/>
      <c r="Z15" s="21"/>
      <c r="AA15" s="21"/>
      <c r="AB15" s="21"/>
      <c r="AC15" s="23" t="str">
        <f>IF(ISERROR(VLOOKUP(CONCATENATE($AC$10,"_",AB15),選手名簿!$A:$E,5,FALSE))=TRUE,"",VLOOKUP(CONCATENATE($AC$10,"_",AB15),選手名簿!$A:$E,5,FALSE))</f>
        <v/>
      </c>
    </row>
    <row r="16" spans="1:29" ht="20.25" hidden="1" customHeight="1" x14ac:dyDescent="0.45">
      <c r="E16" s="19" t="s">
        <v>228</v>
      </c>
      <c r="F16" s="20" t="str">
        <f>IF(ISERROR(VLOOKUP(CONCATENATE($F$10,"_",G16),選手名簿!$A:$E,5,FALSE))=TRUE,"",VLOOKUP(CONCATENATE($F$10,"_",G16),選手名簿!$A:$E,5,FALSE))</f>
        <v/>
      </c>
      <c r="G16" s="21"/>
      <c r="H16" s="21"/>
      <c r="I16" s="21"/>
      <c r="J16" s="22"/>
      <c r="K16" s="21"/>
      <c r="L16" s="21"/>
      <c r="M16" s="21"/>
      <c r="N16" s="23" t="str">
        <f>IF(ISERROR(VLOOKUP(CONCATENATE($N$10,"_",M16),選手名簿!$A:$E,5,FALSE))=TRUE,"",VLOOKUP(CONCATENATE($N$10,"_",M16),選手名簿!$A:$E,5,FALSE))</f>
        <v/>
      </c>
      <c r="T16" s="19" t="s">
        <v>228</v>
      </c>
      <c r="U16" s="20" t="str">
        <f>IF(ISERROR(VLOOKUP(CONCATENATE($U$10,"_",V16),選手名簿!$A:$E,5,FALSE))=TRUE,"",VLOOKUP(CONCATENATE($U$10,"_",V16),選手名簿!$A:$E,5,FALSE))</f>
        <v/>
      </c>
      <c r="V16" s="21"/>
      <c r="W16" s="21"/>
      <c r="X16" s="21"/>
      <c r="Y16" s="22"/>
      <c r="Z16" s="21"/>
      <c r="AA16" s="21"/>
      <c r="AB16" s="21"/>
      <c r="AC16" s="23" t="str">
        <f>IF(ISERROR(VLOOKUP(CONCATENATE($AC$10,"_",AB16),選手名簿!$A:$E,5,FALSE))=TRUE,"",VLOOKUP(CONCATENATE($AC$10,"_",AB16),選手名簿!$A:$E,5,FALSE))</f>
        <v/>
      </c>
    </row>
    <row r="17" spans="1:29" ht="20.25" hidden="1" customHeight="1" x14ac:dyDescent="0.45">
      <c r="E17" s="19" t="s">
        <v>228</v>
      </c>
      <c r="F17" s="20" t="str">
        <f>IF(ISERROR(VLOOKUP(CONCATENATE($F$10,"_",G17),選手名簿!$A:$E,5,FALSE))=TRUE,"",VLOOKUP(CONCATENATE($F$10,"_",G17),選手名簿!$A:$E,5,FALSE))</f>
        <v/>
      </c>
      <c r="G17" s="21"/>
      <c r="H17" s="21"/>
      <c r="I17" s="21"/>
      <c r="J17" s="22"/>
      <c r="K17" s="21"/>
      <c r="L17" s="21"/>
      <c r="M17" s="21"/>
      <c r="N17" s="23" t="str">
        <f>IF(ISERROR(VLOOKUP(CONCATENATE($N$10,"_",M17),選手名簿!$A:$E,5,FALSE))=TRUE,"",VLOOKUP(CONCATENATE($N$10,"_",M17),選手名簿!$A:$E,5,FALSE))</f>
        <v/>
      </c>
      <c r="T17" s="19" t="s">
        <v>228</v>
      </c>
      <c r="U17" s="20" t="str">
        <f>IF(ISERROR(VLOOKUP(CONCATENATE($U$10,"_",V17),選手名簿!$A:$E,5,FALSE))=TRUE,"",VLOOKUP(CONCATENATE($U$10,"_",V17),選手名簿!$A:$E,5,FALSE))</f>
        <v/>
      </c>
      <c r="V17" s="21"/>
      <c r="W17" s="21"/>
      <c r="X17" s="21"/>
      <c r="Y17" s="22"/>
      <c r="Z17" s="21"/>
      <c r="AA17" s="21"/>
      <c r="AB17" s="21"/>
      <c r="AC17" s="23" t="str">
        <f>IF(ISERROR(VLOOKUP(CONCATENATE($AC$10,"_",AB17),選手名簿!$A:$E,5,FALSE))=TRUE,"",VLOOKUP(CONCATENATE($AC$10,"_",AB17),選手名簿!$A:$E,5,FALSE))</f>
        <v/>
      </c>
    </row>
    <row r="18" spans="1:29" ht="20.25" hidden="1" customHeight="1" x14ac:dyDescent="0.45">
      <c r="E18" s="19" t="s">
        <v>228</v>
      </c>
      <c r="F18" s="20" t="str">
        <f>IF(ISERROR(VLOOKUP(CONCATENATE($F$10,"_",G18),選手名簿!$A:$E,5,FALSE))=TRUE,"",VLOOKUP(CONCATENATE($F$10,"_",G18),選手名簿!$A:$E,5,FALSE))</f>
        <v/>
      </c>
      <c r="G18" s="21"/>
      <c r="H18" s="21"/>
      <c r="I18" s="21"/>
      <c r="J18" s="22"/>
      <c r="K18" s="21"/>
      <c r="L18" s="21"/>
      <c r="M18" s="21"/>
      <c r="N18" s="23" t="str">
        <f>IF(ISERROR(VLOOKUP(CONCATENATE($N$10,"_",M18),選手名簿!$A:$E,5,FALSE))=TRUE,"",VLOOKUP(CONCATENATE($N$10,"_",M18),選手名簿!$A:$E,5,FALSE))</f>
        <v/>
      </c>
      <c r="T18" s="19" t="s">
        <v>228</v>
      </c>
      <c r="U18" s="20" t="str">
        <f>IF(ISERROR(VLOOKUP(CONCATENATE($U$10,"_",V18),選手名簿!$A:$E,5,FALSE))=TRUE,"",VLOOKUP(CONCATENATE($U$10,"_",V18),選手名簿!$A:$E,5,FALSE))</f>
        <v/>
      </c>
      <c r="V18" s="21"/>
      <c r="W18" s="21"/>
      <c r="X18" s="21"/>
      <c r="Y18" s="22"/>
      <c r="Z18" s="21"/>
      <c r="AA18" s="21"/>
      <c r="AB18" s="21"/>
      <c r="AC18" s="23" t="str">
        <f>IF(ISERROR(VLOOKUP(CONCATENATE($AC$10,"_",AB18),選手名簿!$A:$E,5,FALSE))=TRUE,"",VLOOKUP(CONCATENATE($AC$10,"_",AB18),選手名簿!$A:$E,5,FALSE))</f>
        <v/>
      </c>
    </row>
    <row r="19" spans="1:29" ht="20.25" hidden="1" customHeight="1" x14ac:dyDescent="0.45">
      <c r="E19" s="19" t="s">
        <v>228</v>
      </c>
      <c r="F19" s="20" t="str">
        <f>IF(ISERROR(VLOOKUP(CONCATENATE($F$10,"_",G19),選手名簿!$A:$E,5,FALSE))=TRUE,"",VLOOKUP(CONCATENATE($F$10,"_",G19),選手名簿!$A:$E,5,FALSE))</f>
        <v/>
      </c>
      <c r="G19" s="21"/>
      <c r="H19" s="21"/>
      <c r="I19" s="21"/>
      <c r="J19" s="22"/>
      <c r="K19" s="21"/>
      <c r="L19" s="21"/>
      <c r="M19" s="21"/>
      <c r="N19" s="23" t="str">
        <f>IF(ISERROR(VLOOKUP(CONCATENATE($N$10,"_",M19),選手名簿!$A:$E,5,FALSE))=TRUE,"",VLOOKUP(CONCATENATE($N$10,"_",M19),選手名簿!$A:$E,5,FALSE))</f>
        <v/>
      </c>
      <c r="T19" s="19" t="s">
        <v>228</v>
      </c>
      <c r="U19" s="20" t="str">
        <f>IF(ISERROR(VLOOKUP(CONCATENATE($U$10,"_",V19),選手名簿!$A:$E,5,FALSE))=TRUE,"",VLOOKUP(CONCATENATE($U$10,"_",V19),選手名簿!$A:$E,5,FALSE))</f>
        <v/>
      </c>
      <c r="V19" s="21"/>
      <c r="W19" s="21"/>
      <c r="X19" s="21"/>
      <c r="Y19" s="22"/>
      <c r="Z19" s="21"/>
      <c r="AA19" s="21"/>
      <c r="AB19" s="21"/>
      <c r="AC19" s="23" t="str">
        <f>IF(ISERROR(VLOOKUP(CONCATENATE($AC$10,"_",AB19),選手名簿!$A:$E,5,FALSE))=TRUE,"",VLOOKUP(CONCATENATE($AC$10,"_",AB19),選手名簿!$A:$E,5,FALSE))</f>
        <v/>
      </c>
    </row>
    <row r="20" spans="1:29" ht="20.25" hidden="1" customHeight="1" x14ac:dyDescent="0.45">
      <c r="E20" s="19" t="s">
        <v>228</v>
      </c>
      <c r="F20" s="20" t="str">
        <f>IF(ISERROR(VLOOKUP(CONCATENATE($F$10,"_",G20),選手名簿!$A:$E,5,FALSE))=TRUE,"",VLOOKUP(CONCATENATE($F$10,"_",G20),選手名簿!$A:$E,5,FALSE))</f>
        <v/>
      </c>
      <c r="G20" s="21"/>
      <c r="H20" s="21"/>
      <c r="I20" s="21"/>
      <c r="J20" s="22"/>
      <c r="K20" s="21"/>
      <c r="L20" s="21"/>
      <c r="M20" s="21"/>
      <c r="N20" s="23" t="str">
        <f>IF(ISERROR(VLOOKUP(CONCATENATE($N$10,"_",M20),選手名簿!$A:$E,5,FALSE))=TRUE,"",VLOOKUP(CONCATENATE($N$10,"_",M20),選手名簿!$A:$E,5,FALSE))</f>
        <v/>
      </c>
      <c r="T20" s="19" t="s">
        <v>228</v>
      </c>
      <c r="U20" s="20" t="str">
        <f>IF(ISERROR(VLOOKUP(CONCATENATE($U$10,"_",V20),選手名簿!$A:$E,5,FALSE))=TRUE,"",VLOOKUP(CONCATENATE($U$10,"_",V20),選手名簿!$A:$E,5,FALSE))</f>
        <v/>
      </c>
      <c r="V20" s="21"/>
      <c r="W20" s="21"/>
      <c r="X20" s="21"/>
      <c r="Y20" s="22"/>
      <c r="Z20" s="21"/>
      <c r="AA20" s="21"/>
      <c r="AB20" s="21"/>
      <c r="AC20" s="23" t="str">
        <f>IF(ISERROR(VLOOKUP(CONCATENATE($AC$10,"_",AB20),選手名簿!$A:$E,5,FALSE))=TRUE,"",VLOOKUP(CONCATENATE($AC$10,"_",AB20),選手名簿!$A:$E,5,FALSE))</f>
        <v/>
      </c>
    </row>
    <row r="21" spans="1:29" ht="20.25" hidden="1" customHeight="1" x14ac:dyDescent="0.45">
      <c r="E21" s="19" t="s">
        <v>228</v>
      </c>
      <c r="F21" s="20" t="str">
        <f>IF(ISERROR(VLOOKUP(CONCATENATE($F$10,"_",G21),選手名簿!$A:$E,5,FALSE))=TRUE,"",VLOOKUP(CONCATENATE($F$10,"_",G21),選手名簿!$A:$E,5,FALSE))</f>
        <v/>
      </c>
      <c r="G21" s="21"/>
      <c r="H21" s="21"/>
      <c r="I21" s="21"/>
      <c r="J21" s="22"/>
      <c r="K21" s="21"/>
      <c r="L21" s="21"/>
      <c r="M21" s="21"/>
      <c r="N21" s="23" t="str">
        <f>IF(ISERROR(VLOOKUP(CONCATENATE($N$10,"_",M21),選手名簿!$A:$E,5,FALSE))=TRUE,"",VLOOKUP(CONCATENATE($N$10,"_",M21),選手名簿!$A:$E,5,FALSE))</f>
        <v/>
      </c>
      <c r="T21" s="19" t="s">
        <v>228</v>
      </c>
      <c r="U21" s="20" t="str">
        <f>IF(ISERROR(VLOOKUP(CONCATENATE($U$10,"_",V21),選手名簿!$A:$E,5,FALSE))=TRUE,"",VLOOKUP(CONCATENATE($U$10,"_",V21),選手名簿!$A:$E,5,FALSE))</f>
        <v/>
      </c>
      <c r="V21" s="21"/>
      <c r="W21" s="21"/>
      <c r="X21" s="21"/>
      <c r="Y21" s="22"/>
      <c r="Z21" s="21"/>
      <c r="AA21" s="21"/>
      <c r="AB21" s="21"/>
      <c r="AC21" s="23" t="str">
        <f>IF(ISERROR(VLOOKUP(CONCATENATE($AC$10,"_",AB21),選手名簿!$A:$E,5,FALSE))=TRUE,"",VLOOKUP(CONCATENATE($AC$10,"_",AB21),選手名簿!$A:$E,5,FALSE))</f>
        <v/>
      </c>
    </row>
    <row r="22" spans="1:29" ht="20.25" hidden="1" customHeight="1" x14ac:dyDescent="0.45">
      <c r="E22" s="19" t="s">
        <v>228</v>
      </c>
      <c r="F22" s="20" t="str">
        <f>IF(ISERROR(VLOOKUP(CONCATENATE($F$10,"_",G22),選手名簿!$A:$E,5,FALSE))=TRUE,"",VLOOKUP(CONCATENATE($F$10,"_",G22),選手名簿!$A:$E,5,FALSE))</f>
        <v/>
      </c>
      <c r="G22" s="21"/>
      <c r="H22" s="21"/>
      <c r="I22" s="21"/>
      <c r="J22" s="22"/>
      <c r="K22" s="21"/>
      <c r="L22" s="21"/>
      <c r="M22" s="21"/>
      <c r="N22" s="23" t="str">
        <f>IF(ISERROR(VLOOKUP(CONCATENATE($N$10,"_",M22),選手名簿!$A:$E,5,FALSE))=TRUE,"",VLOOKUP(CONCATENATE($N$10,"_",M22),選手名簿!$A:$E,5,FALSE))</f>
        <v/>
      </c>
      <c r="T22" s="19" t="s">
        <v>228</v>
      </c>
      <c r="U22" s="20" t="str">
        <f>IF(ISERROR(VLOOKUP(CONCATENATE($U$10,"_",V22),選手名簿!$A:$E,5,FALSE))=TRUE,"",VLOOKUP(CONCATENATE($U$10,"_",V22),選手名簿!$A:$E,5,FALSE))</f>
        <v/>
      </c>
      <c r="V22" s="21"/>
      <c r="W22" s="21"/>
      <c r="X22" s="21"/>
      <c r="Y22" s="22"/>
      <c r="Z22" s="21"/>
      <c r="AA22" s="21"/>
      <c r="AB22" s="21"/>
      <c r="AC22" s="23" t="str">
        <f>IF(ISERROR(VLOOKUP(CONCATENATE($AC$10,"_",AB22),選手名簿!$A:$E,5,FALSE))=TRUE,"",VLOOKUP(CONCATENATE($AC$10,"_",AB22),選手名簿!$A:$E,5,FALSE))</f>
        <v/>
      </c>
    </row>
    <row r="23" spans="1:29" ht="20.25" hidden="1" customHeight="1" thickBot="1" x14ac:dyDescent="0.6">
      <c r="E23" s="24" t="s">
        <v>228</v>
      </c>
      <c r="F23" s="25" t="str">
        <f>IF(ISERROR(VLOOKUP(CONCATENATE($F$10,"_",G23),選手名簿!$A:$E,5,FALSE))=TRUE,"",VLOOKUP(CONCATENATE($F$10,"_",G23),選手名簿!$A:$E,5,FALSE))</f>
        <v/>
      </c>
      <c r="G23" s="26"/>
      <c r="H23" s="26"/>
      <c r="I23" s="26"/>
      <c r="J23" s="27"/>
      <c r="K23" s="26"/>
      <c r="L23" s="26"/>
      <c r="M23" s="26"/>
      <c r="N23" s="28" t="str">
        <f>IF(ISERROR(VLOOKUP(CONCATENATE($N$10,"_",M23),選手名簿!$A:$E,5,FALSE))=TRUE,"",VLOOKUP(CONCATENATE($N$10,"_",M23),選手名簿!$A:$E,5,FALSE))</f>
        <v/>
      </c>
      <c r="T23" s="24" t="s">
        <v>228</v>
      </c>
      <c r="U23" s="25" t="str">
        <f>IF(ISERROR(VLOOKUP(CONCATENATE($U$10,"_",V23),選手名簿!$A:$E,5,FALSE))=TRUE,"",VLOOKUP(CONCATENATE($U$10,"_",V23),選手名簿!$A:$E,5,FALSE))</f>
        <v/>
      </c>
      <c r="V23" s="26"/>
      <c r="W23" s="26"/>
      <c r="X23" s="26"/>
      <c r="Y23" s="27"/>
      <c r="Z23" s="26"/>
      <c r="AA23" s="26"/>
      <c r="AB23" s="26"/>
      <c r="AC23" s="28" t="str">
        <f>IF(ISERROR(VLOOKUP(CONCATENATE($AC$10,"_",AB23),選手名簿!$A:$E,5,FALSE))=TRUE,"",VLOOKUP(CONCATENATE($AC$10,"_",AB23),選手名簿!$A:$E,5,FALSE))</f>
        <v/>
      </c>
    </row>
    <row r="24" spans="1:29" ht="20.25" customHeight="1" x14ac:dyDescent="0.45">
      <c r="A24" s="29" t="s">
        <v>226</v>
      </c>
      <c r="B24" s="774" t="s">
        <v>4381</v>
      </c>
      <c r="C24" s="774"/>
      <c r="D24" s="774"/>
      <c r="E24" s="19" t="s">
        <v>196</v>
      </c>
      <c r="F24" s="20" t="str">
        <f>IF(ISERROR(VLOOKUP(CONCATENATE($F$10,"_",G24),選手名簿!$A:$E,5,FALSE))=TRUE,"",VLOOKUP(CONCATENATE($F$10,"_",G24),選手名簿!$A:$E,5,FALSE))</f>
        <v/>
      </c>
      <c r="G24" s="21"/>
      <c r="H24" s="21"/>
      <c r="I24" s="21"/>
      <c r="J24" s="22"/>
      <c r="K24" s="21"/>
      <c r="L24" s="21"/>
      <c r="M24" s="21"/>
      <c r="N24" s="23" t="str">
        <f>IF(ISERROR(VLOOKUP(CONCATENATE($N$10,"_",M24),選手名簿!$A:$E,5,FALSE))=TRUE,"",VLOOKUP(CONCATENATE($N$10,"_",M24),選手名簿!$A:$E,5,FALSE))</f>
        <v/>
      </c>
      <c r="P24" s="29" t="s">
        <v>226</v>
      </c>
      <c r="Q24" s="774" t="s">
        <v>3885</v>
      </c>
      <c r="R24" s="774"/>
      <c r="S24" s="774"/>
      <c r="T24" s="19" t="s">
        <v>196</v>
      </c>
      <c r="U24" s="20" t="str">
        <f>IF(ISERROR(VLOOKUP(CONCATENATE($U$10,"_",V24),選手名簿!$A:$E,5,FALSE))=TRUE,"",VLOOKUP(CONCATENATE($U$10,"_",V24),選手名簿!$A:$E,5,FALSE))</f>
        <v/>
      </c>
      <c r="V24" s="21"/>
      <c r="W24" s="21"/>
      <c r="X24" s="21"/>
      <c r="Y24" s="22"/>
      <c r="Z24" s="21"/>
      <c r="AA24" s="21"/>
      <c r="AB24" s="21"/>
      <c r="AC24" s="23" t="str">
        <f>IF(ISERROR(VLOOKUP(CONCATENATE($AC$10,"_",AB24),選手名簿!$A:$E,5,FALSE))=TRUE,"",VLOOKUP(CONCATENATE($AC$10,"_",AB24),選手名簿!$A:$E,5,FALSE))</f>
        <v/>
      </c>
    </row>
    <row r="25" spans="1:29" ht="20.25" customHeight="1" x14ac:dyDescent="0.45">
      <c r="A25" s="83" t="s">
        <v>1959</v>
      </c>
      <c r="B25" s="769" t="str">
        <f>IF(ISERROR(VLOOKUP(B24,審判員!$A:$C,2,FALSE))=TRUE,"",VLOOKUP(B24,審判員!$A:$C,2,FALSE))</f>
        <v>田中　靖之</v>
      </c>
      <c r="C25" s="770"/>
      <c r="D25" s="30" t="str">
        <f>IF(ISERROR(VLOOKUP(B24,審判員!$A:$C,3,FALSE))=TRUE,"",VLOOKUP(B24,審判員!$A:$C,3,FALSE))</f>
        <v>３級</v>
      </c>
      <c r="E25" s="31" t="s">
        <v>196</v>
      </c>
      <c r="F25" s="32" t="str">
        <f>IF(ISERROR(VLOOKUP(CONCATENATE($F$10,"_",G25),選手名簿!$A:$E,5,FALSE))=TRUE,"",VLOOKUP(CONCATENATE($F$10,"_",G25),選手名簿!$A:$E,5,FALSE))</f>
        <v/>
      </c>
      <c r="G25" s="33"/>
      <c r="H25" s="33"/>
      <c r="I25" s="33"/>
      <c r="J25" s="22"/>
      <c r="K25" s="33"/>
      <c r="L25" s="33"/>
      <c r="M25" s="33"/>
      <c r="N25" s="34" t="str">
        <f>IF(ISERROR(VLOOKUP(CONCATENATE($N$10,"_",M25),選手名簿!$A:$E,5,FALSE))=TRUE,"",VLOOKUP(CONCATENATE($N$10,"_",M25),選手名簿!$A:$E,5,FALSE))</f>
        <v/>
      </c>
      <c r="P25" s="83" t="s">
        <v>1959</v>
      </c>
      <c r="Q25" s="769" t="str">
        <f>IF(ISERROR(VLOOKUP(Q24,審判員!$A:$C,2,FALSE))=TRUE,"",VLOOKUP(Q24,審判員!$A:$C,2,FALSE))</f>
        <v>山田　将来</v>
      </c>
      <c r="R25" s="770"/>
      <c r="S25" s="83" t="str">
        <f>IF(ISERROR(VLOOKUP(Q24,審判員!$A:$C,3,FALSE))=TRUE,"",VLOOKUP(Q24,審判員!$A:$C,3,FALSE))</f>
        <v>３級</v>
      </c>
      <c r="T25" s="31" t="s">
        <v>196</v>
      </c>
      <c r="U25" s="32" t="str">
        <f>IF(ISERROR(VLOOKUP(CONCATENATE($U$10,"_",V25),選手名簿!$A:$E,5,FALSE))=TRUE,"",VLOOKUP(CONCATENATE($U$10,"_",V25),選手名簿!$A:$E,5,FALSE))</f>
        <v/>
      </c>
      <c r="V25" s="33"/>
      <c r="W25" s="33"/>
      <c r="X25" s="33"/>
      <c r="Y25" s="22"/>
      <c r="Z25" s="33"/>
      <c r="AA25" s="33"/>
      <c r="AB25" s="33"/>
      <c r="AC25" s="34" t="str">
        <f>IF(ISERROR(VLOOKUP(CONCATENATE($AC$10,"_",AB25),選手名簿!$A:$E,5,FALSE))=TRUE,"",VLOOKUP(CONCATENATE($AC$10,"_",AB25),選手名簿!$A:$E,5,FALSE))</f>
        <v/>
      </c>
    </row>
    <row r="26" spans="1:29" ht="20.25" customHeight="1" x14ac:dyDescent="0.45">
      <c r="A26" s="29" t="s">
        <v>226</v>
      </c>
      <c r="B26" s="771" t="s">
        <v>11849</v>
      </c>
      <c r="C26" s="771"/>
      <c r="D26" s="771"/>
      <c r="E26" s="31" t="s">
        <v>196</v>
      </c>
      <c r="F26" s="32" t="str">
        <f>IF(ISERROR(VLOOKUP(CONCATENATE($F$10,"_",G26),選手名簿!$A:$E,5,FALSE))=TRUE,"",VLOOKUP(CONCATENATE($F$10,"_",G26),選手名簿!$A:$E,5,FALSE))</f>
        <v/>
      </c>
      <c r="G26" s="33"/>
      <c r="H26" s="33"/>
      <c r="I26" s="33"/>
      <c r="J26" s="22"/>
      <c r="K26" s="33"/>
      <c r="L26" s="33"/>
      <c r="M26" s="33"/>
      <c r="N26" s="34" t="str">
        <f>IF(ISERROR(VLOOKUP(CONCATENATE($N$10,"_",M26),選手名簿!$A:$E,5,FALSE))=TRUE,"",VLOOKUP(CONCATENATE($N$10,"_",M26),選手名簿!$A:$E,5,FALSE))</f>
        <v/>
      </c>
      <c r="P26" s="29" t="s">
        <v>226</v>
      </c>
      <c r="Q26" s="771" t="s">
        <v>11853</v>
      </c>
      <c r="R26" s="771"/>
      <c r="S26" s="772"/>
      <c r="T26" s="31" t="s">
        <v>196</v>
      </c>
      <c r="U26" s="32" t="str">
        <f>IF(ISERROR(VLOOKUP(CONCATENATE($U$10,"_",V26),選手名簿!$A:$E,5,FALSE))=TRUE,"",VLOOKUP(CONCATENATE($U$10,"_",V26),選手名簿!$A:$E,5,FALSE))</f>
        <v/>
      </c>
      <c r="V26" s="33"/>
      <c r="W26" s="33"/>
      <c r="X26" s="33"/>
      <c r="Y26" s="22"/>
      <c r="Z26" s="33"/>
      <c r="AA26" s="33"/>
      <c r="AB26" s="33"/>
      <c r="AC26" s="34" t="str">
        <f>IF(ISERROR(VLOOKUP(CONCATENATE($AC$10,"_",AB26),選手名簿!$A:$E,5,FALSE))=TRUE,"",VLOOKUP(CONCATENATE($AC$10,"_",AB26),選手名簿!$A:$E,5,FALSE))</f>
        <v/>
      </c>
    </row>
    <row r="27" spans="1:29" ht="20.25" customHeight="1" x14ac:dyDescent="0.45">
      <c r="A27" s="83" t="s">
        <v>1966</v>
      </c>
      <c r="B27" s="769" t="str">
        <f>IF(ISERROR(VLOOKUP(B26,審判員!$A:$C,2,FALSE))=TRUE,"",VLOOKUP(B26,審判員!$A:$C,2,FALSE))</f>
        <v>平川　諒</v>
      </c>
      <c r="C27" s="770"/>
      <c r="D27" s="30" t="str">
        <f>IF(ISERROR(VLOOKUP(B26,審判員!$A:$C,3,FALSE))=TRUE,"",VLOOKUP(B26,審判員!$A:$C,3,FALSE))</f>
        <v>３級</v>
      </c>
      <c r="E27" s="31" t="s">
        <v>196</v>
      </c>
      <c r="F27" s="32" t="str">
        <f>IF(ISERROR(VLOOKUP(CONCATENATE($F$10,"_",G27),選手名簿!$A:$E,5,FALSE))=TRUE,"",VLOOKUP(CONCATENATE($F$10,"_",G27),選手名簿!$A:$E,5,FALSE))</f>
        <v/>
      </c>
      <c r="G27" s="33"/>
      <c r="H27" s="33"/>
      <c r="I27" s="33"/>
      <c r="J27" s="22"/>
      <c r="K27" s="33"/>
      <c r="L27" s="33"/>
      <c r="M27" s="33"/>
      <c r="N27" s="34" t="str">
        <f>IF(ISERROR(VLOOKUP(CONCATENATE($N$10,"_",M27),選手名簿!$A:$E,5,FALSE))=TRUE,"",VLOOKUP(CONCATENATE($N$10,"_",M27),選手名簿!$A:$E,5,FALSE))</f>
        <v/>
      </c>
      <c r="P27" s="83" t="s">
        <v>1966</v>
      </c>
      <c r="Q27" s="769" t="str">
        <f>IF(ISERROR(VLOOKUP(Q26,審判員!$A:$C,2,FALSE))=TRUE,"",VLOOKUP(Q26,審判員!$A:$C,2,FALSE))</f>
        <v>佐藤　巨規</v>
      </c>
      <c r="R27" s="770"/>
      <c r="S27" s="83" t="str">
        <f>IF(ISERROR(VLOOKUP(Q26,審判員!$A:$C,3,FALSE))=TRUE,"",VLOOKUP(Q26,審判員!$A:$C,3,FALSE))</f>
        <v>３級</v>
      </c>
      <c r="T27" s="31" t="s">
        <v>196</v>
      </c>
      <c r="U27" s="32" t="str">
        <f>IF(ISERROR(VLOOKUP(CONCATENATE($U$10,"_",V27),選手名簿!$A:$E,5,FALSE))=TRUE,"",VLOOKUP(CONCATENATE($U$10,"_",V27),選手名簿!$A:$E,5,FALSE))</f>
        <v/>
      </c>
      <c r="V27" s="33"/>
      <c r="W27" s="33"/>
      <c r="X27" s="33"/>
      <c r="Y27" s="22"/>
      <c r="Z27" s="33"/>
      <c r="AA27" s="33"/>
      <c r="AB27" s="33"/>
      <c r="AC27" s="34" t="str">
        <f>IF(ISERROR(VLOOKUP(CONCATENATE($AC$10,"_",AB27),選手名簿!$A:$E,5,FALSE))=TRUE,"",VLOOKUP(CONCATENATE($AC$10,"_",AB27),選手名簿!$A:$E,5,FALSE))</f>
        <v/>
      </c>
    </row>
    <row r="28" spans="1:29" ht="20.25" customHeight="1" x14ac:dyDescent="0.45">
      <c r="A28" s="29" t="s">
        <v>226</v>
      </c>
      <c r="B28" s="771" t="s">
        <v>11850</v>
      </c>
      <c r="C28" s="771"/>
      <c r="D28" s="771"/>
      <c r="E28" s="31" t="s">
        <v>196</v>
      </c>
      <c r="F28" s="32" t="str">
        <f>IF(ISERROR(VLOOKUP(CONCATENATE($F$10,"_",G28),選手名簿!$A:$E,5,FALSE))=TRUE,"",VLOOKUP(CONCATENATE($F$10,"_",G28),選手名簿!$A:$E,5,FALSE))</f>
        <v/>
      </c>
      <c r="G28" s="33"/>
      <c r="H28" s="33"/>
      <c r="I28" s="33"/>
      <c r="J28" s="22"/>
      <c r="K28" s="33"/>
      <c r="L28" s="33"/>
      <c r="M28" s="33"/>
      <c r="N28" s="34" t="str">
        <f>IF(ISERROR(VLOOKUP(CONCATENATE($N$10,"_",M28),選手名簿!$A:$E,5,FALSE))=TRUE,"",VLOOKUP(CONCATENATE($N$10,"_",M28),選手名簿!$A:$E,5,FALSE))</f>
        <v/>
      </c>
      <c r="P28" s="29" t="s">
        <v>226</v>
      </c>
      <c r="Q28" s="771" t="s">
        <v>11855</v>
      </c>
      <c r="R28" s="771"/>
      <c r="S28" s="772"/>
      <c r="T28" s="31" t="s">
        <v>196</v>
      </c>
      <c r="U28" s="32" t="str">
        <f>IF(ISERROR(VLOOKUP(CONCATENATE($U$10,"_",V28),選手名簿!$A:$E,5,FALSE))=TRUE,"",VLOOKUP(CONCATENATE($U$10,"_",V28),選手名簿!$A:$E,5,FALSE))</f>
        <v/>
      </c>
      <c r="V28" s="33"/>
      <c r="W28" s="33"/>
      <c r="X28" s="33"/>
      <c r="Y28" s="22"/>
      <c r="Z28" s="33"/>
      <c r="AA28" s="33"/>
      <c r="AB28" s="33"/>
      <c r="AC28" s="34" t="str">
        <f>IF(ISERROR(VLOOKUP(CONCATENATE($AC$10,"_",AB28),選手名簿!$A:$E,5,FALSE))=TRUE,"",VLOOKUP(CONCATENATE($AC$10,"_",AB28),選手名簿!$A:$E,5,FALSE))</f>
        <v/>
      </c>
    </row>
    <row r="29" spans="1:29" ht="20.25" customHeight="1" x14ac:dyDescent="0.45">
      <c r="A29" s="83" t="s">
        <v>1967</v>
      </c>
      <c r="B29" s="769" t="str">
        <f>IF(ISERROR(VLOOKUP(B28,審判員!$A:$C,2,FALSE))=TRUE,"",VLOOKUP(B28,審判員!$A:$C,2,FALSE))</f>
        <v>内藤　翔悟</v>
      </c>
      <c r="C29" s="770"/>
      <c r="D29" s="30" t="str">
        <f>IF(ISERROR(VLOOKUP(B28,審判員!$A:$C,3,FALSE))=TRUE,"",VLOOKUP(B28,審判員!$A:$C,3,FALSE))</f>
        <v>３級</v>
      </c>
      <c r="E29" s="31" t="s">
        <v>196</v>
      </c>
      <c r="F29" s="32" t="str">
        <f>IF(ISERROR(VLOOKUP(CONCATENATE($F$10,"_",G29),選手名簿!$A:$E,5,FALSE))=TRUE,"",VLOOKUP(CONCATENATE($F$10,"_",G29),選手名簿!$A:$E,5,FALSE))</f>
        <v/>
      </c>
      <c r="G29" s="33"/>
      <c r="H29" s="33"/>
      <c r="I29" s="33"/>
      <c r="J29" s="22"/>
      <c r="K29" s="33"/>
      <c r="L29" s="33"/>
      <c r="M29" s="33"/>
      <c r="N29" s="34" t="str">
        <f>IF(ISERROR(VLOOKUP(CONCATENATE($N$10,"_",M29),選手名簿!$A:$E,5,FALSE))=TRUE,"",VLOOKUP(CONCATENATE($N$10,"_",M29),選手名簿!$A:$E,5,FALSE))</f>
        <v/>
      </c>
      <c r="P29" s="83" t="s">
        <v>1967</v>
      </c>
      <c r="Q29" s="769" t="str">
        <f>IF(ISERROR(VLOOKUP(Q28,審判員!$A:$C,2,FALSE))=TRUE,"",VLOOKUP(Q28,審判員!$A:$C,2,FALSE))</f>
        <v>奥薗　将太</v>
      </c>
      <c r="R29" s="770"/>
      <c r="S29" s="83" t="str">
        <f>IF(ISERROR(VLOOKUP(Q28,審判員!$A:$C,3,FALSE))=TRUE,"",VLOOKUP(Q28,審判員!$A:$C,3,FALSE))</f>
        <v>３級</v>
      </c>
      <c r="T29" s="31" t="s">
        <v>196</v>
      </c>
      <c r="U29" s="32" t="str">
        <f>IF(ISERROR(VLOOKUP(CONCATENATE($U$10,"_",V29),選手名簿!$A:$E,5,FALSE))=TRUE,"",VLOOKUP(CONCATENATE($U$10,"_",V29),選手名簿!$A:$E,5,FALSE))</f>
        <v/>
      </c>
      <c r="V29" s="33"/>
      <c r="W29" s="33"/>
      <c r="X29" s="33"/>
      <c r="Y29" s="22"/>
      <c r="Z29" s="33"/>
      <c r="AA29" s="33"/>
      <c r="AB29" s="33"/>
      <c r="AC29" s="34" t="str">
        <f>IF(ISERROR(VLOOKUP(CONCATENATE($AC$10,"_",AB29),選手名簿!$A:$E,5,FALSE))=TRUE,"",VLOOKUP(CONCATENATE($AC$10,"_",AB29),選手名簿!$A:$E,5,FALSE))</f>
        <v/>
      </c>
    </row>
    <row r="30" spans="1:29" ht="20.25" customHeight="1" x14ac:dyDescent="0.45">
      <c r="A30" s="29" t="s">
        <v>226</v>
      </c>
      <c r="B30" s="774" t="s">
        <v>3885</v>
      </c>
      <c r="C30" s="774"/>
      <c r="D30" s="774"/>
      <c r="E30" s="31" t="s">
        <v>196</v>
      </c>
      <c r="F30" s="32" t="str">
        <f>IF(ISERROR(VLOOKUP(CONCATENATE($F$10,"_",G30),選手名簿!$A:$E,5,FALSE))=TRUE,"",VLOOKUP(CONCATENATE($F$10,"_",G30),選手名簿!$A:$E,5,FALSE))</f>
        <v/>
      </c>
      <c r="G30" s="33"/>
      <c r="H30" s="33"/>
      <c r="I30" s="33"/>
      <c r="J30" s="22"/>
      <c r="K30" s="33"/>
      <c r="L30" s="33"/>
      <c r="M30" s="33"/>
      <c r="N30" s="34" t="str">
        <f>IF(ISERROR(VLOOKUP(CONCATENATE($N$10,"_",M30),選手名簿!$A:$E,5,FALSE))=TRUE,"",VLOOKUP(CONCATENATE($N$10,"_",M30),選手名簿!$A:$E,5,FALSE))</f>
        <v/>
      </c>
      <c r="P30" s="29" t="s">
        <v>226</v>
      </c>
      <c r="Q30" s="774" t="s">
        <v>795</v>
      </c>
      <c r="R30" s="774"/>
      <c r="S30" s="774"/>
      <c r="T30" s="31" t="s">
        <v>196</v>
      </c>
      <c r="U30" s="32" t="str">
        <f>IF(ISERROR(VLOOKUP(CONCATENATE($U$10,"_",V30),選手名簿!$A:$E,5,FALSE))=TRUE,"",VLOOKUP(CONCATENATE($U$10,"_",V30),選手名簿!$A:$E,5,FALSE))</f>
        <v/>
      </c>
      <c r="V30" s="33"/>
      <c r="W30" s="33"/>
      <c r="X30" s="33"/>
      <c r="Y30" s="22"/>
      <c r="Z30" s="33"/>
      <c r="AA30" s="33"/>
      <c r="AB30" s="33"/>
      <c r="AC30" s="34" t="str">
        <f>IF(ISERROR(VLOOKUP(CONCATENATE($AC$10,"_",AB30),選手名簿!$A:$E,5,FALSE))=TRUE,"",VLOOKUP(CONCATENATE($AC$10,"_",AB30),選手名簿!$A:$E,5,FALSE))</f>
        <v/>
      </c>
    </row>
    <row r="31" spans="1:29" ht="20.25" customHeight="1" thickBot="1" x14ac:dyDescent="0.6">
      <c r="A31" s="83" t="s">
        <v>1968</v>
      </c>
      <c r="B31" s="769" t="str">
        <f>IF(ISERROR(VLOOKUP(B30,審判員!$A:$C,2,FALSE))=TRUE,"",VLOOKUP(B30,審判員!$A:$C,2,FALSE))</f>
        <v>山田　将来</v>
      </c>
      <c r="C31" s="770"/>
      <c r="D31" s="30" t="str">
        <f>IF(ISERROR(VLOOKUP(B30,審判員!$A:$C,3,FALSE))=TRUE,"",VLOOKUP(B30,審判員!$A:$C,3,FALSE))</f>
        <v>３級</v>
      </c>
      <c r="E31" s="35" t="s">
        <v>196</v>
      </c>
      <c r="F31" s="36" t="str">
        <f>IF(ISERROR(VLOOKUP(CONCATENATE($F$10,"_",G31),選手名簿!$A:$E,5,FALSE))=TRUE,"",VLOOKUP(CONCATENATE($F$10,"_",G31),選手名簿!$A:$E,5,FALSE))</f>
        <v/>
      </c>
      <c r="G31" s="37"/>
      <c r="H31" s="37"/>
      <c r="I31" s="37"/>
      <c r="J31" s="27"/>
      <c r="K31" s="37"/>
      <c r="L31" s="37"/>
      <c r="M31" s="37"/>
      <c r="N31" s="38" t="str">
        <f>IF(ISERROR(VLOOKUP(CONCATENATE($N$10,"_",M31),選手名簿!$A:$E,5,FALSE))=TRUE,"",VLOOKUP(CONCATENATE($N$10,"_",M31),選手名簿!$A:$E,5,FALSE))</f>
        <v/>
      </c>
      <c r="P31" s="83" t="s">
        <v>1968</v>
      </c>
      <c r="Q31" s="769" t="str">
        <f>IF(ISERROR(VLOOKUP(Q30,審判員!$A:$C,2,FALSE))=TRUE,"",VLOOKUP(Q30,審判員!$A:$C,2,FALSE))</f>
        <v>宇髙　篤史</v>
      </c>
      <c r="R31" s="770"/>
      <c r="S31" s="83" t="str">
        <f>IF(ISERROR(VLOOKUP(Q30,審判員!$A:$C,3,FALSE))=TRUE,"",VLOOKUP(Q30,審判員!$A:$C,3,FALSE))</f>
        <v>３級</v>
      </c>
      <c r="T31" s="35" t="s">
        <v>196</v>
      </c>
      <c r="U31" s="36" t="str">
        <f>IF(ISERROR(VLOOKUP(CONCATENATE($U$10,"_",V31),選手名簿!$A:$E,5,FALSE))=TRUE,"",VLOOKUP(CONCATENATE($U$10,"_",V31),選手名簿!$A:$E,5,FALSE))</f>
        <v/>
      </c>
      <c r="V31" s="37"/>
      <c r="W31" s="37"/>
      <c r="X31" s="37"/>
      <c r="Y31" s="27"/>
      <c r="Z31" s="37"/>
      <c r="AA31" s="37"/>
      <c r="AB31" s="37"/>
      <c r="AC31" s="38" t="str">
        <f>IF(ISERROR(VLOOKUP(CONCATENATE($AC$10,"_",AB31),選手名簿!$A:$E,5,FALSE))=TRUE,"",VLOOKUP(CONCATENATE($AC$10,"_",AB31),選手名簿!$A:$E,5,FALSE))</f>
        <v/>
      </c>
    </row>
    <row r="32" spans="1:29" ht="9.9499999999999993" customHeight="1" x14ac:dyDescent="0.45">
      <c r="E32" s="39"/>
      <c r="T32" s="39"/>
    </row>
    <row r="33" spans="1:29" ht="9.9499999999999993" customHeight="1" x14ac:dyDescent="0.45">
      <c r="E33" s="39"/>
      <c r="T33" s="39"/>
    </row>
    <row r="34" spans="1:29" ht="9.9499999999999993" customHeight="1" x14ac:dyDescent="0.45"/>
    <row r="35" spans="1:29" ht="9.9499999999999993" customHeight="1" x14ac:dyDescent="0.45"/>
    <row r="36" spans="1:29" ht="9.9499999999999993" customHeight="1" x14ac:dyDescent="0.45"/>
    <row r="37" spans="1:29" ht="9.9499999999999993" customHeight="1" x14ac:dyDescent="0.45"/>
    <row r="38" spans="1:29" ht="9.9499999999999993" customHeight="1" thickBot="1" x14ac:dyDescent="0.6">
      <c r="E38" s="39"/>
      <c r="T38" s="39"/>
    </row>
    <row r="39" spans="1:29" ht="27.4" customHeight="1" x14ac:dyDescent="0.45">
      <c r="A39" s="365" t="s">
        <v>3235</v>
      </c>
      <c r="B39" s="789" t="s">
        <v>3921</v>
      </c>
      <c r="C39" s="790"/>
      <c r="D39" s="791"/>
      <c r="E39" s="778">
        <v>0.52083333333333337</v>
      </c>
      <c r="F39" s="781" t="str">
        <f>F6</f>
        <v>ブルーウイングフットボールクラブ</v>
      </c>
      <c r="G39" s="784">
        <f>IF(I39="","",SUM(I39:I40))</f>
        <v>4</v>
      </c>
      <c r="H39" s="793" t="s">
        <v>205</v>
      </c>
      <c r="I39" s="84">
        <v>2</v>
      </c>
      <c r="J39" s="84" t="s">
        <v>116</v>
      </c>
      <c r="K39" s="84">
        <v>0</v>
      </c>
      <c r="L39" s="793" t="s">
        <v>206</v>
      </c>
      <c r="M39" s="784">
        <f>IF(K39="","",SUM(K39:K40))</f>
        <v>1</v>
      </c>
      <c r="N39" s="775" t="str">
        <f>F7</f>
        <v>きつきＦＣ</v>
      </c>
      <c r="P39" s="365" t="s">
        <v>3235</v>
      </c>
      <c r="Q39" s="789" t="s">
        <v>8428</v>
      </c>
      <c r="R39" s="790"/>
      <c r="S39" s="791"/>
      <c r="T39" s="778">
        <v>0.5625</v>
      </c>
      <c r="U39" s="781" t="str">
        <f>U6</f>
        <v>明治サッカースポーツ少年団</v>
      </c>
      <c r="V39" s="784">
        <f>IF(X39="","",SUM(X39:X40))</f>
        <v>1</v>
      </c>
      <c r="W39" s="793" t="s">
        <v>205</v>
      </c>
      <c r="X39" s="84">
        <v>1</v>
      </c>
      <c r="Y39" s="84" t="s">
        <v>116</v>
      </c>
      <c r="Z39" s="84">
        <v>4</v>
      </c>
      <c r="AA39" s="793" t="s">
        <v>206</v>
      </c>
      <c r="AB39" s="784">
        <f>IF(Z39="","",SUM(Z39:Z40))</f>
        <v>6</v>
      </c>
      <c r="AC39" s="775" t="str">
        <f>U7</f>
        <v>鶴見少年サッカークラブ</v>
      </c>
    </row>
    <row r="40" spans="1:29" ht="27.4" customHeight="1" x14ac:dyDescent="0.45">
      <c r="A40" s="366" t="s">
        <v>3236</v>
      </c>
      <c r="B40" s="792" t="s">
        <v>3924</v>
      </c>
      <c r="C40" s="792"/>
      <c r="D40" s="789"/>
      <c r="E40" s="779"/>
      <c r="F40" s="782"/>
      <c r="G40" s="785"/>
      <c r="H40" s="794"/>
      <c r="I40" s="9">
        <v>2</v>
      </c>
      <c r="J40" s="9" t="s">
        <v>117</v>
      </c>
      <c r="K40" s="9">
        <v>1</v>
      </c>
      <c r="L40" s="794"/>
      <c r="M40" s="785"/>
      <c r="N40" s="776"/>
      <c r="P40" s="366" t="s">
        <v>3236</v>
      </c>
      <c r="Q40" s="792" t="s">
        <v>3924</v>
      </c>
      <c r="R40" s="792"/>
      <c r="S40" s="789"/>
      <c r="T40" s="779"/>
      <c r="U40" s="782"/>
      <c r="V40" s="785"/>
      <c r="W40" s="794"/>
      <c r="X40" s="9">
        <v>0</v>
      </c>
      <c r="Y40" s="9" t="s">
        <v>117</v>
      </c>
      <c r="Z40" s="9">
        <v>2</v>
      </c>
      <c r="AA40" s="794"/>
      <c r="AB40" s="785"/>
      <c r="AC40" s="776"/>
    </row>
    <row r="41" spans="1:29" ht="27.4" customHeight="1" thickBot="1" x14ac:dyDescent="0.6">
      <c r="A41" s="366" t="s">
        <v>3237</v>
      </c>
      <c r="B41" s="792" t="s">
        <v>3389</v>
      </c>
      <c r="C41" s="792"/>
      <c r="D41" s="789"/>
      <c r="E41" s="780"/>
      <c r="F41" s="783"/>
      <c r="G41" s="786"/>
      <c r="H41" s="795"/>
      <c r="I41" s="85"/>
      <c r="J41" s="85" t="s">
        <v>188</v>
      </c>
      <c r="K41" s="85"/>
      <c r="L41" s="795"/>
      <c r="M41" s="786"/>
      <c r="N41" s="777"/>
      <c r="P41" s="366" t="s">
        <v>3237</v>
      </c>
      <c r="Q41" s="792" t="s">
        <v>3921</v>
      </c>
      <c r="R41" s="792"/>
      <c r="S41" s="789"/>
      <c r="T41" s="780"/>
      <c r="U41" s="783"/>
      <c r="V41" s="786"/>
      <c r="W41" s="795"/>
      <c r="X41" s="85"/>
      <c r="Y41" s="85" t="s">
        <v>188</v>
      </c>
      <c r="Z41" s="85"/>
      <c r="AA41" s="795"/>
      <c r="AB41" s="786"/>
      <c r="AC41" s="777"/>
    </row>
    <row r="42" spans="1:29" ht="20.25" customHeight="1" thickTop="1" x14ac:dyDescent="0.45">
      <c r="A42" s="787" t="s">
        <v>1969</v>
      </c>
      <c r="B42" s="787"/>
      <c r="C42" s="787"/>
      <c r="D42" s="788"/>
      <c r="E42" s="15"/>
      <c r="F42" s="16" t="s">
        <v>190</v>
      </c>
      <c r="G42" s="16" t="s">
        <v>1970</v>
      </c>
      <c r="H42" s="16" t="s">
        <v>145</v>
      </c>
      <c r="I42" s="16"/>
      <c r="J42" s="17"/>
      <c r="K42" s="16"/>
      <c r="L42" s="16" t="s">
        <v>145</v>
      </c>
      <c r="M42" s="16" t="s">
        <v>1970</v>
      </c>
      <c r="N42" s="18" t="s">
        <v>190</v>
      </c>
      <c r="P42" s="787" t="s">
        <v>1969</v>
      </c>
      <c r="Q42" s="787"/>
      <c r="R42" s="787"/>
      <c r="S42" s="788"/>
      <c r="T42" s="15"/>
      <c r="U42" s="16" t="s">
        <v>190</v>
      </c>
      <c r="V42" s="16" t="s">
        <v>1970</v>
      </c>
      <c r="W42" s="16" t="s">
        <v>145</v>
      </c>
      <c r="X42" s="16"/>
      <c r="Y42" s="17"/>
      <c r="Z42" s="16"/>
      <c r="AA42" s="16" t="s">
        <v>145</v>
      </c>
      <c r="AB42" s="16" t="s">
        <v>1970</v>
      </c>
      <c r="AC42" s="18" t="s">
        <v>190</v>
      </c>
    </row>
    <row r="43" spans="1:29" ht="20.25" hidden="1" customHeight="1" x14ac:dyDescent="0.45">
      <c r="E43" s="19" t="s">
        <v>228</v>
      </c>
      <c r="F43" s="20" t="str">
        <f>IF(ISERROR(VLOOKUP(CONCATENATE($F$39,"_",G43),選手名簿!$A:$E,5,FALSE))=TRUE,"",VLOOKUP(CONCATENATE($F$39,"_",G43),選手名簿!$A:$E,5,FALSE))</f>
        <v/>
      </c>
      <c r="G43" s="21"/>
      <c r="H43" s="21"/>
      <c r="I43" s="21"/>
      <c r="J43" s="22"/>
      <c r="K43" s="21"/>
      <c r="L43" s="21"/>
      <c r="M43" s="21"/>
      <c r="N43" s="23" t="str">
        <f>IF(ISERROR(VLOOKUP(CONCATENATE($N$39,"_",M43),選手名簿!$A:$E,5,FALSE))=TRUE,"",VLOOKUP(CONCATENATE($N$39,"_",M43),選手名簿!$A:$E,5,FALSE))</f>
        <v/>
      </c>
      <c r="T43" s="19" t="s">
        <v>228</v>
      </c>
      <c r="U43" s="20" t="str">
        <f>IF(ISERROR(VLOOKUP(CONCATENATE($U$39,"_",V43),選手名簿!$A:$E,5,FALSE))=TRUE,"",VLOOKUP(CONCATENATE($U$39,"_",V43),選手名簿!$A:$E,5,FALSE))</f>
        <v/>
      </c>
      <c r="V43" s="21"/>
      <c r="W43" s="21"/>
      <c r="X43" s="21"/>
      <c r="Y43" s="22"/>
      <c r="Z43" s="21"/>
      <c r="AA43" s="21"/>
      <c r="AB43" s="21"/>
      <c r="AC43" s="23" t="str">
        <f>IF(ISERROR(VLOOKUP(CONCATENATE($AC$39,"_",AB43),選手名簿!$A:$E,5,FALSE))=TRUE,"",VLOOKUP(CONCATENATE($AC$39,"_",AB43),選手名簿!$A:$E,5,FALSE))</f>
        <v/>
      </c>
    </row>
    <row r="44" spans="1:29" ht="20.25" hidden="1" customHeight="1" x14ac:dyDescent="0.45">
      <c r="E44" s="19" t="s">
        <v>228</v>
      </c>
      <c r="F44" s="20" t="str">
        <f>IF(ISERROR(VLOOKUP(CONCATENATE($F$39,"_",G44),選手名簿!$A:$E,5,FALSE))=TRUE,"",VLOOKUP(CONCATENATE($F$39,"_",G44),選手名簿!$A:$E,5,FALSE))</f>
        <v/>
      </c>
      <c r="G44" s="21"/>
      <c r="H44" s="21"/>
      <c r="I44" s="21"/>
      <c r="J44" s="22"/>
      <c r="K44" s="21"/>
      <c r="L44" s="21"/>
      <c r="M44" s="21"/>
      <c r="N44" s="23" t="str">
        <f>IF(ISERROR(VLOOKUP(CONCATENATE($N$39,"_",M44),選手名簿!$A:$E,5,FALSE))=TRUE,"",VLOOKUP(CONCATENATE($N$39,"_",M44),選手名簿!$A:$E,5,FALSE))</f>
        <v/>
      </c>
      <c r="T44" s="19" t="s">
        <v>228</v>
      </c>
      <c r="U44" s="20" t="str">
        <f>IF(ISERROR(VLOOKUP(CONCATENATE($U$39,"_",V44),選手名簿!$A:$E,5,FALSE))=TRUE,"",VLOOKUP(CONCATENATE($U$39,"_",V44),選手名簿!$A:$E,5,FALSE))</f>
        <v/>
      </c>
      <c r="V44" s="21"/>
      <c r="W44" s="21"/>
      <c r="X44" s="21"/>
      <c r="Y44" s="22"/>
      <c r="Z44" s="21"/>
      <c r="AA44" s="21"/>
      <c r="AB44" s="21"/>
      <c r="AC44" s="23" t="str">
        <f>IF(ISERROR(VLOOKUP(CONCATENATE($AC$39,"_",AB44),選手名簿!$A:$E,5,FALSE))=TRUE,"",VLOOKUP(CONCATENATE($AC$39,"_",AB44),選手名簿!$A:$E,5,FALSE))</f>
        <v/>
      </c>
    </row>
    <row r="45" spans="1:29" ht="20.25" hidden="1" customHeight="1" x14ac:dyDescent="0.45">
      <c r="E45" s="19" t="s">
        <v>228</v>
      </c>
      <c r="F45" s="20" t="str">
        <f>IF(ISERROR(VLOOKUP(CONCATENATE($F$39,"_",G45),選手名簿!$A:$E,5,FALSE))=TRUE,"",VLOOKUP(CONCATENATE($F$39,"_",G45),選手名簿!$A:$E,5,FALSE))</f>
        <v/>
      </c>
      <c r="G45" s="21"/>
      <c r="H45" s="21"/>
      <c r="I45" s="21"/>
      <c r="J45" s="22"/>
      <c r="K45" s="21"/>
      <c r="L45" s="21"/>
      <c r="M45" s="21"/>
      <c r="N45" s="23" t="str">
        <f>IF(ISERROR(VLOOKUP(CONCATENATE($N$39,"_",M45),選手名簿!$A:$E,5,FALSE))=TRUE,"",VLOOKUP(CONCATENATE($N$39,"_",M45),選手名簿!$A:$E,5,FALSE))</f>
        <v/>
      </c>
      <c r="T45" s="19" t="s">
        <v>228</v>
      </c>
      <c r="U45" s="20" t="str">
        <f>IF(ISERROR(VLOOKUP(CONCATENATE($U$39,"_",V45),選手名簿!$A:$E,5,FALSE))=TRUE,"",VLOOKUP(CONCATENATE($U$39,"_",V45),選手名簿!$A:$E,5,FALSE))</f>
        <v/>
      </c>
      <c r="V45" s="21"/>
      <c r="W45" s="21"/>
      <c r="X45" s="21"/>
      <c r="Y45" s="22"/>
      <c r="Z45" s="21"/>
      <c r="AA45" s="21"/>
      <c r="AB45" s="21"/>
      <c r="AC45" s="23" t="str">
        <f>IF(ISERROR(VLOOKUP(CONCATENATE($AC$39,"_",AB45),選手名簿!$A:$E,5,FALSE))=TRUE,"",VLOOKUP(CONCATENATE($AC$39,"_",AB45),選手名簿!$A:$E,5,FALSE))</f>
        <v/>
      </c>
    </row>
    <row r="46" spans="1:29" ht="20.25" hidden="1" customHeight="1" x14ac:dyDescent="0.45">
      <c r="E46" s="19" t="s">
        <v>228</v>
      </c>
      <c r="F46" s="20" t="str">
        <f>IF(ISERROR(VLOOKUP(CONCATENATE($F$39,"_",G46),選手名簿!$A:$E,5,FALSE))=TRUE,"",VLOOKUP(CONCATENATE($F$39,"_",G46),選手名簿!$A:$E,5,FALSE))</f>
        <v/>
      </c>
      <c r="G46" s="21"/>
      <c r="H46" s="21"/>
      <c r="I46" s="21"/>
      <c r="J46" s="22"/>
      <c r="K46" s="21"/>
      <c r="L46" s="21"/>
      <c r="M46" s="21"/>
      <c r="N46" s="23" t="str">
        <f>IF(ISERROR(VLOOKUP(CONCATENATE($N$39,"_",M46),選手名簿!$A:$E,5,FALSE))=TRUE,"",VLOOKUP(CONCATENATE($N$39,"_",M46),選手名簿!$A:$E,5,FALSE))</f>
        <v/>
      </c>
      <c r="T46" s="19" t="s">
        <v>228</v>
      </c>
      <c r="U46" s="20" t="str">
        <f>IF(ISERROR(VLOOKUP(CONCATENATE($U$39,"_",V46),選手名簿!$A:$E,5,FALSE))=TRUE,"",VLOOKUP(CONCATENATE($U$39,"_",V46),選手名簿!$A:$E,5,FALSE))</f>
        <v/>
      </c>
      <c r="V46" s="21"/>
      <c r="W46" s="21"/>
      <c r="X46" s="21"/>
      <c r="Y46" s="22"/>
      <c r="Z46" s="21"/>
      <c r="AA46" s="21"/>
      <c r="AB46" s="21"/>
      <c r="AC46" s="23" t="str">
        <f>IF(ISERROR(VLOOKUP(CONCATENATE($AC$39,"_",AB46),選手名簿!$A:$E,5,FALSE))=TRUE,"",VLOOKUP(CONCATENATE($AC$39,"_",AB46),選手名簿!$A:$E,5,FALSE))</f>
        <v/>
      </c>
    </row>
    <row r="47" spans="1:29" ht="20.25" hidden="1" customHeight="1" x14ac:dyDescent="0.45">
      <c r="E47" s="19" t="s">
        <v>228</v>
      </c>
      <c r="F47" s="20" t="str">
        <f>IF(ISERROR(VLOOKUP(CONCATENATE($F$39,"_",G47),選手名簿!$A:$E,5,FALSE))=TRUE,"",VLOOKUP(CONCATENATE($F$39,"_",G47),選手名簿!$A:$E,5,FALSE))</f>
        <v/>
      </c>
      <c r="G47" s="21"/>
      <c r="H47" s="21"/>
      <c r="I47" s="21"/>
      <c r="J47" s="22"/>
      <c r="K47" s="21"/>
      <c r="L47" s="21"/>
      <c r="M47" s="21"/>
      <c r="N47" s="23" t="str">
        <f>IF(ISERROR(VLOOKUP(CONCATENATE($N$39,"_",M47),選手名簿!$A:$E,5,FALSE))=TRUE,"",VLOOKUP(CONCATENATE($N$39,"_",M47),選手名簿!$A:$E,5,FALSE))</f>
        <v/>
      </c>
      <c r="T47" s="19" t="s">
        <v>228</v>
      </c>
      <c r="U47" s="20" t="str">
        <f>IF(ISERROR(VLOOKUP(CONCATENATE($U$39,"_",V47),選手名簿!$A:$E,5,FALSE))=TRUE,"",VLOOKUP(CONCATENATE($U$39,"_",V47),選手名簿!$A:$E,5,FALSE))</f>
        <v/>
      </c>
      <c r="V47" s="21"/>
      <c r="W47" s="21"/>
      <c r="X47" s="21"/>
      <c r="Y47" s="22"/>
      <c r="Z47" s="21"/>
      <c r="AA47" s="21"/>
      <c r="AB47" s="21"/>
      <c r="AC47" s="23" t="str">
        <f>IF(ISERROR(VLOOKUP(CONCATENATE($AC$39,"_",AB47),選手名簿!$A:$E,5,FALSE))=TRUE,"",VLOOKUP(CONCATENATE($AC$39,"_",AB47),選手名簿!$A:$E,5,FALSE))</f>
        <v/>
      </c>
    </row>
    <row r="48" spans="1:29" ht="20.25" hidden="1" customHeight="1" x14ac:dyDescent="0.45">
      <c r="E48" s="19" t="s">
        <v>228</v>
      </c>
      <c r="F48" s="20" t="str">
        <f>IF(ISERROR(VLOOKUP(CONCATENATE($F$39,"_",G48),選手名簿!$A:$E,5,FALSE))=TRUE,"",VLOOKUP(CONCATENATE($F$39,"_",G48),選手名簿!$A:$E,5,FALSE))</f>
        <v/>
      </c>
      <c r="G48" s="21"/>
      <c r="H48" s="21"/>
      <c r="I48" s="21"/>
      <c r="J48" s="22"/>
      <c r="K48" s="21"/>
      <c r="L48" s="21"/>
      <c r="M48" s="21"/>
      <c r="N48" s="23" t="str">
        <f>IF(ISERROR(VLOOKUP(CONCATENATE($N$39,"_",M48),選手名簿!$A:$E,5,FALSE))=TRUE,"",VLOOKUP(CONCATENATE($N$39,"_",M48),選手名簿!$A:$E,5,FALSE))</f>
        <v/>
      </c>
      <c r="T48" s="19" t="s">
        <v>228</v>
      </c>
      <c r="U48" s="20" t="str">
        <f>IF(ISERROR(VLOOKUP(CONCATENATE($U$39,"_",V48),選手名簿!$A:$E,5,FALSE))=TRUE,"",VLOOKUP(CONCATENATE($U$39,"_",V48),選手名簿!$A:$E,5,FALSE))</f>
        <v/>
      </c>
      <c r="V48" s="21"/>
      <c r="W48" s="21"/>
      <c r="X48" s="21"/>
      <c r="Y48" s="22"/>
      <c r="Z48" s="21"/>
      <c r="AA48" s="21"/>
      <c r="AB48" s="21"/>
      <c r="AC48" s="23" t="str">
        <f>IF(ISERROR(VLOOKUP(CONCATENATE($AC$39,"_",AB48),選手名簿!$A:$E,5,FALSE))=TRUE,"",VLOOKUP(CONCATENATE($AC$39,"_",AB48),選手名簿!$A:$E,5,FALSE))</f>
        <v/>
      </c>
    </row>
    <row r="49" spans="1:29" ht="20.25" hidden="1" customHeight="1" x14ac:dyDescent="0.45">
      <c r="E49" s="19" t="s">
        <v>228</v>
      </c>
      <c r="F49" s="20" t="str">
        <f>IF(ISERROR(VLOOKUP(CONCATENATE($F$39,"_",G49),選手名簿!$A:$E,5,FALSE))=TRUE,"",VLOOKUP(CONCATENATE($F$39,"_",G49),選手名簿!$A:$E,5,FALSE))</f>
        <v/>
      </c>
      <c r="G49" s="21"/>
      <c r="H49" s="21"/>
      <c r="I49" s="21"/>
      <c r="J49" s="22"/>
      <c r="K49" s="21"/>
      <c r="L49" s="21"/>
      <c r="M49" s="21"/>
      <c r="N49" s="23" t="str">
        <f>IF(ISERROR(VLOOKUP(CONCATENATE($N$39,"_",M49),選手名簿!$A:$E,5,FALSE))=TRUE,"",VLOOKUP(CONCATENATE($N$39,"_",M49),選手名簿!$A:$E,5,FALSE))</f>
        <v/>
      </c>
      <c r="T49" s="19" t="s">
        <v>228</v>
      </c>
      <c r="U49" s="20" t="str">
        <f>IF(ISERROR(VLOOKUP(CONCATENATE($U$39,"_",V49),選手名簿!$A:$E,5,FALSE))=TRUE,"",VLOOKUP(CONCATENATE($U$39,"_",V49),選手名簿!$A:$E,5,FALSE))</f>
        <v/>
      </c>
      <c r="V49" s="21"/>
      <c r="W49" s="21"/>
      <c r="X49" s="21"/>
      <c r="Y49" s="22"/>
      <c r="Z49" s="21"/>
      <c r="AA49" s="21"/>
      <c r="AB49" s="21"/>
      <c r="AC49" s="23" t="str">
        <f>IF(ISERROR(VLOOKUP(CONCATENATE($AC$39,"_",AB49),選手名簿!$A:$E,5,FALSE))=TRUE,"",VLOOKUP(CONCATENATE($AC$39,"_",AB49),選手名簿!$A:$E,5,FALSE))</f>
        <v/>
      </c>
    </row>
    <row r="50" spans="1:29" ht="20.25" hidden="1" customHeight="1" x14ac:dyDescent="0.45">
      <c r="E50" s="19" t="s">
        <v>228</v>
      </c>
      <c r="F50" s="20" t="str">
        <f>IF(ISERROR(VLOOKUP(CONCATENATE($F$39,"_",G50),選手名簿!$A:$E,5,FALSE))=TRUE,"",VLOOKUP(CONCATENATE($F$39,"_",G50),選手名簿!$A:$E,5,FALSE))</f>
        <v/>
      </c>
      <c r="G50" s="21"/>
      <c r="H50" s="21"/>
      <c r="I50" s="21"/>
      <c r="J50" s="22"/>
      <c r="K50" s="21"/>
      <c r="L50" s="21"/>
      <c r="M50" s="21"/>
      <c r="N50" s="23" t="str">
        <f>IF(ISERROR(VLOOKUP(CONCATENATE($N$39,"_",M50),選手名簿!$A:$E,5,FALSE))=TRUE,"",VLOOKUP(CONCATENATE($N$39,"_",M50),選手名簿!$A:$E,5,FALSE))</f>
        <v/>
      </c>
      <c r="T50" s="19" t="s">
        <v>228</v>
      </c>
      <c r="U50" s="20" t="str">
        <f>IF(ISERROR(VLOOKUP(CONCATENATE($U$39,"_",V50),選手名簿!$A:$E,5,FALSE))=TRUE,"",VLOOKUP(CONCATENATE($U$39,"_",V50),選手名簿!$A:$E,5,FALSE))</f>
        <v/>
      </c>
      <c r="V50" s="21"/>
      <c r="W50" s="21"/>
      <c r="X50" s="21"/>
      <c r="Y50" s="22"/>
      <c r="Z50" s="21"/>
      <c r="AA50" s="21"/>
      <c r="AB50" s="21"/>
      <c r="AC50" s="23" t="str">
        <f>IF(ISERROR(VLOOKUP(CONCATENATE($AC$39,"_",AB50),選手名簿!$A:$E,5,FALSE))=TRUE,"",VLOOKUP(CONCATENATE($AC$39,"_",AB50),選手名簿!$A:$E,5,FALSE))</f>
        <v/>
      </c>
    </row>
    <row r="51" spans="1:29" ht="20.25" hidden="1" customHeight="1" x14ac:dyDescent="0.45">
      <c r="E51" s="19" t="s">
        <v>228</v>
      </c>
      <c r="F51" s="20" t="str">
        <f>IF(ISERROR(VLOOKUP(CONCATENATE($F$39,"_",G51),選手名簿!$A:$E,5,FALSE))=TRUE,"",VLOOKUP(CONCATENATE($F$39,"_",G51),選手名簿!$A:$E,5,FALSE))</f>
        <v/>
      </c>
      <c r="G51" s="21"/>
      <c r="H51" s="21"/>
      <c r="I51" s="21"/>
      <c r="J51" s="22"/>
      <c r="K51" s="21"/>
      <c r="L51" s="21"/>
      <c r="M51" s="21"/>
      <c r="N51" s="23" t="str">
        <f>IF(ISERROR(VLOOKUP(CONCATENATE($N$39,"_",M51),選手名簿!$A:$E,5,FALSE))=TRUE,"",VLOOKUP(CONCATENATE($N$39,"_",M51),選手名簿!$A:$E,5,FALSE))</f>
        <v/>
      </c>
      <c r="T51" s="19" t="s">
        <v>228</v>
      </c>
      <c r="U51" s="20" t="str">
        <f>IF(ISERROR(VLOOKUP(CONCATENATE($U$39,"_",V51),選手名簿!$A:$E,5,FALSE))=TRUE,"",VLOOKUP(CONCATENATE($U$39,"_",V51),選手名簿!$A:$E,5,FALSE))</f>
        <v/>
      </c>
      <c r="V51" s="21"/>
      <c r="W51" s="21"/>
      <c r="X51" s="21"/>
      <c r="Y51" s="22"/>
      <c r="Z51" s="21"/>
      <c r="AA51" s="21"/>
      <c r="AB51" s="21"/>
      <c r="AC51" s="23" t="str">
        <f>IF(ISERROR(VLOOKUP(CONCATENATE($AC$39,"_",AB51),選手名簿!$A:$E,5,FALSE))=TRUE,"",VLOOKUP(CONCATENATE($AC$39,"_",AB51),選手名簿!$A:$E,5,FALSE))</f>
        <v/>
      </c>
    </row>
    <row r="52" spans="1:29" ht="20.25" hidden="1" customHeight="1" thickBot="1" x14ac:dyDescent="0.6">
      <c r="E52" s="24" t="s">
        <v>228</v>
      </c>
      <c r="F52" s="25" t="str">
        <f>IF(ISERROR(VLOOKUP(CONCATENATE($F$39,"_",G52),選手名簿!$A:$E,5,FALSE))=TRUE,"",VLOOKUP(CONCATENATE($F$39,"_",G52),選手名簿!$A:$E,5,FALSE))</f>
        <v/>
      </c>
      <c r="G52" s="26"/>
      <c r="H52" s="26"/>
      <c r="I52" s="26"/>
      <c r="J52" s="27"/>
      <c r="K52" s="26"/>
      <c r="L52" s="26"/>
      <c r="M52" s="26"/>
      <c r="N52" s="28" t="str">
        <f>IF(ISERROR(VLOOKUP(CONCATENATE($N$39,"_",M52),選手名簿!$A:$E,5,FALSE))=TRUE,"",VLOOKUP(CONCATENATE($N$39,"_",M52),選手名簿!$A:$E,5,FALSE))</f>
        <v/>
      </c>
      <c r="T52" s="24" t="s">
        <v>228</v>
      </c>
      <c r="U52" s="25" t="str">
        <f>IF(ISERROR(VLOOKUP(CONCATENATE($U$39,"_",V52),選手名簿!$A:$E,5,FALSE))=TRUE,"",VLOOKUP(CONCATENATE($U$39,"_",V52),選手名簿!$A:$E,5,FALSE))</f>
        <v/>
      </c>
      <c r="V52" s="26"/>
      <c r="W52" s="26"/>
      <c r="X52" s="26"/>
      <c r="Y52" s="27"/>
      <c r="Z52" s="26"/>
      <c r="AA52" s="26"/>
      <c r="AB52" s="26"/>
      <c r="AC52" s="28" t="str">
        <f>IF(ISERROR(VLOOKUP(CONCATENATE($AC$39,"_",AB52),選手名簿!$A:$E,5,FALSE))=TRUE,"",VLOOKUP(CONCATENATE($AC$39,"_",AB52),選手名簿!$A:$E,5,FALSE))</f>
        <v/>
      </c>
    </row>
    <row r="53" spans="1:29" ht="20.25" customHeight="1" x14ac:dyDescent="0.45">
      <c r="A53" s="29" t="s">
        <v>226</v>
      </c>
      <c r="B53" s="774" t="s">
        <v>795</v>
      </c>
      <c r="C53" s="774"/>
      <c r="D53" s="774"/>
      <c r="E53" s="19" t="s">
        <v>196</v>
      </c>
      <c r="F53" s="20" t="str">
        <f>IF(ISERROR(VLOOKUP(CONCATENATE($F$39,"_",G53),選手名簿!$A:$E,5,FALSE))=TRUE,"",VLOOKUP(CONCATENATE($F$39,"_",G53),選手名簿!$A:$E,5,FALSE))</f>
        <v/>
      </c>
      <c r="G53" s="21"/>
      <c r="H53" s="21"/>
      <c r="I53" s="21"/>
      <c r="J53" s="22"/>
      <c r="K53" s="21"/>
      <c r="L53" s="21"/>
      <c r="M53" s="21"/>
      <c r="N53" s="23" t="str">
        <f>IF(ISERROR(VLOOKUP(CONCATENATE($N$39,"_",M53),選手名簿!$A:$E,5,FALSE))=TRUE,"",VLOOKUP(CONCATENATE($N$39,"_",M53),選手名簿!$A:$E,5,FALSE))</f>
        <v/>
      </c>
      <c r="P53" s="29" t="s">
        <v>226</v>
      </c>
      <c r="Q53" s="774" t="s">
        <v>4381</v>
      </c>
      <c r="R53" s="774"/>
      <c r="S53" s="774"/>
      <c r="T53" s="19" t="s">
        <v>196</v>
      </c>
      <c r="U53" s="20" t="str">
        <f>IF(ISERROR(VLOOKUP(CONCATENATE($U$39,"_",V53),選手名簿!$A:$E,5,FALSE))=TRUE,"",VLOOKUP(CONCATENATE($U$39,"_",V53),選手名簿!$A:$E,5,FALSE))</f>
        <v/>
      </c>
      <c r="V53" s="21"/>
      <c r="W53" s="21"/>
      <c r="X53" s="21"/>
      <c r="Y53" s="22"/>
      <c r="Z53" s="21"/>
      <c r="AA53" s="21"/>
      <c r="AB53" s="21"/>
      <c r="AC53" s="23" t="str">
        <f>IF(ISERROR(VLOOKUP(CONCATENATE($AC$39,"_",AB53),選手名簿!$A:$E,5,FALSE))=TRUE,"",VLOOKUP(CONCATENATE($AC$39,"_",AB53),選手名簿!$A:$E,5,FALSE))</f>
        <v/>
      </c>
    </row>
    <row r="54" spans="1:29" ht="20.25" customHeight="1" x14ac:dyDescent="0.45">
      <c r="A54" s="83" t="s">
        <v>1959</v>
      </c>
      <c r="B54" s="769" t="str">
        <f>IF(ISERROR(VLOOKUP(B53,審判員!$A:$C,2,FALSE))=TRUE,"",VLOOKUP(B53,審判員!$A:$C,2,FALSE))</f>
        <v>宇髙　篤史</v>
      </c>
      <c r="C54" s="770"/>
      <c r="D54" s="83" t="str">
        <f>IF(ISERROR(VLOOKUP(B53,審判員!$A:$C,3,FALSE))=TRUE,"",VLOOKUP(B53,審判員!$A:$C,3,FALSE))</f>
        <v>３級</v>
      </c>
      <c r="E54" s="31" t="s">
        <v>196</v>
      </c>
      <c r="F54" s="32" t="str">
        <f>IF(ISERROR(VLOOKUP(CONCATENATE($F$39,"_",G54),選手名簿!$A:$E,5,FALSE))=TRUE,"",VLOOKUP(CONCATENATE($F$39,"_",G54),選手名簿!$A:$E,5,FALSE))</f>
        <v/>
      </c>
      <c r="G54" s="33"/>
      <c r="H54" s="33"/>
      <c r="I54" s="33"/>
      <c r="J54" s="22"/>
      <c r="K54" s="33"/>
      <c r="L54" s="33"/>
      <c r="M54" s="33"/>
      <c r="N54" s="34" t="str">
        <f>IF(ISERROR(VLOOKUP(CONCATENATE($N$39,"_",M54),選手名簿!$A:$E,5,FALSE))=TRUE,"",VLOOKUP(CONCATENATE($N$39,"_",M54),選手名簿!$A:$E,5,FALSE))</f>
        <v/>
      </c>
      <c r="P54" s="83" t="s">
        <v>1959</v>
      </c>
      <c r="Q54" s="769" t="str">
        <f>IF(ISERROR(VLOOKUP(Q53,審判員!$A:$C,2,FALSE))=TRUE,"",VLOOKUP(Q53,審判員!$A:$C,2,FALSE))</f>
        <v>田中　靖之</v>
      </c>
      <c r="R54" s="770"/>
      <c r="S54" s="83" t="str">
        <f>IF(ISERROR(VLOOKUP(Q53,審判員!$A:$C,3,FALSE))=TRUE,"",VLOOKUP(Q53,審判員!$A:$C,3,FALSE))</f>
        <v>３級</v>
      </c>
      <c r="T54" s="31" t="s">
        <v>196</v>
      </c>
      <c r="U54" s="32" t="str">
        <f>IF(ISERROR(VLOOKUP(CONCATENATE($U$39,"_",V54),選手名簿!$A:$E,5,FALSE))=TRUE,"",VLOOKUP(CONCATENATE($U$39,"_",V54),選手名簿!$A:$E,5,FALSE))</f>
        <v/>
      </c>
      <c r="V54" s="33"/>
      <c r="W54" s="33"/>
      <c r="X54" s="33"/>
      <c r="Y54" s="22"/>
      <c r="Z54" s="33"/>
      <c r="AA54" s="33"/>
      <c r="AB54" s="33"/>
      <c r="AC54" s="34" t="str">
        <f>IF(ISERROR(VLOOKUP(CONCATENATE($AC$39,"_",AB54),選手名簿!$A:$E,5,FALSE))=TRUE,"",VLOOKUP(CONCATENATE($AC$39,"_",AB54),選手名簿!$A:$E,5,FALSE))</f>
        <v/>
      </c>
    </row>
    <row r="55" spans="1:29" ht="20.25" customHeight="1" x14ac:dyDescent="0.45">
      <c r="A55" s="29" t="s">
        <v>226</v>
      </c>
      <c r="B55" s="771" t="s">
        <v>11860</v>
      </c>
      <c r="C55" s="771"/>
      <c r="D55" s="772"/>
      <c r="E55" s="31" t="s">
        <v>196</v>
      </c>
      <c r="F55" s="32" t="str">
        <f>IF(ISERROR(VLOOKUP(CONCATENATE($F$39,"_",G55),選手名簿!$A:$E,5,FALSE))=TRUE,"",VLOOKUP(CONCATENATE($F$39,"_",G55),選手名簿!$A:$E,5,FALSE))</f>
        <v/>
      </c>
      <c r="G55" s="33"/>
      <c r="H55" s="33"/>
      <c r="I55" s="33"/>
      <c r="J55" s="22"/>
      <c r="K55" s="33"/>
      <c r="L55" s="33"/>
      <c r="M55" s="33"/>
      <c r="N55" s="34" t="str">
        <f>IF(ISERROR(VLOOKUP(CONCATENATE($N$39,"_",M55),選手名簿!$A:$E,5,FALSE))=TRUE,"",VLOOKUP(CONCATENATE($N$39,"_",M55),選手名簿!$A:$E,5,FALSE))</f>
        <v/>
      </c>
      <c r="P55" s="29" t="s">
        <v>226</v>
      </c>
      <c r="Q55" s="771" t="s">
        <v>11868</v>
      </c>
      <c r="R55" s="771"/>
      <c r="S55" s="772"/>
      <c r="T55" s="31" t="s">
        <v>196</v>
      </c>
      <c r="U55" s="32" t="str">
        <f>IF(ISERROR(VLOOKUP(CONCATENATE($U$39,"_",V55),選手名簿!$A:$E,5,FALSE))=TRUE,"",VLOOKUP(CONCATENATE($U$39,"_",V55),選手名簿!$A:$E,5,FALSE))</f>
        <v/>
      </c>
      <c r="V55" s="33"/>
      <c r="W55" s="33"/>
      <c r="X55" s="33"/>
      <c r="Y55" s="22"/>
      <c r="Z55" s="33"/>
      <c r="AA55" s="33"/>
      <c r="AB55" s="33"/>
      <c r="AC55" s="34" t="str">
        <f>IF(ISERROR(VLOOKUP(CONCATENATE($AC$39,"_",AB55),選手名簿!$A:$E,5,FALSE))=TRUE,"",VLOOKUP(CONCATENATE($AC$39,"_",AB55),選手名簿!$A:$E,5,FALSE))</f>
        <v/>
      </c>
    </row>
    <row r="56" spans="1:29" ht="20.25" customHeight="1" x14ac:dyDescent="0.45">
      <c r="A56" s="83" t="s">
        <v>1966</v>
      </c>
      <c r="B56" s="769" t="str">
        <f>IF(ISERROR(VLOOKUP(B55,審判員!$A:$C,2,FALSE))=TRUE,"",VLOOKUP(B55,審判員!$A:$C,2,FALSE))</f>
        <v>如法寺　雅俊</v>
      </c>
      <c r="C56" s="770"/>
      <c r="D56" s="83" t="str">
        <f>IF(ISERROR(VLOOKUP(B55,審判員!$A:$C,3,FALSE))=TRUE,"",VLOOKUP(B55,審判員!$A:$C,3,FALSE))</f>
        <v>３級</v>
      </c>
      <c r="E56" s="31" t="s">
        <v>196</v>
      </c>
      <c r="F56" s="32" t="str">
        <f>IF(ISERROR(VLOOKUP(CONCATENATE($F$39,"_",G56),選手名簿!$A:$E,5,FALSE))=TRUE,"",VLOOKUP(CONCATENATE($F$39,"_",G56),選手名簿!$A:$E,5,FALSE))</f>
        <v/>
      </c>
      <c r="G56" s="33"/>
      <c r="H56" s="33"/>
      <c r="I56" s="33"/>
      <c r="J56" s="22"/>
      <c r="K56" s="33"/>
      <c r="L56" s="33"/>
      <c r="M56" s="33"/>
      <c r="N56" s="34" t="str">
        <f>IF(ISERROR(VLOOKUP(CONCATENATE($N$39,"_",M56),選手名簿!$A:$E,5,FALSE))=TRUE,"",VLOOKUP(CONCATENATE($N$39,"_",M56),選手名簿!$A:$E,5,FALSE))</f>
        <v/>
      </c>
      <c r="P56" s="83" t="s">
        <v>1966</v>
      </c>
      <c r="Q56" s="769" t="str">
        <f>IF(ISERROR(VLOOKUP(Q55,審判員!$A:$C,2,FALSE))=TRUE,"",VLOOKUP(Q55,審判員!$A:$C,2,FALSE))</f>
        <v>緒方　崇</v>
      </c>
      <c r="R56" s="770"/>
      <c r="S56" s="83" t="str">
        <f>IF(ISERROR(VLOOKUP(Q55,審判員!$A:$C,3,FALSE))=TRUE,"",VLOOKUP(Q55,審判員!$A:$C,3,FALSE))</f>
        <v>３級</v>
      </c>
      <c r="T56" s="31" t="s">
        <v>196</v>
      </c>
      <c r="U56" s="32" t="str">
        <f>IF(ISERROR(VLOOKUP(CONCATENATE($U$39,"_",V56),選手名簿!$A:$E,5,FALSE))=TRUE,"",VLOOKUP(CONCATENATE($U$39,"_",V56),選手名簿!$A:$E,5,FALSE))</f>
        <v/>
      </c>
      <c r="V56" s="33"/>
      <c r="W56" s="33"/>
      <c r="X56" s="33"/>
      <c r="Y56" s="22"/>
      <c r="Z56" s="33"/>
      <c r="AA56" s="33"/>
      <c r="AB56" s="33"/>
      <c r="AC56" s="34" t="str">
        <f>IF(ISERROR(VLOOKUP(CONCATENATE($AC$39,"_",AB56),選手名簿!$A:$E,5,FALSE))=TRUE,"",VLOOKUP(CONCATENATE($AC$39,"_",AB56),選手名簿!$A:$E,5,FALSE))</f>
        <v/>
      </c>
    </row>
    <row r="57" spans="1:29" ht="20.25" customHeight="1" x14ac:dyDescent="0.45">
      <c r="A57" s="29" t="s">
        <v>226</v>
      </c>
      <c r="B57" s="771" t="s">
        <v>11850</v>
      </c>
      <c r="C57" s="771"/>
      <c r="D57" s="771"/>
      <c r="E57" s="31" t="s">
        <v>196</v>
      </c>
      <c r="F57" s="32" t="str">
        <f>IF(ISERROR(VLOOKUP(CONCATENATE($F$39,"_",G57),選手名簿!$A:$E,5,FALSE))=TRUE,"",VLOOKUP(CONCATENATE($F$39,"_",G57),選手名簿!$A:$E,5,FALSE))</f>
        <v/>
      </c>
      <c r="G57" s="33"/>
      <c r="H57" s="33"/>
      <c r="I57" s="33"/>
      <c r="J57" s="22"/>
      <c r="K57" s="33"/>
      <c r="L57" s="33"/>
      <c r="M57" s="33"/>
      <c r="N57" s="34" t="str">
        <f>IF(ISERROR(VLOOKUP(CONCATENATE($N$39,"_",M57),選手名簿!$A:$E,5,FALSE))=TRUE,"",VLOOKUP(CONCATENATE($N$39,"_",M57),選手名簿!$A:$E,5,FALSE))</f>
        <v/>
      </c>
      <c r="P57" s="29" t="s">
        <v>226</v>
      </c>
      <c r="Q57" s="771" t="s">
        <v>11855</v>
      </c>
      <c r="R57" s="771"/>
      <c r="S57" s="772"/>
      <c r="T57" s="31" t="s">
        <v>196</v>
      </c>
      <c r="U57" s="32" t="str">
        <f>IF(ISERROR(VLOOKUP(CONCATENATE($U$39,"_",V57),選手名簿!$A:$E,5,FALSE))=TRUE,"",VLOOKUP(CONCATENATE($U$39,"_",V57),選手名簿!$A:$E,5,FALSE))</f>
        <v/>
      </c>
      <c r="V57" s="33"/>
      <c r="W57" s="33"/>
      <c r="X57" s="33"/>
      <c r="Y57" s="22"/>
      <c r="Z57" s="33"/>
      <c r="AA57" s="33"/>
      <c r="AB57" s="33"/>
      <c r="AC57" s="34" t="str">
        <f>IF(ISERROR(VLOOKUP(CONCATENATE($AC$39,"_",AB57),選手名簿!$A:$E,5,FALSE))=TRUE,"",VLOOKUP(CONCATENATE($AC$39,"_",AB57),選手名簿!$A:$E,5,FALSE))</f>
        <v/>
      </c>
    </row>
    <row r="58" spans="1:29" ht="20.25" customHeight="1" x14ac:dyDescent="0.45">
      <c r="A58" s="83" t="s">
        <v>1967</v>
      </c>
      <c r="B58" s="769" t="str">
        <f>IF(ISERROR(VLOOKUP(B57,審判員!$A:$C,2,FALSE))=TRUE,"",VLOOKUP(B57,審判員!$A:$C,2,FALSE))</f>
        <v>内藤　翔悟</v>
      </c>
      <c r="C58" s="770"/>
      <c r="D58" s="83" t="str">
        <f>IF(ISERROR(VLOOKUP(B57,審判員!$A:$C,3,FALSE))=TRUE,"",VLOOKUP(B57,審判員!$A:$C,3,FALSE))</f>
        <v>３級</v>
      </c>
      <c r="E58" s="31" t="s">
        <v>196</v>
      </c>
      <c r="F58" s="32" t="str">
        <f>IF(ISERROR(VLOOKUP(CONCATENATE($F$39,"_",G58),選手名簿!$A:$E,5,FALSE))=TRUE,"",VLOOKUP(CONCATENATE($F$39,"_",G58),選手名簿!$A:$E,5,FALSE))</f>
        <v/>
      </c>
      <c r="G58" s="33"/>
      <c r="H58" s="33"/>
      <c r="I58" s="33"/>
      <c r="J58" s="22"/>
      <c r="K58" s="33"/>
      <c r="L58" s="33"/>
      <c r="M58" s="33"/>
      <c r="N58" s="34" t="str">
        <f>IF(ISERROR(VLOOKUP(CONCATENATE($N$39,"_",M58),選手名簿!$A:$E,5,FALSE))=TRUE,"",VLOOKUP(CONCATENATE($N$39,"_",M58),選手名簿!$A:$E,5,FALSE))</f>
        <v/>
      </c>
      <c r="P58" s="83" t="s">
        <v>1967</v>
      </c>
      <c r="Q58" s="769" t="str">
        <f>IF(ISERROR(VLOOKUP(Q57,審判員!$A:$C,2,FALSE))=TRUE,"",VLOOKUP(Q57,審判員!$A:$C,2,FALSE))</f>
        <v>奥薗　将太</v>
      </c>
      <c r="R58" s="770"/>
      <c r="S58" s="83" t="str">
        <f>IF(ISERROR(VLOOKUP(Q57,審判員!$A:$C,3,FALSE))=TRUE,"",VLOOKUP(Q57,審判員!$A:$C,3,FALSE))</f>
        <v>３級</v>
      </c>
      <c r="T58" s="31" t="s">
        <v>196</v>
      </c>
      <c r="U58" s="32" t="str">
        <f>IF(ISERROR(VLOOKUP(CONCATENATE($U$39,"_",V58),選手名簿!$A:$E,5,FALSE))=TRUE,"",VLOOKUP(CONCATENATE($U$39,"_",V58),選手名簿!$A:$E,5,FALSE))</f>
        <v/>
      </c>
      <c r="V58" s="33"/>
      <c r="W58" s="33"/>
      <c r="X58" s="33"/>
      <c r="Y58" s="22"/>
      <c r="Z58" s="33"/>
      <c r="AA58" s="33"/>
      <c r="AB58" s="33"/>
      <c r="AC58" s="34" t="str">
        <f>IF(ISERROR(VLOOKUP(CONCATENATE($AC$39,"_",AB58),選手名簿!$A:$E,5,FALSE))=TRUE,"",VLOOKUP(CONCATENATE($AC$39,"_",AB58),選手名簿!$A:$E,5,FALSE))</f>
        <v/>
      </c>
    </row>
    <row r="59" spans="1:29" ht="20.25" customHeight="1" x14ac:dyDescent="0.45">
      <c r="A59" s="29" t="s">
        <v>226</v>
      </c>
      <c r="B59" s="774" t="s">
        <v>4381</v>
      </c>
      <c r="C59" s="774"/>
      <c r="D59" s="774"/>
      <c r="E59" s="31" t="s">
        <v>196</v>
      </c>
      <c r="F59" s="32" t="str">
        <f>IF(ISERROR(VLOOKUP(CONCATENATE($F$39,"_",G59),選手名簿!$A:$E,5,FALSE))=TRUE,"",VLOOKUP(CONCATENATE($F$39,"_",G59),選手名簿!$A:$E,5,FALSE))</f>
        <v/>
      </c>
      <c r="G59" s="33"/>
      <c r="H59" s="33"/>
      <c r="I59" s="33"/>
      <c r="J59" s="22"/>
      <c r="K59" s="33"/>
      <c r="L59" s="33"/>
      <c r="M59" s="33"/>
      <c r="N59" s="34" t="str">
        <f>IF(ISERROR(VLOOKUP(CONCATENATE($N$39,"_",M59),選手名簿!$A:$E,5,FALSE))=TRUE,"",VLOOKUP(CONCATENATE($N$39,"_",M59),選手名簿!$A:$E,5,FALSE))</f>
        <v/>
      </c>
      <c r="P59" s="29" t="s">
        <v>226</v>
      </c>
      <c r="Q59" s="774" t="s">
        <v>3885</v>
      </c>
      <c r="R59" s="774"/>
      <c r="S59" s="774"/>
      <c r="T59" s="31" t="s">
        <v>196</v>
      </c>
      <c r="U59" s="32" t="str">
        <f>IF(ISERROR(VLOOKUP(CONCATENATE($U$39,"_",V59),選手名簿!$A:$E,5,FALSE))=TRUE,"",VLOOKUP(CONCATENATE($U$39,"_",V59),選手名簿!$A:$E,5,FALSE))</f>
        <v/>
      </c>
      <c r="V59" s="33"/>
      <c r="W59" s="33"/>
      <c r="X59" s="33"/>
      <c r="Y59" s="22"/>
      <c r="Z59" s="33"/>
      <c r="AA59" s="33"/>
      <c r="AB59" s="33"/>
      <c r="AC59" s="34" t="str">
        <f>IF(ISERROR(VLOOKUP(CONCATENATE($AC$39,"_",AB59),選手名簿!$A:$E,5,FALSE))=TRUE,"",VLOOKUP(CONCATENATE($AC$39,"_",AB59),選手名簿!$A:$E,5,FALSE))</f>
        <v/>
      </c>
    </row>
    <row r="60" spans="1:29" ht="20.25" customHeight="1" thickBot="1" x14ac:dyDescent="0.6">
      <c r="A60" s="83" t="s">
        <v>1968</v>
      </c>
      <c r="B60" s="769" t="str">
        <f>IF(ISERROR(VLOOKUP(B59,審判員!$A:$C,2,FALSE))=TRUE,"",VLOOKUP(B59,審判員!$A:$C,2,FALSE))</f>
        <v>田中　靖之</v>
      </c>
      <c r="C60" s="770"/>
      <c r="D60" s="83" t="str">
        <f>IF(ISERROR(VLOOKUP(B59,審判員!$A:$C,3,FALSE))=TRUE,"",VLOOKUP(B59,審判員!$A:$C,3,FALSE))</f>
        <v>３級</v>
      </c>
      <c r="E60" s="35" t="s">
        <v>196</v>
      </c>
      <c r="F60" s="36" t="str">
        <f>IF(ISERROR(VLOOKUP(CONCATENATE($F$39,"_",G60),選手名簿!$A:$E,5,FALSE))=TRUE,"",VLOOKUP(CONCATENATE($F$39,"_",G60),選手名簿!$A:$E,5,FALSE))</f>
        <v/>
      </c>
      <c r="G60" s="37"/>
      <c r="H60" s="37"/>
      <c r="I60" s="37"/>
      <c r="J60" s="27"/>
      <c r="K60" s="37"/>
      <c r="L60" s="37"/>
      <c r="M60" s="37"/>
      <c r="N60" s="38" t="str">
        <f>IF(ISERROR(VLOOKUP(CONCATENATE($N$39,"_",M60),選手名簿!$A:$E,5,FALSE))=TRUE,"",VLOOKUP(CONCATENATE($N$39,"_",M60),選手名簿!$A:$E,5,FALSE))</f>
        <v/>
      </c>
      <c r="P60" s="83" t="s">
        <v>1968</v>
      </c>
      <c r="Q60" s="769" t="str">
        <f>IF(ISERROR(VLOOKUP(Q59,審判員!$A:$C,2,FALSE))=TRUE,"",VLOOKUP(Q59,審判員!$A:$C,2,FALSE))</f>
        <v>山田　将来</v>
      </c>
      <c r="R60" s="770"/>
      <c r="S60" s="83" t="str">
        <f>IF(ISERROR(VLOOKUP(Q59,審判員!$A:$C,3,FALSE))=TRUE,"",VLOOKUP(Q59,審判員!$A:$C,3,FALSE))</f>
        <v>３級</v>
      </c>
      <c r="T60" s="35" t="s">
        <v>196</v>
      </c>
      <c r="U60" s="36" t="str">
        <f>IF(ISERROR(VLOOKUP(CONCATENATE($U$39,"_",V60),選手名簿!$A:$E,5,FALSE))=TRUE,"",VLOOKUP(CONCATENATE($U$39,"_",V60),選手名簿!$A:$E,5,FALSE))</f>
        <v/>
      </c>
      <c r="V60" s="37"/>
      <c r="W60" s="37"/>
      <c r="X60" s="37"/>
      <c r="Y60" s="27"/>
      <c r="Z60" s="37"/>
      <c r="AA60" s="37"/>
      <c r="AB60" s="37"/>
      <c r="AC60" s="38" t="str">
        <f>IF(ISERROR(VLOOKUP(CONCATENATE($AC$39,"_",AB60),選手名簿!$A:$E,5,FALSE))=TRUE,"",VLOOKUP(CONCATENATE($AC$39,"_",AB60),選手名簿!$A:$E,5,FALSE))</f>
        <v/>
      </c>
    </row>
    <row r="61" spans="1:29" ht="9.9499999999999993" customHeight="1" x14ac:dyDescent="0.45">
      <c r="E61" s="39"/>
      <c r="T61" s="39"/>
    </row>
    <row r="62" spans="1:29" ht="9.9499999999999993" customHeight="1" x14ac:dyDescent="0.45">
      <c r="E62" s="39"/>
      <c r="T62" s="39"/>
    </row>
    <row r="63" spans="1:29" ht="9.9499999999999993" customHeight="1" x14ac:dyDescent="0.45"/>
    <row r="64" spans="1:29" ht="9.9499999999999993" customHeight="1" x14ac:dyDescent="0.45"/>
    <row r="65" spans="1:29" ht="9.9499999999999993" customHeight="1" x14ac:dyDescent="0.45"/>
    <row r="66" spans="1:29" ht="9.9499999999999993" customHeight="1" x14ac:dyDescent="0.45"/>
    <row r="67" spans="1:29" ht="9.9499999999999993" customHeight="1" thickBot="1" x14ac:dyDescent="0.6">
      <c r="E67" s="39"/>
      <c r="T67" s="39"/>
    </row>
    <row r="68" spans="1:29" ht="27.4" customHeight="1" x14ac:dyDescent="0.45">
      <c r="A68" s="365" t="s">
        <v>3235</v>
      </c>
      <c r="B68" s="789" t="s">
        <v>3389</v>
      </c>
      <c r="C68" s="790"/>
      <c r="D68" s="791"/>
      <c r="E68" s="778">
        <v>0.60416666666666663</v>
      </c>
      <c r="F68" s="781" t="str">
        <f>F7</f>
        <v>きつきＦＣ</v>
      </c>
      <c r="G68" s="784">
        <f>IF(I68="","",SUM(I68:I69))</f>
        <v>2</v>
      </c>
      <c r="H68" s="793" t="s">
        <v>205</v>
      </c>
      <c r="I68" s="84">
        <v>2</v>
      </c>
      <c r="J68" s="84" t="s">
        <v>116</v>
      </c>
      <c r="K68" s="84">
        <v>0</v>
      </c>
      <c r="L68" s="793" t="s">
        <v>206</v>
      </c>
      <c r="M68" s="784">
        <f>IF(K68="","",SUM(K68:K69))</f>
        <v>1</v>
      </c>
      <c r="N68" s="775" t="str">
        <f>F5</f>
        <v>臼杵ＳＳＳ</v>
      </c>
      <c r="P68" s="365" t="s">
        <v>3235</v>
      </c>
      <c r="Q68" s="789" t="s">
        <v>3921</v>
      </c>
      <c r="R68" s="790"/>
      <c r="S68" s="791"/>
      <c r="T68" s="778">
        <v>0.64583333333333337</v>
      </c>
      <c r="U68" s="781" t="str">
        <f>U7</f>
        <v>鶴見少年サッカークラブ</v>
      </c>
      <c r="V68" s="784">
        <f>IF(X68="","",SUM(X68:X69))</f>
        <v>1</v>
      </c>
      <c r="W68" s="793" t="s">
        <v>205</v>
      </c>
      <c r="X68" s="84">
        <v>0</v>
      </c>
      <c r="Y68" s="84" t="s">
        <v>116</v>
      </c>
      <c r="Z68" s="84">
        <v>1</v>
      </c>
      <c r="AA68" s="793" t="s">
        <v>206</v>
      </c>
      <c r="AB68" s="784">
        <f>IF(Z68="","",SUM(Z68:Z69))</f>
        <v>4</v>
      </c>
      <c r="AC68" s="775" t="str">
        <f>U5</f>
        <v>スマイス・セレソン</v>
      </c>
    </row>
    <row r="69" spans="1:29" ht="27.4" customHeight="1" x14ac:dyDescent="0.45">
      <c r="A69" s="366" t="s">
        <v>3236</v>
      </c>
      <c r="B69" s="792" t="s">
        <v>3924</v>
      </c>
      <c r="C69" s="792"/>
      <c r="D69" s="789"/>
      <c r="E69" s="779"/>
      <c r="F69" s="782"/>
      <c r="G69" s="785"/>
      <c r="H69" s="794"/>
      <c r="I69" s="9">
        <v>0</v>
      </c>
      <c r="J69" s="9" t="s">
        <v>117</v>
      </c>
      <c r="K69" s="9">
        <v>1</v>
      </c>
      <c r="L69" s="794"/>
      <c r="M69" s="785"/>
      <c r="N69" s="776"/>
      <c r="P69" s="366" t="s">
        <v>3236</v>
      </c>
      <c r="Q69" s="792" t="s">
        <v>3924</v>
      </c>
      <c r="R69" s="792"/>
      <c r="S69" s="789"/>
      <c r="T69" s="779"/>
      <c r="U69" s="782"/>
      <c r="V69" s="785"/>
      <c r="W69" s="794"/>
      <c r="X69" s="9">
        <v>1</v>
      </c>
      <c r="Y69" s="9" t="s">
        <v>117</v>
      </c>
      <c r="Z69" s="9">
        <v>3</v>
      </c>
      <c r="AA69" s="794"/>
      <c r="AB69" s="785"/>
      <c r="AC69" s="776"/>
    </row>
    <row r="70" spans="1:29" ht="27.4" customHeight="1" thickBot="1" x14ac:dyDescent="0.6">
      <c r="A70" s="366" t="s">
        <v>3237</v>
      </c>
      <c r="B70" s="792" t="s">
        <v>8428</v>
      </c>
      <c r="C70" s="792"/>
      <c r="D70" s="789"/>
      <c r="E70" s="780"/>
      <c r="F70" s="783"/>
      <c r="G70" s="786"/>
      <c r="H70" s="795"/>
      <c r="I70" s="85"/>
      <c r="J70" s="85" t="s">
        <v>188</v>
      </c>
      <c r="K70" s="85"/>
      <c r="L70" s="795"/>
      <c r="M70" s="786"/>
      <c r="N70" s="777"/>
      <c r="P70" s="366" t="s">
        <v>3237</v>
      </c>
      <c r="Q70" s="792" t="s">
        <v>3389</v>
      </c>
      <c r="R70" s="792"/>
      <c r="S70" s="789"/>
      <c r="T70" s="780"/>
      <c r="U70" s="783"/>
      <c r="V70" s="786"/>
      <c r="W70" s="795"/>
      <c r="X70" s="85"/>
      <c r="Y70" s="85" t="s">
        <v>188</v>
      </c>
      <c r="Z70" s="85"/>
      <c r="AA70" s="795"/>
      <c r="AB70" s="786"/>
      <c r="AC70" s="777"/>
    </row>
    <row r="71" spans="1:29" ht="20.25" customHeight="1" thickTop="1" x14ac:dyDescent="0.45">
      <c r="A71" s="787" t="s">
        <v>1969</v>
      </c>
      <c r="B71" s="787"/>
      <c r="C71" s="787"/>
      <c r="D71" s="788"/>
      <c r="E71" s="15"/>
      <c r="F71" s="16" t="s">
        <v>190</v>
      </c>
      <c r="G71" s="16" t="s">
        <v>1970</v>
      </c>
      <c r="H71" s="16" t="s">
        <v>145</v>
      </c>
      <c r="I71" s="16"/>
      <c r="J71" s="17"/>
      <c r="K71" s="16"/>
      <c r="L71" s="16" t="s">
        <v>145</v>
      </c>
      <c r="M71" s="16" t="s">
        <v>1970</v>
      </c>
      <c r="N71" s="18" t="s">
        <v>190</v>
      </c>
      <c r="P71" s="787" t="s">
        <v>1969</v>
      </c>
      <c r="Q71" s="787"/>
      <c r="R71" s="787"/>
      <c r="S71" s="788"/>
      <c r="T71" s="15"/>
      <c r="U71" s="16" t="s">
        <v>190</v>
      </c>
      <c r="V71" s="16" t="s">
        <v>1970</v>
      </c>
      <c r="W71" s="16" t="s">
        <v>145</v>
      </c>
      <c r="X71" s="16"/>
      <c r="Y71" s="17"/>
      <c r="Z71" s="16"/>
      <c r="AA71" s="16" t="s">
        <v>145</v>
      </c>
      <c r="AB71" s="16" t="s">
        <v>1970</v>
      </c>
      <c r="AC71" s="18" t="s">
        <v>190</v>
      </c>
    </row>
    <row r="72" spans="1:29" ht="20.25" hidden="1" customHeight="1" x14ac:dyDescent="0.45">
      <c r="E72" s="19" t="s">
        <v>228</v>
      </c>
      <c r="F72" s="20" t="str">
        <f>IF(ISERROR(VLOOKUP(CONCATENATE($F$68,"_",G72),選手名簿!$A:$E,5,FALSE))=TRUE,"",VLOOKUP(CONCATENATE($F$68,"_",G72),選手名簿!$A:$E,5,FALSE))</f>
        <v/>
      </c>
      <c r="G72" s="21"/>
      <c r="H72" s="21"/>
      <c r="I72" s="21"/>
      <c r="J72" s="22"/>
      <c r="K72" s="21"/>
      <c r="L72" s="21"/>
      <c r="M72" s="21"/>
      <c r="N72" s="23" t="str">
        <f>IF(ISERROR(VLOOKUP(CONCATENATE($N$68,"_",M72),選手名簿!$A:$E,5,FALSE))=TRUE,"",VLOOKUP(CONCATENATE($N$68,"_",M72),選手名簿!$A:$E,5,FALSE))</f>
        <v/>
      </c>
      <c r="T72" s="19" t="s">
        <v>228</v>
      </c>
      <c r="U72" s="20" t="str">
        <f>IF(ISERROR(VLOOKUP(CONCATENATE($U$68,"_",V72),選手名簿!$A:$E,5,FALSE))=TRUE,"",VLOOKUP(CONCATENATE($U$68,"_",V72),選手名簿!$A:$E,5,FALSE))</f>
        <v/>
      </c>
      <c r="V72" s="21"/>
      <c r="W72" s="21"/>
      <c r="X72" s="21"/>
      <c r="Y72" s="22"/>
      <c r="Z72" s="21"/>
      <c r="AA72" s="21"/>
      <c r="AB72" s="21"/>
      <c r="AC72" s="23" t="str">
        <f>IF(ISERROR(VLOOKUP(CONCATENATE($AC$68,"_",AB72),選手名簿!$A:$E,5,FALSE))=TRUE,"",VLOOKUP(CONCATENATE($AC$68,"_",AB72),選手名簿!$A:$E,5,FALSE))</f>
        <v/>
      </c>
    </row>
    <row r="73" spans="1:29" ht="20.25" hidden="1" customHeight="1" x14ac:dyDescent="0.45">
      <c r="E73" s="19" t="s">
        <v>228</v>
      </c>
      <c r="F73" s="20" t="str">
        <f>IF(ISERROR(VLOOKUP(CONCATENATE($F$68,"_",G73),選手名簿!$A:$E,5,FALSE))=TRUE,"",VLOOKUP(CONCATENATE($F$68,"_",G73),選手名簿!$A:$E,5,FALSE))</f>
        <v/>
      </c>
      <c r="G73" s="21"/>
      <c r="H73" s="21"/>
      <c r="I73" s="21"/>
      <c r="J73" s="22"/>
      <c r="K73" s="21"/>
      <c r="L73" s="21"/>
      <c r="M73" s="21"/>
      <c r="N73" s="23" t="str">
        <f>IF(ISERROR(VLOOKUP(CONCATENATE($N$68,"_",M73),選手名簿!$A:$E,5,FALSE))=TRUE,"",VLOOKUP(CONCATENATE($N$68,"_",M73),選手名簿!$A:$E,5,FALSE))</f>
        <v/>
      </c>
      <c r="T73" s="19" t="s">
        <v>228</v>
      </c>
      <c r="U73" s="20" t="str">
        <f>IF(ISERROR(VLOOKUP(CONCATENATE($U$68,"_",V73),選手名簿!$A:$E,5,FALSE))=TRUE,"",VLOOKUP(CONCATENATE($U$68,"_",V73),選手名簿!$A:$E,5,FALSE))</f>
        <v/>
      </c>
      <c r="V73" s="21"/>
      <c r="W73" s="21"/>
      <c r="X73" s="21"/>
      <c r="Y73" s="22"/>
      <c r="Z73" s="21"/>
      <c r="AA73" s="21"/>
      <c r="AB73" s="21"/>
      <c r="AC73" s="23" t="str">
        <f>IF(ISERROR(VLOOKUP(CONCATENATE($AC$68,"_",AB73),選手名簿!$A:$E,5,FALSE))=TRUE,"",VLOOKUP(CONCATENATE($AC$68,"_",AB73),選手名簿!$A:$E,5,FALSE))</f>
        <v/>
      </c>
    </row>
    <row r="74" spans="1:29" ht="20.25" hidden="1" customHeight="1" x14ac:dyDescent="0.45">
      <c r="E74" s="19" t="s">
        <v>228</v>
      </c>
      <c r="F74" s="20" t="str">
        <f>IF(ISERROR(VLOOKUP(CONCATENATE($F$68,"_",G74),選手名簿!$A:$E,5,FALSE))=TRUE,"",VLOOKUP(CONCATENATE($F$68,"_",G74),選手名簿!$A:$E,5,FALSE))</f>
        <v/>
      </c>
      <c r="G74" s="21"/>
      <c r="H74" s="21"/>
      <c r="I74" s="21"/>
      <c r="J74" s="22"/>
      <c r="K74" s="21"/>
      <c r="L74" s="21"/>
      <c r="M74" s="21"/>
      <c r="N74" s="23" t="str">
        <f>IF(ISERROR(VLOOKUP(CONCATENATE($N$68,"_",M74),選手名簿!$A:$E,5,FALSE))=TRUE,"",VLOOKUP(CONCATENATE($N$68,"_",M74),選手名簿!$A:$E,5,FALSE))</f>
        <v/>
      </c>
      <c r="T74" s="19" t="s">
        <v>228</v>
      </c>
      <c r="U74" s="20" t="str">
        <f>IF(ISERROR(VLOOKUP(CONCATENATE($U$68,"_",V74),選手名簿!$A:$E,5,FALSE))=TRUE,"",VLOOKUP(CONCATENATE($U$68,"_",V74),選手名簿!$A:$E,5,FALSE))</f>
        <v/>
      </c>
      <c r="V74" s="21"/>
      <c r="W74" s="21"/>
      <c r="X74" s="21"/>
      <c r="Y74" s="22"/>
      <c r="Z74" s="21"/>
      <c r="AA74" s="21"/>
      <c r="AB74" s="21"/>
      <c r="AC74" s="23" t="str">
        <f>IF(ISERROR(VLOOKUP(CONCATENATE($AC$68,"_",AB74),選手名簿!$A:$E,5,FALSE))=TRUE,"",VLOOKUP(CONCATENATE($AC$68,"_",AB74),選手名簿!$A:$E,5,FALSE))</f>
        <v/>
      </c>
    </row>
    <row r="75" spans="1:29" ht="20.25" hidden="1" customHeight="1" x14ac:dyDescent="0.45">
      <c r="E75" s="19" t="s">
        <v>228</v>
      </c>
      <c r="F75" s="20" t="str">
        <f>IF(ISERROR(VLOOKUP(CONCATENATE($F$68,"_",G75),選手名簿!$A:$E,5,FALSE))=TRUE,"",VLOOKUP(CONCATENATE($F$68,"_",G75),選手名簿!$A:$E,5,FALSE))</f>
        <v/>
      </c>
      <c r="G75" s="21"/>
      <c r="H75" s="21"/>
      <c r="I75" s="21"/>
      <c r="J75" s="22"/>
      <c r="K75" s="21"/>
      <c r="L75" s="21"/>
      <c r="M75" s="21"/>
      <c r="N75" s="23" t="str">
        <f>IF(ISERROR(VLOOKUP(CONCATENATE($N$68,"_",M75),選手名簿!$A:$E,5,FALSE))=TRUE,"",VLOOKUP(CONCATENATE($N$68,"_",M75),選手名簿!$A:$E,5,FALSE))</f>
        <v/>
      </c>
      <c r="T75" s="19" t="s">
        <v>228</v>
      </c>
      <c r="U75" s="20" t="str">
        <f>IF(ISERROR(VLOOKUP(CONCATENATE($U$68,"_",V75),選手名簿!$A:$E,5,FALSE))=TRUE,"",VLOOKUP(CONCATENATE($U$68,"_",V75),選手名簿!$A:$E,5,FALSE))</f>
        <v/>
      </c>
      <c r="V75" s="21"/>
      <c r="W75" s="21"/>
      <c r="X75" s="21"/>
      <c r="Y75" s="22"/>
      <c r="Z75" s="21"/>
      <c r="AA75" s="21"/>
      <c r="AB75" s="21"/>
      <c r="AC75" s="23" t="str">
        <f>IF(ISERROR(VLOOKUP(CONCATENATE($AC$68,"_",AB75),選手名簿!$A:$E,5,FALSE))=TRUE,"",VLOOKUP(CONCATENATE($AC$68,"_",AB75),選手名簿!$A:$E,5,FALSE))</f>
        <v/>
      </c>
    </row>
    <row r="76" spans="1:29" ht="20.25" hidden="1" customHeight="1" x14ac:dyDescent="0.45">
      <c r="E76" s="19" t="s">
        <v>228</v>
      </c>
      <c r="F76" s="20" t="str">
        <f>IF(ISERROR(VLOOKUP(CONCATENATE($F$68,"_",G76),選手名簿!$A:$E,5,FALSE))=TRUE,"",VLOOKUP(CONCATENATE($F$68,"_",G76),選手名簿!$A:$E,5,FALSE))</f>
        <v/>
      </c>
      <c r="G76" s="21"/>
      <c r="H76" s="21"/>
      <c r="I76" s="21"/>
      <c r="J76" s="22"/>
      <c r="K76" s="21"/>
      <c r="L76" s="21"/>
      <c r="M76" s="21"/>
      <c r="N76" s="23" t="str">
        <f>IF(ISERROR(VLOOKUP(CONCATENATE($N$68,"_",M76),選手名簿!$A:$E,5,FALSE))=TRUE,"",VLOOKUP(CONCATENATE($N$68,"_",M76),選手名簿!$A:$E,5,FALSE))</f>
        <v/>
      </c>
      <c r="T76" s="19" t="s">
        <v>228</v>
      </c>
      <c r="U76" s="20" t="str">
        <f>IF(ISERROR(VLOOKUP(CONCATENATE($U$68,"_",V76),選手名簿!$A:$E,5,FALSE))=TRUE,"",VLOOKUP(CONCATENATE($U$68,"_",V76),選手名簿!$A:$E,5,FALSE))</f>
        <v/>
      </c>
      <c r="V76" s="21"/>
      <c r="W76" s="21"/>
      <c r="X76" s="21"/>
      <c r="Y76" s="22"/>
      <c r="Z76" s="21"/>
      <c r="AA76" s="21"/>
      <c r="AB76" s="21"/>
      <c r="AC76" s="23" t="str">
        <f>IF(ISERROR(VLOOKUP(CONCATENATE($AC$68,"_",AB76),選手名簿!$A:$E,5,FALSE))=TRUE,"",VLOOKUP(CONCATENATE($AC$68,"_",AB76),選手名簿!$A:$E,5,FALSE))</f>
        <v/>
      </c>
    </row>
    <row r="77" spans="1:29" ht="20.25" hidden="1" customHeight="1" x14ac:dyDescent="0.45">
      <c r="E77" s="19" t="s">
        <v>228</v>
      </c>
      <c r="F77" s="20" t="str">
        <f>IF(ISERROR(VLOOKUP(CONCATENATE($F$68,"_",G77),選手名簿!$A:$E,5,FALSE))=TRUE,"",VLOOKUP(CONCATENATE($F$68,"_",G77),選手名簿!$A:$E,5,FALSE))</f>
        <v/>
      </c>
      <c r="G77" s="21"/>
      <c r="H77" s="21"/>
      <c r="I77" s="21"/>
      <c r="J77" s="22"/>
      <c r="K77" s="21"/>
      <c r="L77" s="21"/>
      <c r="M77" s="21"/>
      <c r="N77" s="23" t="str">
        <f>IF(ISERROR(VLOOKUP(CONCATENATE($N$68,"_",M77),選手名簿!$A:$E,5,FALSE))=TRUE,"",VLOOKUP(CONCATENATE($N$68,"_",M77),選手名簿!$A:$E,5,FALSE))</f>
        <v/>
      </c>
      <c r="T77" s="19" t="s">
        <v>228</v>
      </c>
      <c r="U77" s="20" t="str">
        <f>IF(ISERROR(VLOOKUP(CONCATENATE($U$68,"_",V77),選手名簿!$A:$E,5,FALSE))=TRUE,"",VLOOKUP(CONCATENATE($U$68,"_",V77),選手名簿!$A:$E,5,FALSE))</f>
        <v/>
      </c>
      <c r="V77" s="21"/>
      <c r="W77" s="21"/>
      <c r="X77" s="21"/>
      <c r="Y77" s="22"/>
      <c r="Z77" s="21"/>
      <c r="AA77" s="21"/>
      <c r="AB77" s="21"/>
      <c r="AC77" s="23" t="str">
        <f>IF(ISERROR(VLOOKUP(CONCATENATE($AC$68,"_",AB77),選手名簿!$A:$E,5,FALSE))=TRUE,"",VLOOKUP(CONCATENATE($AC$68,"_",AB77),選手名簿!$A:$E,5,FALSE))</f>
        <v/>
      </c>
    </row>
    <row r="78" spans="1:29" ht="20.25" hidden="1" customHeight="1" x14ac:dyDescent="0.45">
      <c r="E78" s="19" t="s">
        <v>228</v>
      </c>
      <c r="F78" s="20" t="str">
        <f>IF(ISERROR(VLOOKUP(CONCATENATE($F$68,"_",G78),選手名簿!$A:$E,5,FALSE))=TRUE,"",VLOOKUP(CONCATENATE($F$68,"_",G78),選手名簿!$A:$E,5,FALSE))</f>
        <v/>
      </c>
      <c r="G78" s="21"/>
      <c r="H78" s="21"/>
      <c r="I78" s="21"/>
      <c r="J78" s="22"/>
      <c r="K78" s="21"/>
      <c r="L78" s="21"/>
      <c r="M78" s="21"/>
      <c r="N78" s="23" t="str">
        <f>IF(ISERROR(VLOOKUP(CONCATENATE($N$68,"_",M78),選手名簿!$A:$E,5,FALSE))=TRUE,"",VLOOKUP(CONCATENATE($N$68,"_",M78),選手名簿!$A:$E,5,FALSE))</f>
        <v/>
      </c>
      <c r="T78" s="19" t="s">
        <v>228</v>
      </c>
      <c r="U78" s="20" t="str">
        <f>IF(ISERROR(VLOOKUP(CONCATENATE($U$68,"_",V78),選手名簿!$A:$E,5,FALSE))=TRUE,"",VLOOKUP(CONCATENATE($U$68,"_",V78),選手名簿!$A:$E,5,FALSE))</f>
        <v/>
      </c>
      <c r="V78" s="21"/>
      <c r="W78" s="21"/>
      <c r="X78" s="21"/>
      <c r="Y78" s="22"/>
      <c r="Z78" s="21"/>
      <c r="AA78" s="21"/>
      <c r="AB78" s="21"/>
      <c r="AC78" s="23" t="str">
        <f>IF(ISERROR(VLOOKUP(CONCATENATE($AC$68,"_",AB78),選手名簿!$A:$E,5,FALSE))=TRUE,"",VLOOKUP(CONCATENATE($AC$68,"_",AB78),選手名簿!$A:$E,5,FALSE))</f>
        <v/>
      </c>
    </row>
    <row r="79" spans="1:29" ht="20.25" hidden="1" customHeight="1" x14ac:dyDescent="0.45">
      <c r="E79" s="19" t="s">
        <v>228</v>
      </c>
      <c r="F79" s="20" t="str">
        <f>IF(ISERROR(VLOOKUP(CONCATENATE($F$68,"_",G79),選手名簿!$A:$E,5,FALSE))=TRUE,"",VLOOKUP(CONCATENATE($F$68,"_",G79),選手名簿!$A:$E,5,FALSE))</f>
        <v/>
      </c>
      <c r="G79" s="21"/>
      <c r="H79" s="21"/>
      <c r="I79" s="21"/>
      <c r="J79" s="22"/>
      <c r="K79" s="21"/>
      <c r="L79" s="21"/>
      <c r="M79" s="21"/>
      <c r="N79" s="23" t="str">
        <f>IF(ISERROR(VLOOKUP(CONCATENATE($N$68,"_",M79),選手名簿!$A:$E,5,FALSE))=TRUE,"",VLOOKUP(CONCATENATE($N$68,"_",M79),選手名簿!$A:$E,5,FALSE))</f>
        <v/>
      </c>
      <c r="T79" s="19" t="s">
        <v>228</v>
      </c>
      <c r="U79" s="20" t="str">
        <f>IF(ISERROR(VLOOKUP(CONCATENATE($U$68,"_",V79),選手名簿!$A:$E,5,FALSE))=TRUE,"",VLOOKUP(CONCATENATE($U$68,"_",V79),選手名簿!$A:$E,5,FALSE))</f>
        <v/>
      </c>
      <c r="V79" s="21"/>
      <c r="W79" s="21"/>
      <c r="X79" s="21"/>
      <c r="Y79" s="22"/>
      <c r="Z79" s="21"/>
      <c r="AA79" s="21"/>
      <c r="AB79" s="21"/>
      <c r="AC79" s="23" t="str">
        <f>IF(ISERROR(VLOOKUP(CONCATENATE($AC$68,"_",AB79),選手名簿!$A:$E,5,FALSE))=TRUE,"",VLOOKUP(CONCATENATE($AC$68,"_",AB79),選手名簿!$A:$E,5,FALSE))</f>
        <v/>
      </c>
    </row>
    <row r="80" spans="1:29" ht="20.25" hidden="1" customHeight="1" x14ac:dyDescent="0.45">
      <c r="E80" s="19" t="s">
        <v>228</v>
      </c>
      <c r="F80" s="20" t="str">
        <f>IF(ISERROR(VLOOKUP(CONCATENATE($F$68,"_",G80),選手名簿!$A:$E,5,FALSE))=TRUE,"",VLOOKUP(CONCATENATE($F$68,"_",G80),選手名簿!$A:$E,5,FALSE))</f>
        <v/>
      </c>
      <c r="G80" s="21"/>
      <c r="H80" s="21"/>
      <c r="I80" s="21"/>
      <c r="J80" s="22"/>
      <c r="K80" s="21"/>
      <c r="L80" s="21"/>
      <c r="M80" s="21"/>
      <c r="N80" s="23" t="str">
        <f>IF(ISERROR(VLOOKUP(CONCATENATE($N$68,"_",M80),選手名簿!$A:$E,5,FALSE))=TRUE,"",VLOOKUP(CONCATENATE($N$68,"_",M80),選手名簿!$A:$E,5,FALSE))</f>
        <v/>
      </c>
      <c r="T80" s="19" t="s">
        <v>228</v>
      </c>
      <c r="U80" s="20" t="str">
        <f>IF(ISERROR(VLOOKUP(CONCATENATE($U$68,"_",V80),選手名簿!$A:$E,5,FALSE))=TRUE,"",VLOOKUP(CONCATENATE($U$68,"_",V80),選手名簿!$A:$E,5,FALSE))</f>
        <v/>
      </c>
      <c r="V80" s="21"/>
      <c r="W80" s="21"/>
      <c r="X80" s="21"/>
      <c r="Y80" s="22"/>
      <c r="Z80" s="21"/>
      <c r="AA80" s="21"/>
      <c r="AB80" s="21"/>
      <c r="AC80" s="23" t="str">
        <f>IF(ISERROR(VLOOKUP(CONCATENATE($AC$68,"_",AB80),選手名簿!$A:$E,5,FALSE))=TRUE,"",VLOOKUP(CONCATENATE($AC$68,"_",AB80),選手名簿!$A:$E,5,FALSE))</f>
        <v/>
      </c>
    </row>
    <row r="81" spans="1:29" ht="20.25" hidden="1" customHeight="1" thickBot="1" x14ac:dyDescent="0.6">
      <c r="E81" s="24" t="s">
        <v>228</v>
      </c>
      <c r="F81" s="25" t="str">
        <f>IF(ISERROR(VLOOKUP(CONCATENATE($F$68,"_",G81),選手名簿!$A:$E,5,FALSE))=TRUE,"",VLOOKUP(CONCATENATE($F$68,"_",G81),選手名簿!$A:$E,5,FALSE))</f>
        <v/>
      </c>
      <c r="G81" s="26"/>
      <c r="H81" s="26"/>
      <c r="I81" s="26"/>
      <c r="J81" s="27"/>
      <c r="K81" s="26"/>
      <c r="L81" s="26"/>
      <c r="M81" s="26"/>
      <c r="N81" s="28" t="str">
        <f>IF(ISERROR(VLOOKUP(CONCATENATE($N$68,"_",M81),選手名簿!$A:$E,5,FALSE))=TRUE,"",VLOOKUP(CONCATENATE($N$68,"_",M81),選手名簿!$A:$E,5,FALSE))</f>
        <v/>
      </c>
      <c r="T81" s="24" t="s">
        <v>228</v>
      </c>
      <c r="U81" s="25" t="str">
        <f>IF(ISERROR(VLOOKUP(CONCATENATE($U$68,"_",V81),選手名簿!$A:$E,5,FALSE))=TRUE,"",VLOOKUP(CONCATENATE($U$68,"_",V81),選手名簿!$A:$E,5,FALSE))</f>
        <v/>
      </c>
      <c r="V81" s="26"/>
      <c r="W81" s="26"/>
      <c r="X81" s="26"/>
      <c r="Y81" s="27"/>
      <c r="Z81" s="26"/>
      <c r="AA81" s="26"/>
      <c r="AB81" s="26"/>
      <c r="AC81" s="28" t="str">
        <f>IF(ISERROR(VLOOKUP(CONCATENATE($AC$68,"_",AB81),選手名簿!$A:$E,5,FALSE))=TRUE,"",VLOOKUP(CONCATENATE($AC$68,"_",AB81),選手名簿!$A:$E,5,FALSE))</f>
        <v/>
      </c>
    </row>
    <row r="82" spans="1:29" ht="20.25" customHeight="1" x14ac:dyDescent="0.45">
      <c r="A82" s="29" t="s">
        <v>226</v>
      </c>
      <c r="B82" s="774" t="s">
        <v>3885</v>
      </c>
      <c r="C82" s="774"/>
      <c r="D82" s="774"/>
      <c r="E82" s="19" t="s">
        <v>196</v>
      </c>
      <c r="F82" s="20" t="str">
        <f>IF(ISERROR(VLOOKUP(CONCATENATE($F$68,"_",G82),選手名簿!$A:$E,5,FALSE))=TRUE,"",VLOOKUP(CONCATENATE($F$68,"_",G82),選手名簿!$A:$E,5,FALSE))</f>
        <v/>
      </c>
      <c r="G82" s="21"/>
      <c r="H82" s="21"/>
      <c r="I82" s="21"/>
      <c r="J82" s="22"/>
      <c r="K82" s="21"/>
      <c r="L82" s="21"/>
      <c r="M82" s="21"/>
      <c r="N82" s="23" t="str">
        <f>IF(ISERROR(VLOOKUP(CONCATENATE($N$68,"_",M82),選手名簿!$A:$E,5,FALSE))=TRUE,"",VLOOKUP(CONCATENATE($N$68,"_",M82),選手名簿!$A:$E,5,FALSE))</f>
        <v/>
      </c>
      <c r="P82" s="29" t="s">
        <v>226</v>
      </c>
      <c r="Q82" s="774" t="s">
        <v>795</v>
      </c>
      <c r="R82" s="774"/>
      <c r="S82" s="774"/>
      <c r="T82" s="19" t="s">
        <v>196</v>
      </c>
      <c r="U82" s="20" t="str">
        <f>IF(ISERROR(VLOOKUP(CONCATENATE($U$68,"_",V82),選手名簿!$A:$E,5,FALSE))=TRUE,"",VLOOKUP(CONCATENATE($U$68,"_",V82),選手名簿!$A:$E,5,FALSE))</f>
        <v/>
      </c>
      <c r="V82" s="21"/>
      <c r="W82" s="21"/>
      <c r="X82" s="21"/>
      <c r="Y82" s="22"/>
      <c r="Z82" s="458" t="s">
        <v>11873</v>
      </c>
      <c r="AA82" s="21">
        <v>27</v>
      </c>
      <c r="AB82" s="21">
        <v>7</v>
      </c>
      <c r="AC82" s="23" t="str">
        <f>IF(ISERROR(VLOOKUP(CONCATENATE($AC$68,"_",AB82),選手名簿!$A:$E,5,FALSE))=TRUE,"",VLOOKUP(CONCATENATE($AC$68,"_",AB82),選手名簿!$A:$E,5,FALSE))</f>
        <v>松田　煌</v>
      </c>
    </row>
    <row r="83" spans="1:29" ht="20.25" customHeight="1" x14ac:dyDescent="0.45">
      <c r="A83" s="83" t="s">
        <v>1959</v>
      </c>
      <c r="B83" s="769" t="str">
        <f>IF(ISERROR(VLOOKUP(B82,審判員!$A:$C,2,FALSE))=TRUE,"",VLOOKUP(B82,審判員!$A:$C,2,FALSE))</f>
        <v>山田　将来</v>
      </c>
      <c r="C83" s="770"/>
      <c r="D83" s="83" t="str">
        <f>IF(ISERROR(VLOOKUP(B82,審判員!$A:$C,3,FALSE))=TRUE,"",VLOOKUP(B82,審判員!$A:$C,3,FALSE))</f>
        <v>３級</v>
      </c>
      <c r="E83" s="31" t="s">
        <v>196</v>
      </c>
      <c r="F83" s="32" t="str">
        <f>IF(ISERROR(VLOOKUP(CONCATENATE($F$68,"_",G83),選手名簿!$A:$E,5,FALSE))=TRUE,"",VLOOKUP(CONCATENATE($F$68,"_",G83),選手名簿!$A:$E,5,FALSE))</f>
        <v/>
      </c>
      <c r="G83" s="33"/>
      <c r="H83" s="33"/>
      <c r="I83" s="33"/>
      <c r="J83" s="22"/>
      <c r="K83" s="33"/>
      <c r="L83" s="33"/>
      <c r="M83" s="33"/>
      <c r="N83" s="34" t="str">
        <f>IF(ISERROR(VLOOKUP(CONCATENATE($N$68,"_",M83),選手名簿!$A:$E,5,FALSE))=TRUE,"",VLOOKUP(CONCATENATE($N$68,"_",M83),選手名簿!$A:$E,5,FALSE))</f>
        <v/>
      </c>
      <c r="P83" s="83" t="s">
        <v>1959</v>
      </c>
      <c r="Q83" s="769" t="str">
        <f>IF(ISERROR(VLOOKUP(Q82,審判員!$A:$C,2,FALSE))=TRUE,"",VLOOKUP(Q82,審判員!$A:$C,2,FALSE))</f>
        <v>宇髙　篤史</v>
      </c>
      <c r="R83" s="770"/>
      <c r="S83" s="83" t="str">
        <f>IF(ISERROR(VLOOKUP(Q82,審判員!$A:$C,3,FALSE))=TRUE,"",VLOOKUP(Q82,審判員!$A:$C,3,FALSE))</f>
        <v>３級</v>
      </c>
      <c r="T83" s="31" t="s">
        <v>196</v>
      </c>
      <c r="U83" s="32" t="str">
        <f>IF(ISERROR(VLOOKUP(CONCATENATE($U$68,"_",V83),選手名簿!$A:$E,5,FALSE))=TRUE,"",VLOOKUP(CONCATENATE($U$68,"_",V83),選手名簿!$A:$E,5,FALSE))</f>
        <v/>
      </c>
      <c r="V83" s="33"/>
      <c r="W83" s="33"/>
      <c r="X83" s="33"/>
      <c r="Y83" s="22"/>
      <c r="Z83" s="459" t="s">
        <v>11873</v>
      </c>
      <c r="AA83" s="33">
        <v>30</v>
      </c>
      <c r="AB83" s="33">
        <v>7</v>
      </c>
      <c r="AC83" s="34" t="str">
        <f>IF(ISERROR(VLOOKUP(CONCATENATE($AC$68,"_",AB83),選手名簿!$A:$E,5,FALSE))=TRUE,"",VLOOKUP(CONCATENATE($AC$68,"_",AB83),選手名簿!$A:$E,5,FALSE))</f>
        <v>松田　煌</v>
      </c>
    </row>
    <row r="84" spans="1:29" ht="20.25" customHeight="1" x14ac:dyDescent="0.45">
      <c r="A84" s="29" t="s">
        <v>226</v>
      </c>
      <c r="B84" s="771" t="s">
        <v>11860</v>
      </c>
      <c r="C84" s="771"/>
      <c r="D84" s="772"/>
      <c r="E84" s="31" t="s">
        <v>196</v>
      </c>
      <c r="F84" s="32" t="str">
        <f>IF(ISERROR(VLOOKUP(CONCATENATE($F$68,"_",G84),選手名簿!$A:$E,5,FALSE))=TRUE,"",VLOOKUP(CONCATENATE($F$68,"_",G84),選手名簿!$A:$E,5,FALSE))</f>
        <v/>
      </c>
      <c r="G84" s="33"/>
      <c r="H84" s="33"/>
      <c r="I84" s="33"/>
      <c r="J84" s="22"/>
      <c r="K84" s="33"/>
      <c r="L84" s="33"/>
      <c r="M84" s="33"/>
      <c r="N84" s="34" t="str">
        <f>IF(ISERROR(VLOOKUP(CONCATENATE($N$68,"_",M84),選手名簿!$A:$E,5,FALSE))=TRUE,"",VLOOKUP(CONCATENATE($N$68,"_",M84),選手名簿!$A:$E,5,FALSE))</f>
        <v/>
      </c>
      <c r="P84" s="29" t="s">
        <v>226</v>
      </c>
      <c r="Q84" s="771" t="s">
        <v>11853</v>
      </c>
      <c r="R84" s="771"/>
      <c r="S84" s="772"/>
      <c r="T84" s="31" t="s">
        <v>196</v>
      </c>
      <c r="U84" s="32" t="str">
        <f>IF(ISERROR(VLOOKUP(CONCATENATE($U$68,"_",V84),選手名簿!$A:$E,5,FALSE))=TRUE,"",VLOOKUP(CONCATENATE($U$68,"_",V84),選手名簿!$A:$E,5,FALSE))</f>
        <v/>
      </c>
      <c r="V84" s="33"/>
      <c r="W84" s="33"/>
      <c r="X84" s="33"/>
      <c r="Y84" s="22"/>
      <c r="Z84" s="459" t="s">
        <v>11874</v>
      </c>
      <c r="AA84" s="33">
        <v>30</v>
      </c>
      <c r="AB84" s="33">
        <v>7</v>
      </c>
      <c r="AC84" s="34" t="str">
        <f>IF(ISERROR(VLOOKUP(CONCATENATE($AC$68,"_",AB84),選手名簿!$A:$E,5,FALSE))=TRUE,"",VLOOKUP(CONCATENATE($AC$68,"_",AB84),選手名簿!$A:$E,5,FALSE))</f>
        <v>松田　煌</v>
      </c>
    </row>
    <row r="85" spans="1:29" ht="20.25" customHeight="1" x14ac:dyDescent="0.45">
      <c r="A85" s="83" t="s">
        <v>1966</v>
      </c>
      <c r="B85" s="769" t="str">
        <f>IF(ISERROR(VLOOKUP(B84,審判員!$A:$C,2,FALSE))=TRUE,"",VLOOKUP(B84,審判員!$A:$C,2,FALSE))</f>
        <v>如法寺　雅俊</v>
      </c>
      <c r="C85" s="770"/>
      <c r="D85" s="83" t="str">
        <f>IF(ISERROR(VLOOKUP(B84,審判員!$A:$C,3,FALSE))=TRUE,"",VLOOKUP(B84,審判員!$A:$C,3,FALSE))</f>
        <v>３級</v>
      </c>
      <c r="E85" s="31" t="s">
        <v>196</v>
      </c>
      <c r="F85" s="32" t="str">
        <f>IF(ISERROR(VLOOKUP(CONCATENATE($F$68,"_",G85),選手名簿!$A:$E,5,FALSE))=TRUE,"",VLOOKUP(CONCATENATE($F$68,"_",G85),選手名簿!$A:$E,5,FALSE))</f>
        <v/>
      </c>
      <c r="G85" s="33"/>
      <c r="H85" s="33"/>
      <c r="I85" s="33"/>
      <c r="J85" s="22"/>
      <c r="K85" s="33"/>
      <c r="L85" s="33"/>
      <c r="M85" s="33"/>
      <c r="N85" s="34" t="str">
        <f>IF(ISERROR(VLOOKUP(CONCATENATE($N$68,"_",M85),選手名簿!$A:$E,5,FALSE))=TRUE,"",VLOOKUP(CONCATENATE($N$68,"_",M85),選手名簿!$A:$E,5,FALSE))</f>
        <v/>
      </c>
      <c r="P85" s="83" t="s">
        <v>1966</v>
      </c>
      <c r="Q85" s="769" t="str">
        <f>IF(ISERROR(VLOOKUP(Q84,審判員!$A:$C,2,FALSE))=TRUE,"",VLOOKUP(Q84,審判員!$A:$C,2,FALSE))</f>
        <v>佐藤　巨規</v>
      </c>
      <c r="R85" s="770"/>
      <c r="S85" s="83" t="str">
        <f>IF(ISERROR(VLOOKUP(Q84,審判員!$A:$C,3,FALSE))=TRUE,"",VLOOKUP(Q84,審判員!$A:$C,3,FALSE))</f>
        <v>３級</v>
      </c>
      <c r="T85" s="31" t="s">
        <v>196</v>
      </c>
      <c r="U85" s="32" t="str">
        <f>IF(ISERROR(VLOOKUP(CONCATENATE($U$68,"_",V85),選手名簿!$A:$E,5,FALSE))=TRUE,"",VLOOKUP(CONCATENATE($U$68,"_",V85),選手名簿!$A:$E,5,FALSE))</f>
        <v/>
      </c>
      <c r="V85" s="33"/>
      <c r="W85" s="33"/>
      <c r="X85" s="33"/>
      <c r="Y85" s="22"/>
      <c r="Z85" s="33"/>
      <c r="AA85" s="33"/>
      <c r="AB85" s="33"/>
      <c r="AC85" s="34" t="str">
        <f>IF(ISERROR(VLOOKUP(CONCATENATE($AC$68,"_",AB85),選手名簿!$A:$E,5,FALSE))=TRUE,"",VLOOKUP(CONCATENATE($AC$68,"_",AB85),選手名簿!$A:$E,5,FALSE))</f>
        <v/>
      </c>
    </row>
    <row r="86" spans="1:29" ht="20.25" customHeight="1" x14ac:dyDescent="0.45">
      <c r="A86" s="29" t="s">
        <v>226</v>
      </c>
      <c r="B86" s="771" t="s">
        <v>11849</v>
      </c>
      <c r="C86" s="771"/>
      <c r="D86" s="772"/>
      <c r="E86" s="31" t="s">
        <v>196</v>
      </c>
      <c r="F86" s="32" t="str">
        <f>IF(ISERROR(VLOOKUP(CONCATENATE($F$68,"_",G86),選手名簿!$A:$E,5,FALSE))=TRUE,"",VLOOKUP(CONCATENATE($F$68,"_",G86),選手名簿!$A:$E,5,FALSE))</f>
        <v/>
      </c>
      <c r="G86" s="33"/>
      <c r="H86" s="33"/>
      <c r="I86" s="33"/>
      <c r="J86" s="22"/>
      <c r="K86" s="33"/>
      <c r="L86" s="33"/>
      <c r="M86" s="33"/>
      <c r="N86" s="34" t="str">
        <f>IF(ISERROR(VLOOKUP(CONCATENATE($N$68,"_",M86),選手名簿!$A:$E,5,FALSE))=TRUE,"",VLOOKUP(CONCATENATE($N$68,"_",M86),選手名簿!$A:$E,5,FALSE))</f>
        <v/>
      </c>
      <c r="P86" s="29" t="s">
        <v>226</v>
      </c>
      <c r="Q86" s="771" t="s">
        <v>11868</v>
      </c>
      <c r="R86" s="771"/>
      <c r="S86" s="772"/>
      <c r="T86" s="31" t="s">
        <v>196</v>
      </c>
      <c r="U86" s="32" t="str">
        <f>IF(ISERROR(VLOOKUP(CONCATENATE($U$68,"_",V86),選手名簿!$A:$E,5,FALSE))=TRUE,"",VLOOKUP(CONCATENATE($U$68,"_",V86),選手名簿!$A:$E,5,FALSE))</f>
        <v/>
      </c>
      <c r="V86" s="33"/>
      <c r="W86" s="33"/>
      <c r="X86" s="33"/>
      <c r="Y86" s="22"/>
      <c r="Z86" s="33"/>
      <c r="AA86" s="33"/>
      <c r="AB86" s="33"/>
      <c r="AC86" s="34" t="str">
        <f>IF(ISERROR(VLOOKUP(CONCATENATE($AC$68,"_",AB86),選手名簿!$A:$E,5,FALSE))=TRUE,"",VLOOKUP(CONCATENATE($AC$68,"_",AB86),選手名簿!$A:$E,5,FALSE))</f>
        <v/>
      </c>
    </row>
    <row r="87" spans="1:29" ht="20.25" customHeight="1" x14ac:dyDescent="0.45">
      <c r="A87" s="83" t="s">
        <v>1967</v>
      </c>
      <c r="B87" s="769" t="str">
        <f>IF(ISERROR(VLOOKUP(B86,審判員!$A:$C,2,FALSE))=TRUE,"",VLOOKUP(B86,審判員!$A:$C,2,FALSE))</f>
        <v>平川　諒</v>
      </c>
      <c r="C87" s="770"/>
      <c r="D87" s="83" t="str">
        <f>IF(ISERROR(VLOOKUP(B86,審判員!$A:$C,3,FALSE))=TRUE,"",VLOOKUP(B86,審判員!$A:$C,3,FALSE))</f>
        <v>３級</v>
      </c>
      <c r="E87" s="31" t="s">
        <v>196</v>
      </c>
      <c r="F87" s="32" t="str">
        <f>IF(ISERROR(VLOOKUP(CONCATENATE($F$68,"_",G87),選手名簿!$A:$E,5,FALSE))=TRUE,"",VLOOKUP(CONCATENATE($F$68,"_",G87),選手名簿!$A:$E,5,FALSE))</f>
        <v/>
      </c>
      <c r="G87" s="33"/>
      <c r="H87" s="33"/>
      <c r="I87" s="33"/>
      <c r="J87" s="22"/>
      <c r="K87" s="33"/>
      <c r="L87" s="33"/>
      <c r="M87" s="33"/>
      <c r="N87" s="34" t="str">
        <f>IF(ISERROR(VLOOKUP(CONCATENATE($N$68,"_",M87),選手名簿!$A:$E,5,FALSE))=TRUE,"",VLOOKUP(CONCATENATE($N$68,"_",M87),選手名簿!$A:$E,5,FALSE))</f>
        <v/>
      </c>
      <c r="P87" s="83" t="s">
        <v>1967</v>
      </c>
      <c r="Q87" s="769" t="str">
        <f>IF(ISERROR(VLOOKUP(Q86,審判員!$A:$C,2,FALSE))=TRUE,"",VLOOKUP(Q86,審判員!$A:$C,2,FALSE))</f>
        <v>緒方　崇</v>
      </c>
      <c r="R87" s="770"/>
      <c r="S87" s="83" t="str">
        <f>IF(ISERROR(VLOOKUP(Q86,審判員!$A:$C,3,FALSE))=TRUE,"",VLOOKUP(Q86,審判員!$A:$C,3,FALSE))</f>
        <v>３級</v>
      </c>
      <c r="T87" s="31" t="s">
        <v>196</v>
      </c>
      <c r="U87" s="32" t="str">
        <f>IF(ISERROR(VLOOKUP(CONCATENATE($U$68,"_",V87),選手名簿!$A:$E,5,FALSE))=TRUE,"",VLOOKUP(CONCATENATE($U$68,"_",V87),選手名簿!$A:$E,5,FALSE))</f>
        <v/>
      </c>
      <c r="V87" s="33"/>
      <c r="W87" s="33"/>
      <c r="X87" s="33"/>
      <c r="Y87" s="22"/>
      <c r="Z87" s="33"/>
      <c r="AA87" s="33"/>
      <c r="AB87" s="33"/>
      <c r="AC87" s="34" t="str">
        <f>IF(ISERROR(VLOOKUP(CONCATENATE($AC$68,"_",AB87),選手名簿!$A:$E,5,FALSE))=TRUE,"",VLOOKUP(CONCATENATE($AC$68,"_",AB87),選手名簿!$A:$E,5,FALSE))</f>
        <v/>
      </c>
    </row>
    <row r="88" spans="1:29" ht="20.25" customHeight="1" x14ac:dyDescent="0.45">
      <c r="A88" s="29" t="s">
        <v>226</v>
      </c>
      <c r="B88" s="774" t="s">
        <v>795</v>
      </c>
      <c r="C88" s="774"/>
      <c r="D88" s="774"/>
      <c r="E88" s="31" t="s">
        <v>196</v>
      </c>
      <c r="F88" s="32" t="str">
        <f>IF(ISERROR(VLOOKUP(CONCATENATE($F$68,"_",G88),選手名簿!$A:$E,5,FALSE))=TRUE,"",VLOOKUP(CONCATENATE($F$68,"_",G88),選手名簿!$A:$E,5,FALSE))</f>
        <v/>
      </c>
      <c r="G88" s="33"/>
      <c r="H88" s="33"/>
      <c r="I88" s="33"/>
      <c r="J88" s="22"/>
      <c r="K88" s="33"/>
      <c r="L88" s="33"/>
      <c r="M88" s="33"/>
      <c r="N88" s="34" t="str">
        <f>IF(ISERROR(VLOOKUP(CONCATENATE($N$68,"_",M88),選手名簿!$A:$E,5,FALSE))=TRUE,"",VLOOKUP(CONCATENATE($N$68,"_",M88),選手名簿!$A:$E,5,FALSE))</f>
        <v/>
      </c>
      <c r="P88" s="29" t="s">
        <v>226</v>
      </c>
      <c r="Q88" s="774" t="s">
        <v>4381</v>
      </c>
      <c r="R88" s="774"/>
      <c r="S88" s="774"/>
      <c r="T88" s="31" t="s">
        <v>196</v>
      </c>
      <c r="U88" s="32" t="str">
        <f>IF(ISERROR(VLOOKUP(CONCATENATE($U$68,"_",V88),選手名簿!$A:$E,5,FALSE))=TRUE,"",VLOOKUP(CONCATENATE($U$68,"_",V88),選手名簿!$A:$E,5,FALSE))</f>
        <v/>
      </c>
      <c r="V88" s="33"/>
      <c r="W88" s="33"/>
      <c r="X88" s="33"/>
      <c r="Y88" s="22"/>
      <c r="Z88" s="33"/>
      <c r="AA88" s="33"/>
      <c r="AB88" s="33"/>
      <c r="AC88" s="34" t="str">
        <f>IF(ISERROR(VLOOKUP(CONCATENATE($AC$68,"_",AB88),選手名簿!$A:$E,5,FALSE))=TRUE,"",VLOOKUP(CONCATENATE($AC$68,"_",AB88),選手名簿!$A:$E,5,FALSE))</f>
        <v/>
      </c>
    </row>
    <row r="89" spans="1:29" ht="20.25" customHeight="1" thickBot="1" x14ac:dyDescent="0.6">
      <c r="A89" s="83" t="s">
        <v>1968</v>
      </c>
      <c r="B89" s="769" t="str">
        <f>IF(ISERROR(VLOOKUP(B88,審判員!$A:$C,2,FALSE))=TRUE,"",VLOOKUP(B88,審判員!$A:$C,2,FALSE))</f>
        <v>宇髙　篤史</v>
      </c>
      <c r="C89" s="770"/>
      <c r="D89" s="83" t="str">
        <f>IF(ISERROR(VLOOKUP(B88,審判員!$A:$C,3,FALSE))=TRUE,"",VLOOKUP(B88,審判員!$A:$C,3,FALSE))</f>
        <v>３級</v>
      </c>
      <c r="E89" s="35" t="s">
        <v>196</v>
      </c>
      <c r="F89" s="36" t="str">
        <f>IF(ISERROR(VLOOKUP(CONCATENATE($F$68,"_",G89),選手名簿!$A:$E,5,FALSE))=TRUE,"",VLOOKUP(CONCATENATE($F$68,"_",G89),選手名簿!$A:$E,5,FALSE))</f>
        <v/>
      </c>
      <c r="G89" s="37"/>
      <c r="H89" s="37"/>
      <c r="I89" s="37"/>
      <c r="J89" s="27"/>
      <c r="K89" s="37"/>
      <c r="L89" s="37"/>
      <c r="M89" s="37"/>
      <c r="N89" s="38" t="str">
        <f>IF(ISERROR(VLOOKUP(CONCATENATE($N$68,"_",M89),選手名簿!$A:$E,5,FALSE))=TRUE,"",VLOOKUP(CONCATENATE($N$68,"_",M89),選手名簿!$A:$E,5,FALSE))</f>
        <v/>
      </c>
      <c r="P89" s="83" t="s">
        <v>1968</v>
      </c>
      <c r="Q89" s="769" t="str">
        <f>IF(ISERROR(VLOOKUP(Q88,審判員!$A:$C,2,FALSE))=TRUE,"",VLOOKUP(Q88,審判員!$A:$C,2,FALSE))</f>
        <v>田中　靖之</v>
      </c>
      <c r="R89" s="770"/>
      <c r="S89" s="83" t="str">
        <f>IF(ISERROR(VLOOKUP(Q88,審判員!$A:$C,3,FALSE))=TRUE,"",VLOOKUP(Q88,審判員!$A:$C,3,FALSE))</f>
        <v>３級</v>
      </c>
      <c r="T89" s="35" t="s">
        <v>196</v>
      </c>
      <c r="U89" s="36" t="str">
        <f>IF(ISERROR(VLOOKUP(CONCATENATE($U$68,"_",V89),選手名簿!$A:$E,5,FALSE))=TRUE,"",VLOOKUP(CONCATENATE($U$68,"_",V89),選手名簿!$A:$E,5,FALSE))</f>
        <v/>
      </c>
      <c r="V89" s="37"/>
      <c r="W89" s="37"/>
      <c r="X89" s="37"/>
      <c r="Y89" s="27"/>
      <c r="Z89" s="37"/>
      <c r="AA89" s="37"/>
      <c r="AB89" s="37"/>
      <c r="AC89" s="38" t="str">
        <f>IF(ISERROR(VLOOKUP(CONCATENATE($AC$68,"_",AB89),選手名簿!$A:$E,5,FALSE))=TRUE,"",VLOOKUP(CONCATENATE($AC$68,"_",AB89),選手名簿!$A:$E,5,FALSE))</f>
        <v/>
      </c>
    </row>
  </sheetData>
  <mergeCells count="130">
    <mergeCell ref="V39:V41"/>
    <mergeCell ref="AB7:AC7"/>
    <mergeCell ref="T10:T12"/>
    <mergeCell ref="U10:U12"/>
    <mergeCell ref="W10:W12"/>
    <mergeCell ref="M7:N7"/>
    <mergeCell ref="M10:M12"/>
    <mergeCell ref="N10:N12"/>
    <mergeCell ref="F7:L7"/>
    <mergeCell ref="W39:W41"/>
    <mergeCell ref="AA39:AA41"/>
    <mergeCell ref="AB39:AB41"/>
    <mergeCell ref="AC39:AC41"/>
    <mergeCell ref="P13:S13"/>
    <mergeCell ref="F39:F41"/>
    <mergeCell ref="G39:G41"/>
    <mergeCell ref="AB10:AB12"/>
    <mergeCell ref="AC10:AC12"/>
    <mergeCell ref="V10:V12"/>
    <mergeCell ref="Q39:S39"/>
    <mergeCell ref="Q40:S40"/>
    <mergeCell ref="Q41:S41"/>
    <mergeCell ref="U6:AA6"/>
    <mergeCell ref="U7:AA7"/>
    <mergeCell ref="AB5:AC5"/>
    <mergeCell ref="AB6:AC6"/>
    <mergeCell ref="A1:J1"/>
    <mergeCell ref="K1:N1"/>
    <mergeCell ref="P1:Y1"/>
    <mergeCell ref="Z1:AC1"/>
    <mergeCell ref="H10:H12"/>
    <mergeCell ref="L10:L12"/>
    <mergeCell ref="E10:E12"/>
    <mergeCell ref="F10:F12"/>
    <mergeCell ref="M5:N5"/>
    <mergeCell ref="F5:L5"/>
    <mergeCell ref="G10:G12"/>
    <mergeCell ref="B10:D10"/>
    <mergeCell ref="B11:D11"/>
    <mergeCell ref="B12:D12"/>
    <mergeCell ref="Q10:S10"/>
    <mergeCell ref="Q11:S11"/>
    <mergeCell ref="Q12:S12"/>
    <mergeCell ref="A42:D42"/>
    <mergeCell ref="P42:S42"/>
    <mergeCell ref="B57:D57"/>
    <mergeCell ref="Q57:S57"/>
    <mergeCell ref="F6:L6"/>
    <mergeCell ref="M6:N6"/>
    <mergeCell ref="U5:AA5"/>
    <mergeCell ref="Q25:R25"/>
    <mergeCell ref="AA10:AA12"/>
    <mergeCell ref="B24:D24"/>
    <mergeCell ref="B25:C25"/>
    <mergeCell ref="T39:T41"/>
    <mergeCell ref="U39:U41"/>
    <mergeCell ref="Q24:S24"/>
    <mergeCell ref="B26:D26"/>
    <mergeCell ref="Q26:S26"/>
    <mergeCell ref="B27:C27"/>
    <mergeCell ref="Q27:R27"/>
    <mergeCell ref="B28:D28"/>
    <mergeCell ref="Q28:S28"/>
    <mergeCell ref="M39:M41"/>
    <mergeCell ref="N39:N41"/>
    <mergeCell ref="B29:C29"/>
    <mergeCell ref="Q29:R29"/>
    <mergeCell ref="B60:C60"/>
    <mergeCell ref="Q60:R60"/>
    <mergeCell ref="E68:E70"/>
    <mergeCell ref="F68:F70"/>
    <mergeCell ref="G68:G70"/>
    <mergeCell ref="H68:H70"/>
    <mergeCell ref="L68:L70"/>
    <mergeCell ref="B53:D53"/>
    <mergeCell ref="Q53:S53"/>
    <mergeCell ref="B58:C58"/>
    <mergeCell ref="Q58:R58"/>
    <mergeCell ref="B59:D59"/>
    <mergeCell ref="Q59:S59"/>
    <mergeCell ref="B54:C54"/>
    <mergeCell ref="Q54:R54"/>
    <mergeCell ref="B55:D55"/>
    <mergeCell ref="Q55:S55"/>
    <mergeCell ref="B56:C56"/>
    <mergeCell ref="Q56:R56"/>
    <mergeCell ref="AC68:AC70"/>
    <mergeCell ref="B82:D82"/>
    <mergeCell ref="Q82:S82"/>
    <mergeCell ref="B83:C83"/>
    <mergeCell ref="Q83:R83"/>
    <mergeCell ref="B84:D84"/>
    <mergeCell ref="Q84:S84"/>
    <mergeCell ref="T68:T70"/>
    <mergeCell ref="U68:U70"/>
    <mergeCell ref="V68:V70"/>
    <mergeCell ref="A71:D71"/>
    <mergeCell ref="P71:S71"/>
    <mergeCell ref="M68:M70"/>
    <mergeCell ref="N68:N70"/>
    <mergeCell ref="W68:W70"/>
    <mergeCell ref="AA68:AA70"/>
    <mergeCell ref="AB68:AB70"/>
    <mergeCell ref="B68:D68"/>
    <mergeCell ref="B69:D69"/>
    <mergeCell ref="B70:D70"/>
    <mergeCell ref="Q68:S68"/>
    <mergeCell ref="Q69:S69"/>
    <mergeCell ref="Q70:S70"/>
    <mergeCell ref="B88:D88"/>
    <mergeCell ref="Q88:S88"/>
    <mergeCell ref="B89:C89"/>
    <mergeCell ref="Q89:R89"/>
    <mergeCell ref="B85:C85"/>
    <mergeCell ref="Q85:R85"/>
    <mergeCell ref="B86:D86"/>
    <mergeCell ref="Q86:S86"/>
    <mergeCell ref="B87:C87"/>
    <mergeCell ref="Q87:R87"/>
    <mergeCell ref="A13:D13"/>
    <mergeCell ref="B39:D39"/>
    <mergeCell ref="B40:D40"/>
    <mergeCell ref="B41:D41"/>
    <mergeCell ref="H39:H41"/>
    <mergeCell ref="L39:L41"/>
    <mergeCell ref="B30:D30"/>
    <mergeCell ref="Q30:S30"/>
    <mergeCell ref="B31:C31"/>
    <mergeCell ref="Q31:R31"/>
    <mergeCell ref="E39:E41"/>
  </mergeCells>
  <phoneticPr fontId="5"/>
  <printOptions horizontalCentered="1" verticalCentered="1"/>
  <pageMargins left="0" right="0" top="0" bottom="0" header="0.51181102362204722" footer="0.51181102362204722"/>
  <pageSetup paperSize="9" scale="4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7789CCB7-E951-4E9F-8C78-55D4F9871050}">
          <x14:formula1>
            <xm:f>項目!$G$1:$G$33</xm:f>
          </x14:formula1>
          <xm:sqref>B10:D12 Q68:S70 B68:D70 B39:D41 Q39:S41 Q10:S12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pageSetUpPr fitToPage="1"/>
  </sheetPr>
  <dimension ref="A1:AC89"/>
  <sheetViews>
    <sheetView zoomScale="70" zoomScaleNormal="70" workbookViewId="0">
      <selection activeCell="G3" sqref="G3:L3"/>
    </sheetView>
  </sheetViews>
  <sheetFormatPr defaultColWidth="9" defaultRowHeight="20.25" customHeight="1" x14ac:dyDescent="0.45"/>
  <cols>
    <col min="1" max="1" width="12.1328125" style="9" customWidth="1"/>
    <col min="2" max="2" width="11.86328125" style="9" bestFit="1" customWidth="1"/>
    <col min="3" max="3" width="3.1328125" style="9" customWidth="1"/>
    <col min="4" max="4" width="6.7265625" style="9" bestFit="1" customWidth="1"/>
    <col min="5" max="5" width="10.1328125" style="9" bestFit="1" customWidth="1"/>
    <col min="6" max="6" width="20.6328125" style="9" customWidth="1"/>
    <col min="7" max="7" width="7.6328125" style="9" customWidth="1"/>
    <col min="8" max="9" width="4.86328125" style="9" customWidth="1"/>
    <col min="10" max="10" width="5.2265625" style="9" customWidth="1"/>
    <col min="11" max="12" width="4.86328125" style="9" customWidth="1"/>
    <col min="13" max="13" width="7.6328125" style="9" customWidth="1"/>
    <col min="14" max="14" width="20.6328125" style="9" customWidth="1"/>
    <col min="15" max="15" width="5" style="9" bestFit="1" customWidth="1"/>
    <col min="16" max="16" width="12.1328125" style="9" customWidth="1"/>
    <col min="17" max="17" width="11.86328125" style="9" bestFit="1" customWidth="1"/>
    <col min="18" max="18" width="3.1328125" style="9" customWidth="1"/>
    <col min="19" max="19" width="6.7265625" style="9" bestFit="1" customWidth="1"/>
    <col min="20" max="20" width="10.1328125" style="9" bestFit="1" customWidth="1"/>
    <col min="21" max="21" width="20.6328125" style="9" customWidth="1"/>
    <col min="22" max="22" width="7.6328125" style="9" customWidth="1"/>
    <col min="23" max="24" width="4.86328125" style="9" customWidth="1"/>
    <col min="25" max="25" width="5.2265625" style="9" customWidth="1"/>
    <col min="26" max="27" width="4.86328125" style="9" customWidth="1"/>
    <col min="28" max="28" width="7.6328125" style="9" customWidth="1"/>
    <col min="29" max="29" width="20.6328125" style="9" customWidth="1"/>
    <col min="30" max="16384" width="9" style="9"/>
  </cols>
  <sheetData>
    <row r="1" spans="1:29" s="8" customFormat="1" ht="20.25" customHeight="1" x14ac:dyDescent="0.45">
      <c r="A1" s="800" t="str">
        <f>大会要項!$B$3</f>
        <v>第12回 全日本不動産協会杯争奪U-12サッカー大会【ラビットカップ】大分県大会</v>
      </c>
      <c r="B1" s="800"/>
      <c r="C1" s="800"/>
      <c r="D1" s="800"/>
      <c r="E1" s="800"/>
      <c r="F1" s="800"/>
      <c r="G1" s="800"/>
      <c r="H1" s="800"/>
      <c r="I1" s="800"/>
      <c r="J1" s="800"/>
      <c r="K1" s="800" t="s">
        <v>2009</v>
      </c>
      <c r="L1" s="800"/>
      <c r="M1" s="800"/>
      <c r="N1" s="800"/>
      <c r="O1" s="7"/>
      <c r="P1" s="800" t="str">
        <f>大会要項!$B$3</f>
        <v>第12回 全日本不動産協会杯争奪U-12サッカー大会【ラビットカップ】大分県大会</v>
      </c>
      <c r="Q1" s="800"/>
      <c r="R1" s="800"/>
      <c r="S1" s="800"/>
      <c r="T1" s="800"/>
      <c r="U1" s="800"/>
      <c r="V1" s="800"/>
      <c r="W1" s="800"/>
      <c r="X1" s="800"/>
      <c r="Y1" s="800"/>
      <c r="Z1" s="800" t="s">
        <v>2009</v>
      </c>
      <c r="AA1" s="800"/>
      <c r="AB1" s="800"/>
      <c r="AC1" s="800"/>
    </row>
    <row r="2" spans="1:29" ht="20.25" customHeight="1" x14ac:dyDescent="0.45">
      <c r="P2" s="10"/>
      <c r="Q2" s="10"/>
      <c r="R2" s="10"/>
      <c r="S2" s="10"/>
      <c r="T2" s="10"/>
      <c r="U2" s="10"/>
      <c r="V2" s="10"/>
      <c r="W2" s="10"/>
      <c r="X2" s="10"/>
      <c r="Y2" s="10"/>
      <c r="Z2" s="10"/>
      <c r="AA2" s="10"/>
      <c r="AB2" s="10"/>
      <c r="AC2" s="10"/>
    </row>
    <row r="3" spans="1:29" ht="20.25" customHeight="1" x14ac:dyDescent="0.45">
      <c r="A3" s="9" t="s">
        <v>47</v>
      </c>
      <c r="B3" s="6" t="str">
        <f>予選リーグ!I14</f>
        <v>大分県サッカー協会人工芝グラウンド</v>
      </c>
      <c r="C3" s="6"/>
      <c r="D3" s="6"/>
      <c r="E3" s="6"/>
      <c r="G3" s="6" t="str">
        <f>予選リーグ!L15</f>
        <v>「B」コート</v>
      </c>
      <c r="H3" s="6"/>
      <c r="I3" s="6"/>
      <c r="J3" s="6"/>
      <c r="K3" s="6"/>
      <c r="L3" s="6"/>
      <c r="P3" s="9" t="s">
        <v>47</v>
      </c>
      <c r="Q3" s="6" t="str">
        <f>予選リーグ!I14</f>
        <v>大分県サッカー協会人工芝グラウンド</v>
      </c>
      <c r="R3" s="6"/>
      <c r="S3" s="6"/>
      <c r="T3" s="6"/>
      <c r="V3" s="379" t="str">
        <f>予選リーグ!L15</f>
        <v>「B」コート</v>
      </c>
      <c r="W3" s="11"/>
      <c r="X3" s="11"/>
      <c r="Y3" s="11"/>
      <c r="Z3" s="11"/>
      <c r="AA3" s="11"/>
      <c r="AB3" s="11"/>
      <c r="AC3" s="11"/>
    </row>
    <row r="4" spans="1:29" ht="20.25" customHeight="1" x14ac:dyDescent="0.45">
      <c r="P4" s="10"/>
      <c r="Q4" s="10"/>
      <c r="R4" s="10"/>
      <c r="S4" s="10"/>
      <c r="T4" s="10"/>
      <c r="U4" s="10"/>
      <c r="V4" s="10"/>
      <c r="W4" s="10"/>
      <c r="X4" s="10"/>
      <c r="Y4" s="10"/>
      <c r="Z4" s="10"/>
      <c r="AA4" s="10"/>
      <c r="AB4" s="10"/>
      <c r="AC4" s="10"/>
    </row>
    <row r="5" spans="1:29" ht="20.25" customHeight="1" x14ac:dyDescent="0.45">
      <c r="E5" s="12" t="s">
        <v>62</v>
      </c>
      <c r="F5" s="796" t="str">
        <f>VLOOKUP(E5,組合せ抽選用!$Q:$U,5,FALSE)</f>
        <v>ティエラフットボールクラブＵ－１２</v>
      </c>
      <c r="G5" s="796"/>
      <c r="H5" s="796"/>
      <c r="I5" s="796"/>
      <c r="J5" s="796"/>
      <c r="K5" s="796"/>
      <c r="L5" s="796"/>
      <c r="M5" s="796" t="str">
        <f>VLOOKUP(E5,組合せ抽選用!$Q:$V,6,FALSE)</f>
        <v>中津</v>
      </c>
      <c r="N5" s="797"/>
      <c r="R5" s="10"/>
      <c r="S5" s="10"/>
      <c r="T5" s="12" t="s">
        <v>74</v>
      </c>
      <c r="U5" s="796" t="str">
        <f>VLOOKUP(T5,組合せ抽選用!$Q:$U,5,FALSE)</f>
        <v>寒田．敷戸ＦＣ</v>
      </c>
      <c r="V5" s="796"/>
      <c r="W5" s="796"/>
      <c r="X5" s="796"/>
      <c r="Y5" s="796"/>
      <c r="Z5" s="796"/>
      <c r="AA5" s="796"/>
      <c r="AB5" s="796" t="str">
        <f>VLOOKUP(T5,組合せ抽選用!$Q:$V,6,FALSE)</f>
        <v>大分</v>
      </c>
      <c r="AC5" s="797"/>
    </row>
    <row r="6" spans="1:29" ht="20.25" customHeight="1" x14ac:dyDescent="0.45">
      <c r="E6" s="13" t="s">
        <v>63</v>
      </c>
      <c r="F6" s="798" t="str">
        <f>VLOOKUP(E6,組合せ抽選用!$Q:$U,5,FALSE)</f>
        <v>西の台ＪＦＣ</v>
      </c>
      <c r="G6" s="798"/>
      <c r="H6" s="798"/>
      <c r="I6" s="798"/>
      <c r="J6" s="798"/>
      <c r="K6" s="798"/>
      <c r="L6" s="798"/>
      <c r="M6" s="798" t="str">
        <f>VLOOKUP(E6,組合せ抽選用!$Q:$V,6,FALSE)</f>
        <v>大分</v>
      </c>
      <c r="N6" s="799"/>
      <c r="P6" s="10"/>
      <c r="Q6" s="10"/>
      <c r="R6" s="10"/>
      <c r="S6" s="10"/>
      <c r="T6" s="13" t="s">
        <v>75</v>
      </c>
      <c r="U6" s="798" t="str">
        <f>VLOOKUP(T6,組合せ抽選用!$Q:$U,5,FALSE)</f>
        <v>スマイス　セレソン　スポーツクラブＡ</v>
      </c>
      <c r="V6" s="798"/>
      <c r="W6" s="798"/>
      <c r="X6" s="798"/>
      <c r="Y6" s="798"/>
      <c r="Z6" s="798"/>
      <c r="AA6" s="798"/>
      <c r="AB6" s="798" t="str">
        <f>VLOOKUP(T6,組合せ抽選用!$Q:$V,6,FALSE)</f>
        <v>大分</v>
      </c>
      <c r="AC6" s="799"/>
    </row>
    <row r="7" spans="1:29" ht="20.25" customHeight="1" x14ac:dyDescent="0.45">
      <c r="E7" s="14" t="s">
        <v>64</v>
      </c>
      <c r="F7" s="801" t="str">
        <f>VLOOKUP(E7,組合せ抽選用!$Q:$U,5,FALSE)</f>
        <v>竹田直入ＦＣ</v>
      </c>
      <c r="G7" s="801"/>
      <c r="H7" s="801"/>
      <c r="I7" s="801"/>
      <c r="J7" s="801"/>
      <c r="K7" s="801"/>
      <c r="L7" s="801"/>
      <c r="M7" s="801" t="str">
        <f>VLOOKUP(E7,組合せ抽選用!$Q:$V,6,FALSE)</f>
        <v>豊肥</v>
      </c>
      <c r="N7" s="802"/>
      <c r="P7" s="10"/>
      <c r="Q7" s="10"/>
      <c r="R7" s="10"/>
      <c r="S7" s="10"/>
      <c r="T7" s="14" t="s">
        <v>76</v>
      </c>
      <c r="U7" s="801" t="str">
        <f>VLOOKUP(T7,組合せ抽選用!$Q:$U,5,FALSE)</f>
        <v>鶴居ＳＳＳ</v>
      </c>
      <c r="V7" s="801"/>
      <c r="W7" s="801"/>
      <c r="X7" s="801"/>
      <c r="Y7" s="801"/>
      <c r="Z7" s="801"/>
      <c r="AA7" s="801"/>
      <c r="AB7" s="801" t="str">
        <f>VLOOKUP(T7,組合せ抽選用!$Q:$V,6,FALSE)</f>
        <v>中津</v>
      </c>
      <c r="AC7" s="802"/>
    </row>
    <row r="8" spans="1:29" ht="20.25" customHeight="1" x14ac:dyDescent="0.45">
      <c r="P8" s="10"/>
      <c r="Q8" s="10"/>
      <c r="R8" s="10"/>
      <c r="S8" s="10"/>
      <c r="T8" s="10"/>
      <c r="U8" s="10"/>
      <c r="V8" s="10"/>
      <c r="W8" s="10"/>
      <c r="X8" s="10"/>
      <c r="Y8" s="10"/>
      <c r="Z8" s="10"/>
      <c r="AA8" s="10"/>
      <c r="AB8" s="10"/>
      <c r="AC8" s="10"/>
    </row>
    <row r="9" spans="1:29" ht="20.25" customHeight="1" thickBot="1" x14ac:dyDescent="0.6"/>
    <row r="10" spans="1:29" ht="27.4" customHeight="1" x14ac:dyDescent="0.45">
      <c r="A10" s="365" t="s">
        <v>3235</v>
      </c>
      <c r="B10" s="789" t="s">
        <v>1412</v>
      </c>
      <c r="C10" s="790"/>
      <c r="D10" s="791"/>
      <c r="E10" s="778">
        <v>0.4375</v>
      </c>
      <c r="F10" s="781" t="str">
        <f>F5</f>
        <v>ティエラフットボールクラブＵ－１２</v>
      </c>
      <c r="G10" s="784">
        <f>IF(I10="","",SUM(I10:I11))</f>
        <v>1</v>
      </c>
      <c r="H10" s="793" t="s">
        <v>205</v>
      </c>
      <c r="I10" s="84">
        <v>1</v>
      </c>
      <c r="J10" s="84" t="s">
        <v>116</v>
      </c>
      <c r="K10" s="84">
        <v>1</v>
      </c>
      <c r="L10" s="793" t="s">
        <v>206</v>
      </c>
      <c r="M10" s="784">
        <f>IF(K10="","",SUM(K10:K11))</f>
        <v>1</v>
      </c>
      <c r="N10" s="775" t="str">
        <f>F6</f>
        <v>西の台ＪＦＣ</v>
      </c>
      <c r="P10" s="365" t="s">
        <v>3235</v>
      </c>
      <c r="Q10" s="789" t="s">
        <v>3920</v>
      </c>
      <c r="R10" s="790"/>
      <c r="S10" s="791"/>
      <c r="T10" s="778">
        <v>0.47916666666666669</v>
      </c>
      <c r="U10" s="781" t="str">
        <f>U5</f>
        <v>寒田．敷戸ＦＣ</v>
      </c>
      <c r="V10" s="784">
        <f>IF(X10="","",SUM(X10:X11))</f>
        <v>0</v>
      </c>
      <c r="W10" s="793" t="s">
        <v>205</v>
      </c>
      <c r="X10" s="84">
        <v>0</v>
      </c>
      <c r="Y10" s="84" t="s">
        <v>116</v>
      </c>
      <c r="Z10" s="84">
        <v>3</v>
      </c>
      <c r="AA10" s="793" t="s">
        <v>206</v>
      </c>
      <c r="AB10" s="784">
        <f>IF(Z10="","",SUM(Z10:Z11))</f>
        <v>5</v>
      </c>
      <c r="AC10" s="775" t="str">
        <f>U6</f>
        <v>スマイス　セレソン　スポーツクラブＡ</v>
      </c>
    </row>
    <row r="11" spans="1:29" ht="27.4" customHeight="1" x14ac:dyDescent="0.45">
      <c r="A11" s="366" t="s">
        <v>3236</v>
      </c>
      <c r="B11" s="792" t="s">
        <v>3924</v>
      </c>
      <c r="C11" s="792"/>
      <c r="D11" s="789"/>
      <c r="E11" s="779"/>
      <c r="F11" s="782"/>
      <c r="G11" s="785"/>
      <c r="H11" s="794"/>
      <c r="I11" s="9">
        <v>0</v>
      </c>
      <c r="J11" s="9" t="s">
        <v>117</v>
      </c>
      <c r="K11" s="9">
        <v>0</v>
      </c>
      <c r="L11" s="794"/>
      <c r="M11" s="785"/>
      <c r="N11" s="776"/>
      <c r="P11" s="366" t="s">
        <v>3236</v>
      </c>
      <c r="Q11" s="792" t="s">
        <v>3924</v>
      </c>
      <c r="R11" s="792"/>
      <c r="S11" s="789"/>
      <c r="T11" s="779"/>
      <c r="U11" s="782"/>
      <c r="V11" s="785"/>
      <c r="W11" s="794"/>
      <c r="X11" s="9">
        <v>0</v>
      </c>
      <c r="Y11" s="9" t="s">
        <v>117</v>
      </c>
      <c r="Z11" s="9">
        <v>2</v>
      </c>
      <c r="AA11" s="794"/>
      <c r="AB11" s="785"/>
      <c r="AC11" s="776"/>
    </row>
    <row r="12" spans="1:29" ht="27.4" customHeight="1" thickBot="1" x14ac:dyDescent="0.6">
      <c r="A12" s="366" t="s">
        <v>3237</v>
      </c>
      <c r="B12" s="792" t="s">
        <v>823</v>
      </c>
      <c r="C12" s="792"/>
      <c r="D12" s="789"/>
      <c r="E12" s="780"/>
      <c r="F12" s="783"/>
      <c r="G12" s="786"/>
      <c r="H12" s="795"/>
      <c r="I12" s="85"/>
      <c r="J12" s="85" t="s">
        <v>188</v>
      </c>
      <c r="K12" s="85"/>
      <c r="L12" s="795"/>
      <c r="M12" s="786"/>
      <c r="N12" s="777"/>
      <c r="P12" s="366" t="s">
        <v>3237</v>
      </c>
      <c r="Q12" s="792" t="s">
        <v>1412</v>
      </c>
      <c r="R12" s="792"/>
      <c r="S12" s="789"/>
      <c r="T12" s="780"/>
      <c r="U12" s="783"/>
      <c r="V12" s="786"/>
      <c r="W12" s="795"/>
      <c r="X12" s="85"/>
      <c r="Y12" s="85" t="s">
        <v>188</v>
      </c>
      <c r="Z12" s="85"/>
      <c r="AA12" s="795"/>
      <c r="AB12" s="786"/>
      <c r="AC12" s="777"/>
    </row>
    <row r="13" spans="1:29" ht="20.25" customHeight="1" thickTop="1" x14ac:dyDescent="0.45">
      <c r="A13" s="787" t="s">
        <v>1565</v>
      </c>
      <c r="B13" s="787"/>
      <c r="C13" s="787"/>
      <c r="D13" s="787"/>
      <c r="E13" s="15"/>
      <c r="F13" s="16" t="s">
        <v>190</v>
      </c>
      <c r="G13" s="16" t="s">
        <v>1552</v>
      </c>
      <c r="H13" s="16" t="s">
        <v>145</v>
      </c>
      <c r="I13" s="16"/>
      <c r="J13" s="17"/>
      <c r="K13" s="16"/>
      <c r="L13" s="16" t="s">
        <v>145</v>
      </c>
      <c r="M13" s="16" t="s">
        <v>1552</v>
      </c>
      <c r="N13" s="18" t="s">
        <v>190</v>
      </c>
      <c r="P13" s="787" t="s">
        <v>1565</v>
      </c>
      <c r="Q13" s="787"/>
      <c r="R13" s="787"/>
      <c r="S13" s="788"/>
      <c r="T13" s="15"/>
      <c r="U13" s="16" t="s">
        <v>190</v>
      </c>
      <c r="V13" s="16" t="s">
        <v>1552</v>
      </c>
      <c r="W13" s="16" t="s">
        <v>145</v>
      </c>
      <c r="X13" s="16"/>
      <c r="Y13" s="17"/>
      <c r="Z13" s="16"/>
      <c r="AA13" s="16" t="s">
        <v>145</v>
      </c>
      <c r="AB13" s="16" t="s">
        <v>1552</v>
      </c>
      <c r="AC13" s="18" t="s">
        <v>190</v>
      </c>
    </row>
    <row r="14" spans="1:29" ht="20.25" hidden="1" customHeight="1" x14ac:dyDescent="0.45">
      <c r="E14" s="19" t="s">
        <v>228</v>
      </c>
      <c r="F14" s="20" t="str">
        <f>IF(ISERROR(VLOOKUP(CONCATENATE($F$10,"_",G14),選手名簿!$A:$E,5,FALSE))=TRUE,"",VLOOKUP(CONCATENATE($F$10,"_",G14),選手名簿!$A:$E,5,FALSE))</f>
        <v/>
      </c>
      <c r="G14" s="21"/>
      <c r="H14" s="21"/>
      <c r="I14" s="21"/>
      <c r="J14" s="22"/>
      <c r="K14" s="21"/>
      <c r="L14" s="21"/>
      <c r="M14" s="21"/>
      <c r="N14" s="23" t="str">
        <f>IF(ISERROR(VLOOKUP(CONCATENATE($N$10,"_",M14),選手名簿!$A:$E,5,FALSE))=TRUE,"",VLOOKUP(CONCATENATE($N$10,"_",M14),選手名簿!$A:$E,5,FALSE))</f>
        <v/>
      </c>
      <c r="T14" s="19" t="s">
        <v>228</v>
      </c>
      <c r="U14" s="20" t="str">
        <f>IF(ISERROR(VLOOKUP(CONCATENATE($U$10,"_",V14),選手名簿!$A:$E,5,FALSE))=TRUE,"",VLOOKUP(CONCATENATE($U$10,"_",V14),選手名簿!$A:$E,5,FALSE))</f>
        <v/>
      </c>
      <c r="V14" s="21"/>
      <c r="W14" s="21"/>
      <c r="X14" s="21"/>
      <c r="Y14" s="22"/>
      <c r="Z14" s="21"/>
      <c r="AA14" s="21"/>
      <c r="AB14" s="21"/>
      <c r="AC14" s="23" t="str">
        <f>IF(ISERROR(VLOOKUP(CONCATENATE($AC$10,"_",AB14),選手名簿!$A:$E,5,FALSE))=TRUE,"",VLOOKUP(CONCATENATE($AC$10,"_",AB14),選手名簿!$A:$E,5,FALSE))</f>
        <v/>
      </c>
    </row>
    <row r="15" spans="1:29" ht="20.25" hidden="1" customHeight="1" x14ac:dyDescent="0.45">
      <c r="E15" s="19" t="s">
        <v>228</v>
      </c>
      <c r="F15" s="20" t="str">
        <f>IF(ISERROR(VLOOKUP(CONCATENATE($F$10,"_",G15),選手名簿!$A:$E,5,FALSE))=TRUE,"",VLOOKUP(CONCATENATE($F$10,"_",G15),選手名簿!$A:$E,5,FALSE))</f>
        <v/>
      </c>
      <c r="G15" s="21"/>
      <c r="H15" s="21"/>
      <c r="I15" s="21"/>
      <c r="J15" s="22"/>
      <c r="K15" s="21"/>
      <c r="L15" s="21"/>
      <c r="M15" s="21"/>
      <c r="N15" s="23" t="str">
        <f>IF(ISERROR(VLOOKUP(CONCATENATE($N$10,"_",M15),選手名簿!$A:$E,5,FALSE))=TRUE,"",VLOOKUP(CONCATENATE($N$10,"_",M15),選手名簿!$A:$E,5,FALSE))</f>
        <v/>
      </c>
      <c r="T15" s="19" t="s">
        <v>228</v>
      </c>
      <c r="U15" s="20" t="str">
        <f>IF(ISERROR(VLOOKUP(CONCATENATE($U$10,"_",V15),選手名簿!$A:$E,5,FALSE))=TRUE,"",VLOOKUP(CONCATENATE($U$10,"_",V15),選手名簿!$A:$E,5,FALSE))</f>
        <v/>
      </c>
      <c r="V15" s="21"/>
      <c r="W15" s="21"/>
      <c r="X15" s="21"/>
      <c r="Y15" s="22"/>
      <c r="Z15" s="21"/>
      <c r="AA15" s="21"/>
      <c r="AB15" s="21"/>
      <c r="AC15" s="23" t="str">
        <f>IF(ISERROR(VLOOKUP(CONCATENATE($AC$10,"_",AB15),選手名簿!$A:$E,5,FALSE))=TRUE,"",VLOOKUP(CONCATENATE($AC$10,"_",AB15),選手名簿!$A:$E,5,FALSE))</f>
        <v/>
      </c>
    </row>
    <row r="16" spans="1:29" ht="20.25" hidden="1" customHeight="1" x14ac:dyDescent="0.45">
      <c r="E16" s="19" t="s">
        <v>228</v>
      </c>
      <c r="F16" s="20" t="str">
        <f>IF(ISERROR(VLOOKUP(CONCATENATE($F$10,"_",G16),選手名簿!$A:$E,5,FALSE))=TRUE,"",VLOOKUP(CONCATENATE($F$10,"_",G16),選手名簿!$A:$E,5,FALSE))</f>
        <v/>
      </c>
      <c r="G16" s="21"/>
      <c r="H16" s="21"/>
      <c r="I16" s="21"/>
      <c r="J16" s="22"/>
      <c r="K16" s="21"/>
      <c r="L16" s="21"/>
      <c r="M16" s="21"/>
      <c r="N16" s="23" t="str">
        <f>IF(ISERROR(VLOOKUP(CONCATENATE($N$10,"_",M16),選手名簿!$A:$E,5,FALSE))=TRUE,"",VLOOKUP(CONCATENATE($N$10,"_",M16),選手名簿!$A:$E,5,FALSE))</f>
        <v/>
      </c>
      <c r="T16" s="19" t="s">
        <v>228</v>
      </c>
      <c r="U16" s="20" t="str">
        <f>IF(ISERROR(VLOOKUP(CONCATENATE($U$10,"_",V16),選手名簿!$A:$E,5,FALSE))=TRUE,"",VLOOKUP(CONCATENATE($U$10,"_",V16),選手名簿!$A:$E,5,FALSE))</f>
        <v/>
      </c>
      <c r="V16" s="21"/>
      <c r="W16" s="21"/>
      <c r="X16" s="21"/>
      <c r="Y16" s="22"/>
      <c r="Z16" s="21"/>
      <c r="AA16" s="21"/>
      <c r="AB16" s="21"/>
      <c r="AC16" s="23" t="str">
        <f>IF(ISERROR(VLOOKUP(CONCATENATE($AC$10,"_",AB16),選手名簿!$A:$E,5,FALSE))=TRUE,"",VLOOKUP(CONCATENATE($AC$10,"_",AB16),選手名簿!$A:$E,5,FALSE))</f>
        <v/>
      </c>
    </row>
    <row r="17" spans="1:29" ht="20.25" hidden="1" customHeight="1" x14ac:dyDescent="0.45">
      <c r="E17" s="19" t="s">
        <v>228</v>
      </c>
      <c r="F17" s="20" t="str">
        <f>IF(ISERROR(VLOOKUP(CONCATENATE($F$10,"_",G17),選手名簿!$A:$E,5,FALSE))=TRUE,"",VLOOKUP(CONCATENATE($F$10,"_",G17),選手名簿!$A:$E,5,FALSE))</f>
        <v/>
      </c>
      <c r="G17" s="21"/>
      <c r="H17" s="21"/>
      <c r="I17" s="21"/>
      <c r="J17" s="22"/>
      <c r="K17" s="21"/>
      <c r="L17" s="21"/>
      <c r="M17" s="21"/>
      <c r="N17" s="23" t="str">
        <f>IF(ISERROR(VLOOKUP(CONCATENATE($N$10,"_",M17),選手名簿!$A:$E,5,FALSE))=TRUE,"",VLOOKUP(CONCATENATE($N$10,"_",M17),選手名簿!$A:$E,5,FALSE))</f>
        <v/>
      </c>
      <c r="T17" s="19" t="s">
        <v>228</v>
      </c>
      <c r="U17" s="20" t="str">
        <f>IF(ISERROR(VLOOKUP(CONCATENATE($U$10,"_",V17),選手名簿!$A:$E,5,FALSE))=TRUE,"",VLOOKUP(CONCATENATE($U$10,"_",V17),選手名簿!$A:$E,5,FALSE))</f>
        <v/>
      </c>
      <c r="V17" s="21"/>
      <c r="W17" s="21"/>
      <c r="X17" s="21"/>
      <c r="Y17" s="22"/>
      <c r="Z17" s="21"/>
      <c r="AA17" s="21"/>
      <c r="AB17" s="21"/>
      <c r="AC17" s="23" t="str">
        <f>IF(ISERROR(VLOOKUP(CONCATENATE($AC$10,"_",AB17),選手名簿!$A:$E,5,FALSE))=TRUE,"",VLOOKUP(CONCATENATE($AC$10,"_",AB17),選手名簿!$A:$E,5,FALSE))</f>
        <v/>
      </c>
    </row>
    <row r="18" spans="1:29" ht="20.25" hidden="1" customHeight="1" x14ac:dyDescent="0.45">
      <c r="E18" s="19" t="s">
        <v>228</v>
      </c>
      <c r="F18" s="20" t="str">
        <f>IF(ISERROR(VLOOKUP(CONCATENATE($F$10,"_",G18),選手名簿!$A:$E,5,FALSE))=TRUE,"",VLOOKUP(CONCATENATE($F$10,"_",G18),選手名簿!$A:$E,5,FALSE))</f>
        <v/>
      </c>
      <c r="G18" s="21"/>
      <c r="H18" s="21"/>
      <c r="I18" s="21"/>
      <c r="J18" s="22"/>
      <c r="K18" s="21"/>
      <c r="L18" s="21"/>
      <c r="M18" s="21"/>
      <c r="N18" s="23" t="str">
        <f>IF(ISERROR(VLOOKUP(CONCATENATE($N$10,"_",M18),選手名簿!$A:$E,5,FALSE))=TRUE,"",VLOOKUP(CONCATENATE($N$10,"_",M18),選手名簿!$A:$E,5,FALSE))</f>
        <v/>
      </c>
      <c r="T18" s="19" t="s">
        <v>228</v>
      </c>
      <c r="U18" s="20" t="str">
        <f>IF(ISERROR(VLOOKUP(CONCATENATE($U$10,"_",V18),選手名簿!$A:$E,5,FALSE))=TRUE,"",VLOOKUP(CONCATENATE($U$10,"_",V18),選手名簿!$A:$E,5,FALSE))</f>
        <v/>
      </c>
      <c r="V18" s="21"/>
      <c r="W18" s="21"/>
      <c r="X18" s="21"/>
      <c r="Y18" s="22"/>
      <c r="Z18" s="21"/>
      <c r="AA18" s="21"/>
      <c r="AB18" s="21"/>
      <c r="AC18" s="23" t="str">
        <f>IF(ISERROR(VLOOKUP(CONCATENATE($AC$10,"_",AB18),選手名簿!$A:$E,5,FALSE))=TRUE,"",VLOOKUP(CONCATENATE($AC$10,"_",AB18),選手名簿!$A:$E,5,FALSE))</f>
        <v/>
      </c>
    </row>
    <row r="19" spans="1:29" ht="20.25" hidden="1" customHeight="1" x14ac:dyDescent="0.45">
      <c r="E19" s="19" t="s">
        <v>228</v>
      </c>
      <c r="F19" s="20" t="str">
        <f>IF(ISERROR(VLOOKUP(CONCATENATE($F$10,"_",G19),選手名簿!$A:$E,5,FALSE))=TRUE,"",VLOOKUP(CONCATENATE($F$10,"_",G19),選手名簿!$A:$E,5,FALSE))</f>
        <v/>
      </c>
      <c r="G19" s="21"/>
      <c r="H19" s="21"/>
      <c r="I19" s="21"/>
      <c r="J19" s="22"/>
      <c r="K19" s="21"/>
      <c r="L19" s="21"/>
      <c r="M19" s="21"/>
      <c r="N19" s="23" t="str">
        <f>IF(ISERROR(VLOOKUP(CONCATENATE($N$10,"_",M19),選手名簿!$A:$E,5,FALSE))=TRUE,"",VLOOKUP(CONCATENATE($N$10,"_",M19),選手名簿!$A:$E,5,FALSE))</f>
        <v/>
      </c>
      <c r="T19" s="19" t="s">
        <v>228</v>
      </c>
      <c r="U19" s="20" t="str">
        <f>IF(ISERROR(VLOOKUP(CONCATENATE($U$10,"_",V19),選手名簿!$A:$E,5,FALSE))=TRUE,"",VLOOKUP(CONCATENATE($U$10,"_",V19),選手名簿!$A:$E,5,FALSE))</f>
        <v/>
      </c>
      <c r="V19" s="21"/>
      <c r="W19" s="21"/>
      <c r="X19" s="21"/>
      <c r="Y19" s="22"/>
      <c r="Z19" s="21"/>
      <c r="AA19" s="21"/>
      <c r="AB19" s="21"/>
      <c r="AC19" s="23" t="str">
        <f>IF(ISERROR(VLOOKUP(CONCATENATE($AC$10,"_",AB19),選手名簿!$A:$E,5,FALSE))=TRUE,"",VLOOKUP(CONCATENATE($AC$10,"_",AB19),選手名簿!$A:$E,5,FALSE))</f>
        <v/>
      </c>
    </row>
    <row r="20" spans="1:29" ht="20.25" hidden="1" customHeight="1" x14ac:dyDescent="0.45">
      <c r="E20" s="19" t="s">
        <v>228</v>
      </c>
      <c r="F20" s="20" t="str">
        <f>IF(ISERROR(VLOOKUP(CONCATENATE($F$10,"_",G20),選手名簿!$A:$E,5,FALSE))=TRUE,"",VLOOKUP(CONCATENATE($F$10,"_",G20),選手名簿!$A:$E,5,FALSE))</f>
        <v/>
      </c>
      <c r="G20" s="21"/>
      <c r="H20" s="21"/>
      <c r="I20" s="21"/>
      <c r="J20" s="22"/>
      <c r="K20" s="21"/>
      <c r="L20" s="21"/>
      <c r="M20" s="21"/>
      <c r="N20" s="23" t="str">
        <f>IF(ISERROR(VLOOKUP(CONCATENATE($N$10,"_",M20),選手名簿!$A:$E,5,FALSE))=TRUE,"",VLOOKUP(CONCATENATE($N$10,"_",M20),選手名簿!$A:$E,5,FALSE))</f>
        <v/>
      </c>
      <c r="T20" s="19" t="s">
        <v>228</v>
      </c>
      <c r="U20" s="20" t="str">
        <f>IF(ISERROR(VLOOKUP(CONCATENATE($U$10,"_",V20),選手名簿!$A:$E,5,FALSE))=TRUE,"",VLOOKUP(CONCATENATE($U$10,"_",V20),選手名簿!$A:$E,5,FALSE))</f>
        <v/>
      </c>
      <c r="V20" s="21"/>
      <c r="W20" s="21"/>
      <c r="X20" s="21"/>
      <c r="Y20" s="22"/>
      <c r="Z20" s="21"/>
      <c r="AA20" s="21"/>
      <c r="AB20" s="21"/>
      <c r="AC20" s="23" t="str">
        <f>IF(ISERROR(VLOOKUP(CONCATENATE($AC$10,"_",AB20),選手名簿!$A:$E,5,FALSE))=TRUE,"",VLOOKUP(CONCATENATE($AC$10,"_",AB20),選手名簿!$A:$E,5,FALSE))</f>
        <v/>
      </c>
    </row>
    <row r="21" spans="1:29" ht="20.25" hidden="1" customHeight="1" x14ac:dyDescent="0.45">
      <c r="E21" s="19" t="s">
        <v>228</v>
      </c>
      <c r="F21" s="20" t="str">
        <f>IF(ISERROR(VLOOKUP(CONCATENATE($F$10,"_",G21),選手名簿!$A:$E,5,FALSE))=TRUE,"",VLOOKUP(CONCATENATE($F$10,"_",G21),選手名簿!$A:$E,5,FALSE))</f>
        <v/>
      </c>
      <c r="G21" s="21"/>
      <c r="H21" s="21"/>
      <c r="I21" s="21"/>
      <c r="J21" s="22"/>
      <c r="K21" s="21"/>
      <c r="L21" s="21"/>
      <c r="M21" s="21"/>
      <c r="N21" s="23" t="str">
        <f>IF(ISERROR(VLOOKUP(CONCATENATE($N$10,"_",M21),選手名簿!$A:$E,5,FALSE))=TRUE,"",VLOOKUP(CONCATENATE($N$10,"_",M21),選手名簿!$A:$E,5,FALSE))</f>
        <v/>
      </c>
      <c r="T21" s="19" t="s">
        <v>228</v>
      </c>
      <c r="U21" s="20" t="str">
        <f>IF(ISERROR(VLOOKUP(CONCATENATE($U$10,"_",V21),選手名簿!$A:$E,5,FALSE))=TRUE,"",VLOOKUP(CONCATENATE($U$10,"_",V21),選手名簿!$A:$E,5,FALSE))</f>
        <v/>
      </c>
      <c r="V21" s="21"/>
      <c r="W21" s="21"/>
      <c r="X21" s="21"/>
      <c r="Y21" s="22"/>
      <c r="Z21" s="21"/>
      <c r="AA21" s="21"/>
      <c r="AB21" s="21"/>
      <c r="AC21" s="23" t="str">
        <f>IF(ISERROR(VLOOKUP(CONCATENATE($AC$10,"_",AB21),選手名簿!$A:$E,5,FALSE))=TRUE,"",VLOOKUP(CONCATENATE($AC$10,"_",AB21),選手名簿!$A:$E,5,FALSE))</f>
        <v/>
      </c>
    </row>
    <row r="22" spans="1:29" ht="20.25" hidden="1" customHeight="1" x14ac:dyDescent="0.45">
      <c r="E22" s="19" t="s">
        <v>228</v>
      </c>
      <c r="F22" s="20" t="str">
        <f>IF(ISERROR(VLOOKUP(CONCATENATE($F$10,"_",G22),選手名簿!$A:$E,5,FALSE))=TRUE,"",VLOOKUP(CONCATENATE($F$10,"_",G22),選手名簿!$A:$E,5,FALSE))</f>
        <v/>
      </c>
      <c r="G22" s="21"/>
      <c r="H22" s="21"/>
      <c r="I22" s="21"/>
      <c r="J22" s="22"/>
      <c r="K22" s="21"/>
      <c r="L22" s="21"/>
      <c r="M22" s="21"/>
      <c r="N22" s="23" t="str">
        <f>IF(ISERROR(VLOOKUP(CONCATENATE($N$10,"_",M22),選手名簿!$A:$E,5,FALSE))=TRUE,"",VLOOKUP(CONCATENATE($N$10,"_",M22),選手名簿!$A:$E,5,FALSE))</f>
        <v/>
      </c>
      <c r="T22" s="19" t="s">
        <v>228</v>
      </c>
      <c r="U22" s="20" t="str">
        <f>IF(ISERROR(VLOOKUP(CONCATENATE($U$10,"_",V22),選手名簿!$A:$E,5,FALSE))=TRUE,"",VLOOKUP(CONCATENATE($U$10,"_",V22),選手名簿!$A:$E,5,FALSE))</f>
        <v/>
      </c>
      <c r="V22" s="21"/>
      <c r="W22" s="21"/>
      <c r="X22" s="21"/>
      <c r="Y22" s="22"/>
      <c r="Z22" s="21"/>
      <c r="AA22" s="21"/>
      <c r="AB22" s="21"/>
      <c r="AC22" s="23" t="str">
        <f>IF(ISERROR(VLOOKUP(CONCATENATE($AC$10,"_",AB22),選手名簿!$A:$E,5,FALSE))=TRUE,"",VLOOKUP(CONCATENATE($AC$10,"_",AB22),選手名簿!$A:$E,5,FALSE))</f>
        <v/>
      </c>
    </row>
    <row r="23" spans="1:29" ht="20.25" hidden="1" customHeight="1" thickBot="1" x14ac:dyDescent="0.6">
      <c r="E23" s="24" t="s">
        <v>228</v>
      </c>
      <c r="F23" s="25" t="str">
        <f>IF(ISERROR(VLOOKUP(CONCATENATE($F$10,"_",G23),選手名簿!$A:$E,5,FALSE))=TRUE,"",VLOOKUP(CONCATENATE($F$10,"_",G23),選手名簿!$A:$E,5,FALSE))</f>
        <v/>
      </c>
      <c r="G23" s="26"/>
      <c r="H23" s="26"/>
      <c r="I23" s="26"/>
      <c r="J23" s="27"/>
      <c r="K23" s="26"/>
      <c r="L23" s="26"/>
      <c r="M23" s="26"/>
      <c r="N23" s="28" t="str">
        <f>IF(ISERROR(VLOOKUP(CONCATENATE($N$10,"_",M23),選手名簿!$A:$E,5,FALSE))=TRUE,"",VLOOKUP(CONCATENATE($N$10,"_",M23),選手名簿!$A:$E,5,FALSE))</f>
        <v/>
      </c>
      <c r="T23" s="24" t="s">
        <v>228</v>
      </c>
      <c r="U23" s="25" t="str">
        <f>IF(ISERROR(VLOOKUP(CONCATENATE($U$10,"_",V23),選手名簿!$A:$E,5,FALSE))=TRUE,"",VLOOKUP(CONCATENATE($U$10,"_",V23),選手名簿!$A:$E,5,FALSE))</f>
        <v/>
      </c>
      <c r="V23" s="26"/>
      <c r="W23" s="26"/>
      <c r="X23" s="26"/>
      <c r="Y23" s="27"/>
      <c r="Z23" s="26"/>
      <c r="AA23" s="26"/>
      <c r="AB23" s="26"/>
      <c r="AC23" s="28" t="str">
        <f>IF(ISERROR(VLOOKUP(CONCATENATE($AC$10,"_",AB23),選手名簿!$A:$E,5,FALSE))=TRUE,"",VLOOKUP(CONCATENATE($AC$10,"_",AB23),選手名簿!$A:$E,5,FALSE))</f>
        <v/>
      </c>
    </row>
    <row r="24" spans="1:29" ht="20.25" customHeight="1" x14ac:dyDescent="0.45">
      <c r="A24" s="29" t="s">
        <v>226</v>
      </c>
      <c r="B24" s="774" t="s">
        <v>11844</v>
      </c>
      <c r="C24" s="774"/>
      <c r="D24" s="774"/>
      <c r="E24" s="19" t="s">
        <v>196</v>
      </c>
      <c r="F24" s="20" t="str">
        <f>IF(ISERROR(VLOOKUP(CONCATENATE($F$10,"_",G24),選手名簿!$A:$E,5,FALSE))=TRUE,"",VLOOKUP(CONCATENATE($F$10,"_",G24),選手名簿!$A:$E,5,FALSE))</f>
        <v/>
      </c>
      <c r="G24" s="21"/>
      <c r="H24" s="21"/>
      <c r="I24" s="21"/>
      <c r="J24" s="22"/>
      <c r="K24" s="21"/>
      <c r="L24" s="21"/>
      <c r="M24" s="21"/>
      <c r="N24" s="23" t="str">
        <f>IF(ISERROR(VLOOKUP(CONCATENATE($N$10,"_",M24),選手名簿!$A:$E,5,FALSE))=TRUE,"",VLOOKUP(CONCATENATE($N$10,"_",M24),選手名簿!$A:$E,5,FALSE))</f>
        <v/>
      </c>
      <c r="P24" s="29" t="s">
        <v>226</v>
      </c>
      <c r="Q24" s="774" t="s">
        <v>11843</v>
      </c>
      <c r="R24" s="774"/>
      <c r="S24" s="774"/>
      <c r="T24" s="19" t="s">
        <v>196</v>
      </c>
      <c r="U24" s="20" t="str">
        <f>IF(ISERROR(VLOOKUP(CONCATENATE($U$10,"_",V24),選手名簿!$A:$E,5,FALSE))=TRUE,"",VLOOKUP(CONCATENATE($U$10,"_",V24),選手名簿!$A:$E,5,FALSE))</f>
        <v/>
      </c>
      <c r="V24" s="21"/>
      <c r="W24" s="21"/>
      <c r="X24" s="21"/>
      <c r="Y24" s="22"/>
      <c r="Z24" s="21"/>
      <c r="AA24" s="21"/>
      <c r="AB24" s="21"/>
      <c r="AC24" s="23" t="str">
        <f>IF(ISERROR(VLOOKUP(CONCATENATE($AC$10,"_",AB24),選手名簿!$A:$E,5,FALSE))=TRUE,"",VLOOKUP(CONCATENATE($AC$10,"_",AB24),選手名簿!$A:$E,5,FALSE))</f>
        <v/>
      </c>
    </row>
    <row r="25" spans="1:29" ht="20.25" customHeight="1" x14ac:dyDescent="0.45">
      <c r="A25" s="83" t="s">
        <v>1959</v>
      </c>
      <c r="B25" s="769" t="str">
        <f>IF(ISERROR(VLOOKUP(B24,審判員!$A:$C,2,FALSE))=TRUE,"",VLOOKUP(B24,審判員!$A:$C,2,FALSE))</f>
        <v>隅田　哲平</v>
      </c>
      <c r="C25" s="770"/>
      <c r="D25" s="30" t="str">
        <f>IF(ISERROR(VLOOKUP(B24,審判員!$A:$C,3,FALSE))=TRUE,"",VLOOKUP(B24,審判員!$A:$C,3,FALSE))</f>
        <v>３級</v>
      </c>
      <c r="E25" s="31" t="s">
        <v>196</v>
      </c>
      <c r="F25" s="32" t="str">
        <f>IF(ISERROR(VLOOKUP(CONCATENATE($F$10,"_",G25),選手名簿!$A:$E,5,FALSE))=TRUE,"",VLOOKUP(CONCATENATE($F$10,"_",G25),選手名簿!$A:$E,5,FALSE))</f>
        <v/>
      </c>
      <c r="G25" s="33"/>
      <c r="H25" s="33"/>
      <c r="I25" s="33"/>
      <c r="J25" s="22"/>
      <c r="K25" s="33"/>
      <c r="L25" s="33"/>
      <c r="M25" s="33"/>
      <c r="N25" s="34" t="str">
        <f>IF(ISERROR(VLOOKUP(CONCATENATE($N$10,"_",M25),選手名簿!$A:$E,5,FALSE))=TRUE,"",VLOOKUP(CONCATENATE($N$10,"_",M25),選手名簿!$A:$E,5,FALSE))</f>
        <v/>
      </c>
      <c r="P25" s="83" t="s">
        <v>1959</v>
      </c>
      <c r="Q25" s="769" t="str">
        <f>IF(ISERROR(VLOOKUP(Q24,審判員!$A:$C,2,FALSE))=TRUE,"",VLOOKUP(Q24,審判員!$A:$C,2,FALSE))</f>
        <v>矢羽田　崇</v>
      </c>
      <c r="R25" s="770"/>
      <c r="S25" s="83" t="str">
        <f>IF(ISERROR(VLOOKUP(Q24,審判員!$A:$C,3,FALSE))=TRUE,"",VLOOKUP(Q24,審判員!$A:$C,3,FALSE))</f>
        <v>２級</v>
      </c>
      <c r="T25" s="31" t="s">
        <v>196</v>
      </c>
      <c r="U25" s="32" t="str">
        <f>IF(ISERROR(VLOOKUP(CONCATENATE($U$10,"_",V25),選手名簿!$A:$E,5,FALSE))=TRUE,"",VLOOKUP(CONCATENATE($U$10,"_",V25),選手名簿!$A:$E,5,FALSE))</f>
        <v/>
      </c>
      <c r="V25" s="33"/>
      <c r="W25" s="33"/>
      <c r="X25" s="33"/>
      <c r="Y25" s="22"/>
      <c r="Z25" s="33"/>
      <c r="AA25" s="33"/>
      <c r="AB25" s="33"/>
      <c r="AC25" s="34" t="str">
        <f>IF(ISERROR(VLOOKUP(CONCATENATE($AC$10,"_",AB25),選手名簿!$A:$E,5,FALSE))=TRUE,"",VLOOKUP(CONCATENATE($AC$10,"_",AB25),選手名簿!$A:$E,5,FALSE))</f>
        <v/>
      </c>
    </row>
    <row r="26" spans="1:29" ht="20.25" customHeight="1" x14ac:dyDescent="0.45">
      <c r="A26" s="29" t="s">
        <v>226</v>
      </c>
      <c r="B26" s="771" t="s">
        <v>11847</v>
      </c>
      <c r="C26" s="771"/>
      <c r="D26" s="771"/>
      <c r="E26" s="31" t="s">
        <v>196</v>
      </c>
      <c r="F26" s="32" t="str">
        <f>IF(ISERROR(VLOOKUP(CONCATENATE($F$10,"_",G26),選手名簿!$A:$E,5,FALSE))=TRUE,"",VLOOKUP(CONCATENATE($F$10,"_",G26),選手名簿!$A:$E,5,FALSE))</f>
        <v/>
      </c>
      <c r="G26" s="33"/>
      <c r="H26" s="33"/>
      <c r="I26" s="33"/>
      <c r="J26" s="22"/>
      <c r="K26" s="33"/>
      <c r="L26" s="33"/>
      <c r="M26" s="33"/>
      <c r="N26" s="34" t="str">
        <f>IF(ISERROR(VLOOKUP(CONCATENATE($N$10,"_",M26),選手名簿!$A:$E,5,FALSE))=TRUE,"",VLOOKUP(CONCATENATE($N$10,"_",M26),選手名簿!$A:$E,5,FALSE))</f>
        <v/>
      </c>
      <c r="P26" s="29" t="s">
        <v>226</v>
      </c>
      <c r="Q26" s="771" t="s">
        <v>11856</v>
      </c>
      <c r="R26" s="771"/>
      <c r="S26" s="772"/>
      <c r="T26" s="31" t="s">
        <v>196</v>
      </c>
      <c r="U26" s="32" t="str">
        <f>IF(ISERROR(VLOOKUP(CONCATENATE($U$10,"_",V26),選手名簿!$A:$E,5,FALSE))=TRUE,"",VLOOKUP(CONCATENATE($U$10,"_",V26),選手名簿!$A:$E,5,FALSE))</f>
        <v/>
      </c>
      <c r="V26" s="33"/>
      <c r="W26" s="33"/>
      <c r="X26" s="33"/>
      <c r="Y26" s="22"/>
      <c r="Z26" s="33"/>
      <c r="AA26" s="33"/>
      <c r="AB26" s="33"/>
      <c r="AC26" s="34" t="str">
        <f>IF(ISERROR(VLOOKUP(CONCATENATE($AC$10,"_",AB26),選手名簿!$A:$E,5,FALSE))=TRUE,"",VLOOKUP(CONCATENATE($AC$10,"_",AB26),選手名簿!$A:$E,5,FALSE))</f>
        <v/>
      </c>
    </row>
    <row r="27" spans="1:29" ht="20.25" customHeight="1" x14ac:dyDescent="0.45">
      <c r="A27" s="83" t="s">
        <v>1966</v>
      </c>
      <c r="B27" s="769" t="str">
        <f>IF(ISERROR(VLOOKUP(B26,審判員!$A:$C,2,FALSE))=TRUE,"",VLOOKUP(B26,審判員!$A:$C,2,FALSE))</f>
        <v>朝比奈　義行</v>
      </c>
      <c r="C27" s="770"/>
      <c r="D27" s="30" t="str">
        <f>IF(ISERROR(VLOOKUP(B26,審判員!$A:$C,3,FALSE))=TRUE,"",VLOOKUP(B26,審判員!$A:$C,3,FALSE))</f>
        <v>３級</v>
      </c>
      <c r="E27" s="31" t="s">
        <v>196</v>
      </c>
      <c r="F27" s="32" t="str">
        <f>IF(ISERROR(VLOOKUP(CONCATENATE($F$10,"_",G27),選手名簿!$A:$E,5,FALSE))=TRUE,"",VLOOKUP(CONCATENATE($F$10,"_",G27),選手名簿!$A:$E,5,FALSE))</f>
        <v/>
      </c>
      <c r="G27" s="33"/>
      <c r="H27" s="33"/>
      <c r="I27" s="33"/>
      <c r="J27" s="22"/>
      <c r="K27" s="33"/>
      <c r="L27" s="33"/>
      <c r="M27" s="33"/>
      <c r="N27" s="34" t="str">
        <f>IF(ISERROR(VLOOKUP(CONCATENATE($N$10,"_",M27),選手名簿!$A:$E,5,FALSE))=TRUE,"",VLOOKUP(CONCATENATE($N$10,"_",M27),選手名簿!$A:$E,5,FALSE))</f>
        <v/>
      </c>
      <c r="P27" s="83" t="s">
        <v>1966</v>
      </c>
      <c r="Q27" s="769" t="str">
        <f>IF(ISERROR(VLOOKUP(Q26,審判員!$A:$C,2,FALSE))=TRUE,"",VLOOKUP(Q26,審判員!$A:$C,2,FALSE))</f>
        <v>近藤　裕之</v>
      </c>
      <c r="R27" s="770"/>
      <c r="S27" s="83" t="str">
        <f>IF(ISERROR(VLOOKUP(Q26,審判員!$A:$C,3,FALSE))=TRUE,"",VLOOKUP(Q26,審判員!$A:$C,3,FALSE))</f>
        <v>３級</v>
      </c>
      <c r="T27" s="31" t="s">
        <v>196</v>
      </c>
      <c r="U27" s="32" t="str">
        <f>IF(ISERROR(VLOOKUP(CONCATENATE($U$10,"_",V27),選手名簿!$A:$E,5,FALSE))=TRUE,"",VLOOKUP(CONCATENATE($U$10,"_",V27),選手名簿!$A:$E,5,FALSE))</f>
        <v/>
      </c>
      <c r="V27" s="33"/>
      <c r="W27" s="33"/>
      <c r="X27" s="33"/>
      <c r="Y27" s="22"/>
      <c r="Z27" s="33"/>
      <c r="AA27" s="33"/>
      <c r="AB27" s="33"/>
      <c r="AC27" s="34" t="str">
        <f>IF(ISERROR(VLOOKUP(CONCATENATE($AC$10,"_",AB27),選手名簿!$A:$E,5,FALSE))=TRUE,"",VLOOKUP(CONCATENATE($AC$10,"_",AB27),選手名簿!$A:$E,5,FALSE))</f>
        <v/>
      </c>
    </row>
    <row r="28" spans="1:29" ht="20.25" customHeight="1" x14ac:dyDescent="0.45">
      <c r="A28" s="29" t="s">
        <v>226</v>
      </c>
      <c r="B28" s="771" t="s">
        <v>11848</v>
      </c>
      <c r="C28" s="771"/>
      <c r="D28" s="771"/>
      <c r="E28" s="31" t="s">
        <v>196</v>
      </c>
      <c r="F28" s="32" t="str">
        <f>IF(ISERROR(VLOOKUP(CONCATENATE($F$10,"_",G28),選手名簿!$A:$E,5,FALSE))=TRUE,"",VLOOKUP(CONCATENATE($F$10,"_",G28),選手名簿!$A:$E,5,FALSE))</f>
        <v/>
      </c>
      <c r="G28" s="33"/>
      <c r="H28" s="33"/>
      <c r="I28" s="33"/>
      <c r="J28" s="22"/>
      <c r="K28" s="33"/>
      <c r="L28" s="33"/>
      <c r="M28" s="33"/>
      <c r="N28" s="34" t="str">
        <f>IF(ISERROR(VLOOKUP(CONCATENATE($N$10,"_",M28),選手名簿!$A:$E,5,FALSE))=TRUE,"",VLOOKUP(CONCATENATE($N$10,"_",M28),選手名簿!$A:$E,5,FALSE))</f>
        <v/>
      </c>
      <c r="P28" s="29" t="s">
        <v>226</v>
      </c>
      <c r="Q28" s="771" t="s">
        <v>11857</v>
      </c>
      <c r="R28" s="771"/>
      <c r="S28" s="772"/>
      <c r="T28" s="31" t="s">
        <v>196</v>
      </c>
      <c r="U28" s="32" t="str">
        <f>IF(ISERROR(VLOOKUP(CONCATENATE($U$10,"_",V28),選手名簿!$A:$E,5,FALSE))=TRUE,"",VLOOKUP(CONCATENATE($U$10,"_",V28),選手名簿!$A:$E,5,FALSE))</f>
        <v/>
      </c>
      <c r="V28" s="33"/>
      <c r="W28" s="33"/>
      <c r="X28" s="33"/>
      <c r="Y28" s="22"/>
      <c r="Z28" s="33"/>
      <c r="AA28" s="33"/>
      <c r="AB28" s="33"/>
      <c r="AC28" s="34" t="str">
        <f>IF(ISERROR(VLOOKUP(CONCATENATE($AC$10,"_",AB28),選手名簿!$A:$E,5,FALSE))=TRUE,"",VLOOKUP(CONCATENATE($AC$10,"_",AB28),選手名簿!$A:$E,5,FALSE))</f>
        <v/>
      </c>
    </row>
    <row r="29" spans="1:29" ht="20.25" customHeight="1" x14ac:dyDescent="0.45">
      <c r="A29" s="83" t="s">
        <v>1967</v>
      </c>
      <c r="B29" s="769" t="str">
        <f>IF(ISERROR(VLOOKUP(B28,審判員!$A:$C,2,FALSE))=TRUE,"",VLOOKUP(B28,審判員!$A:$C,2,FALSE))</f>
        <v>小石川　悟</v>
      </c>
      <c r="C29" s="770"/>
      <c r="D29" s="30" t="str">
        <f>IF(ISERROR(VLOOKUP(B28,審判員!$A:$C,3,FALSE))=TRUE,"",VLOOKUP(B28,審判員!$A:$C,3,FALSE))</f>
        <v>３級</v>
      </c>
      <c r="E29" s="31" t="s">
        <v>196</v>
      </c>
      <c r="F29" s="32" t="str">
        <f>IF(ISERROR(VLOOKUP(CONCATENATE($F$10,"_",G29),選手名簿!$A:$E,5,FALSE))=TRUE,"",VLOOKUP(CONCATENATE($F$10,"_",G29),選手名簿!$A:$E,5,FALSE))</f>
        <v/>
      </c>
      <c r="G29" s="33"/>
      <c r="H29" s="33"/>
      <c r="I29" s="33"/>
      <c r="J29" s="22"/>
      <c r="K29" s="33"/>
      <c r="L29" s="33"/>
      <c r="M29" s="33"/>
      <c r="N29" s="34" t="str">
        <f>IF(ISERROR(VLOOKUP(CONCATENATE($N$10,"_",M29),選手名簿!$A:$E,5,FALSE))=TRUE,"",VLOOKUP(CONCATENATE($N$10,"_",M29),選手名簿!$A:$E,5,FALSE))</f>
        <v/>
      </c>
      <c r="P29" s="83" t="s">
        <v>1967</v>
      </c>
      <c r="Q29" s="769" t="str">
        <f>IF(ISERROR(VLOOKUP(Q28,審判員!$A:$C,2,FALSE))=TRUE,"",VLOOKUP(Q28,審判員!$A:$C,2,FALSE))</f>
        <v>川端　大翔</v>
      </c>
      <c r="R29" s="770"/>
      <c r="S29" s="83" t="str">
        <f>IF(ISERROR(VLOOKUP(Q28,審判員!$A:$C,3,FALSE))=TRUE,"",VLOOKUP(Q28,審判員!$A:$C,3,FALSE))</f>
        <v>３級</v>
      </c>
      <c r="T29" s="31" t="s">
        <v>196</v>
      </c>
      <c r="U29" s="32" t="str">
        <f>IF(ISERROR(VLOOKUP(CONCATENATE($U$10,"_",V29),選手名簿!$A:$E,5,FALSE))=TRUE,"",VLOOKUP(CONCATENATE($U$10,"_",V29),選手名簿!$A:$E,5,FALSE))</f>
        <v/>
      </c>
      <c r="V29" s="33"/>
      <c r="W29" s="33"/>
      <c r="X29" s="33"/>
      <c r="Y29" s="22"/>
      <c r="Z29" s="33"/>
      <c r="AA29" s="33"/>
      <c r="AB29" s="33"/>
      <c r="AC29" s="34" t="str">
        <f>IF(ISERROR(VLOOKUP(CONCATENATE($AC$10,"_",AB29),選手名簿!$A:$E,5,FALSE))=TRUE,"",VLOOKUP(CONCATENATE($AC$10,"_",AB29),選手名簿!$A:$E,5,FALSE))</f>
        <v/>
      </c>
    </row>
    <row r="30" spans="1:29" ht="20.25" customHeight="1" x14ac:dyDescent="0.45">
      <c r="A30" s="29" t="s">
        <v>226</v>
      </c>
      <c r="B30" s="774" t="s">
        <v>11843</v>
      </c>
      <c r="C30" s="774"/>
      <c r="D30" s="774"/>
      <c r="E30" s="31" t="s">
        <v>196</v>
      </c>
      <c r="F30" s="32" t="str">
        <f>IF(ISERROR(VLOOKUP(CONCATENATE($F$10,"_",G30),選手名簿!$A:$E,5,FALSE))=TRUE,"",VLOOKUP(CONCATENATE($F$10,"_",G30),選手名簿!$A:$E,5,FALSE))</f>
        <v/>
      </c>
      <c r="G30" s="33"/>
      <c r="H30" s="33"/>
      <c r="I30" s="33"/>
      <c r="J30" s="22"/>
      <c r="K30" s="33"/>
      <c r="L30" s="33"/>
      <c r="M30" s="33"/>
      <c r="N30" s="34" t="str">
        <f>IF(ISERROR(VLOOKUP(CONCATENATE($N$10,"_",M30),選手名簿!$A:$E,5,FALSE))=TRUE,"",VLOOKUP(CONCATENATE($N$10,"_",M30),選手名簿!$A:$E,5,FALSE))</f>
        <v/>
      </c>
      <c r="P30" s="29" t="s">
        <v>226</v>
      </c>
      <c r="Q30" s="774" t="s">
        <v>1191</v>
      </c>
      <c r="R30" s="774"/>
      <c r="S30" s="774"/>
      <c r="T30" s="31" t="s">
        <v>196</v>
      </c>
      <c r="U30" s="32" t="str">
        <f>IF(ISERROR(VLOOKUP(CONCATENATE($U$10,"_",V30),選手名簿!$A:$E,5,FALSE))=TRUE,"",VLOOKUP(CONCATENATE($U$10,"_",V30),選手名簿!$A:$E,5,FALSE))</f>
        <v/>
      </c>
      <c r="V30" s="33"/>
      <c r="W30" s="33"/>
      <c r="X30" s="33"/>
      <c r="Y30" s="22"/>
      <c r="Z30" s="33"/>
      <c r="AA30" s="33"/>
      <c r="AB30" s="33"/>
      <c r="AC30" s="34" t="str">
        <f>IF(ISERROR(VLOOKUP(CONCATENATE($AC$10,"_",AB30),選手名簿!$A:$E,5,FALSE))=TRUE,"",VLOOKUP(CONCATENATE($AC$10,"_",AB30),選手名簿!$A:$E,5,FALSE))</f>
        <v/>
      </c>
    </row>
    <row r="31" spans="1:29" ht="20.25" customHeight="1" thickBot="1" x14ac:dyDescent="0.6">
      <c r="A31" s="83" t="s">
        <v>1968</v>
      </c>
      <c r="B31" s="769" t="str">
        <f>IF(ISERROR(VLOOKUP(B30,審判員!$A:$C,2,FALSE))=TRUE,"",VLOOKUP(B30,審判員!$A:$C,2,FALSE))</f>
        <v>矢羽田　崇</v>
      </c>
      <c r="C31" s="770"/>
      <c r="D31" s="30" t="str">
        <f>IF(ISERROR(VLOOKUP(B30,審判員!$A:$C,3,FALSE))=TRUE,"",VLOOKUP(B30,審判員!$A:$C,3,FALSE))</f>
        <v>２級</v>
      </c>
      <c r="E31" s="35" t="s">
        <v>196</v>
      </c>
      <c r="F31" s="36" t="str">
        <f>IF(ISERROR(VLOOKUP(CONCATENATE($F$10,"_",G31),選手名簿!$A:$E,5,FALSE))=TRUE,"",VLOOKUP(CONCATENATE($F$10,"_",G31),選手名簿!$A:$E,5,FALSE))</f>
        <v/>
      </c>
      <c r="G31" s="37"/>
      <c r="H31" s="37"/>
      <c r="I31" s="37"/>
      <c r="J31" s="27"/>
      <c r="K31" s="37"/>
      <c r="L31" s="37"/>
      <c r="M31" s="37"/>
      <c r="N31" s="38" t="str">
        <f>IF(ISERROR(VLOOKUP(CONCATENATE($N$10,"_",M31),選手名簿!$A:$E,5,FALSE))=TRUE,"",VLOOKUP(CONCATENATE($N$10,"_",M31),選手名簿!$A:$E,5,FALSE))</f>
        <v/>
      </c>
      <c r="P31" s="83" t="s">
        <v>1968</v>
      </c>
      <c r="Q31" s="769" t="str">
        <f>IF(ISERROR(VLOOKUP(Q30,審判員!$A:$C,2,FALSE))=TRUE,"",VLOOKUP(Q30,審判員!$A:$C,2,FALSE))</f>
        <v>佐藤　慎二</v>
      </c>
      <c r="R31" s="770"/>
      <c r="S31" s="83" t="str">
        <f>IF(ISERROR(VLOOKUP(Q30,審判員!$A:$C,3,FALSE))=TRUE,"",VLOOKUP(Q30,審判員!$A:$C,3,FALSE))</f>
        <v>３級</v>
      </c>
      <c r="T31" s="35" t="s">
        <v>196</v>
      </c>
      <c r="U31" s="36" t="str">
        <f>IF(ISERROR(VLOOKUP(CONCATENATE($U$10,"_",V31),選手名簿!$A:$E,5,FALSE))=TRUE,"",VLOOKUP(CONCATENATE($U$10,"_",V31),選手名簿!$A:$E,5,FALSE))</f>
        <v/>
      </c>
      <c r="V31" s="37"/>
      <c r="W31" s="37"/>
      <c r="X31" s="37"/>
      <c r="Y31" s="27"/>
      <c r="Z31" s="37"/>
      <c r="AA31" s="37"/>
      <c r="AB31" s="37"/>
      <c r="AC31" s="38" t="str">
        <f>IF(ISERROR(VLOOKUP(CONCATENATE($AC$10,"_",AB31),選手名簿!$A:$E,5,FALSE))=TRUE,"",VLOOKUP(CONCATENATE($AC$10,"_",AB31),選手名簿!$A:$E,5,FALSE))</f>
        <v/>
      </c>
    </row>
    <row r="32" spans="1:29" ht="9.9499999999999993" customHeight="1" x14ac:dyDescent="0.45">
      <c r="E32" s="39"/>
      <c r="T32" s="39"/>
    </row>
    <row r="33" spans="1:29" ht="9.9499999999999993" customHeight="1" x14ac:dyDescent="0.45">
      <c r="E33" s="39"/>
      <c r="T33" s="39"/>
    </row>
    <row r="34" spans="1:29" ht="9.9499999999999993" customHeight="1" x14ac:dyDescent="0.45"/>
    <row r="35" spans="1:29" ht="9.9499999999999993" customHeight="1" x14ac:dyDescent="0.45"/>
    <row r="36" spans="1:29" ht="9.9499999999999993" customHeight="1" x14ac:dyDescent="0.45"/>
    <row r="37" spans="1:29" ht="9.9499999999999993" customHeight="1" x14ac:dyDescent="0.45"/>
    <row r="38" spans="1:29" ht="9.9499999999999993" customHeight="1" thickBot="1" x14ac:dyDescent="0.6">
      <c r="E38" s="39"/>
      <c r="T38" s="39"/>
    </row>
    <row r="39" spans="1:29" ht="27.4" customHeight="1" x14ac:dyDescent="0.45">
      <c r="A39" s="365" t="s">
        <v>3235</v>
      </c>
      <c r="B39" s="789" t="s">
        <v>823</v>
      </c>
      <c r="C39" s="790"/>
      <c r="D39" s="791"/>
      <c r="E39" s="778">
        <v>0.52083333333333337</v>
      </c>
      <c r="F39" s="781" t="str">
        <f>F6</f>
        <v>西の台ＪＦＣ</v>
      </c>
      <c r="G39" s="784">
        <f>IF(I39="","",SUM(I39:I40))</f>
        <v>3</v>
      </c>
      <c r="H39" s="793" t="s">
        <v>205</v>
      </c>
      <c r="I39" s="84">
        <v>2</v>
      </c>
      <c r="J39" s="84" t="s">
        <v>116</v>
      </c>
      <c r="K39" s="84">
        <v>0</v>
      </c>
      <c r="L39" s="793" t="s">
        <v>206</v>
      </c>
      <c r="M39" s="784">
        <f>IF(K39="","",SUM(K39:K40))</f>
        <v>0</v>
      </c>
      <c r="N39" s="775" t="str">
        <f>F7</f>
        <v>竹田直入ＦＣ</v>
      </c>
      <c r="P39" s="365" t="s">
        <v>3235</v>
      </c>
      <c r="Q39" s="789" t="s">
        <v>1412</v>
      </c>
      <c r="R39" s="790"/>
      <c r="S39" s="791"/>
      <c r="T39" s="778">
        <v>0.5625</v>
      </c>
      <c r="U39" s="781" t="str">
        <f>U6</f>
        <v>スマイス　セレソン　スポーツクラブＡ</v>
      </c>
      <c r="V39" s="784">
        <f>IF(X39="","",SUM(X39:X40))</f>
        <v>0</v>
      </c>
      <c r="W39" s="793" t="s">
        <v>205</v>
      </c>
      <c r="X39" s="84">
        <v>0</v>
      </c>
      <c r="Y39" s="84" t="s">
        <v>116</v>
      </c>
      <c r="Z39" s="84">
        <v>1</v>
      </c>
      <c r="AA39" s="793" t="s">
        <v>206</v>
      </c>
      <c r="AB39" s="784">
        <f>IF(Z39="","",SUM(Z39:Z40))</f>
        <v>2</v>
      </c>
      <c r="AC39" s="775" t="str">
        <f>U7</f>
        <v>鶴居ＳＳＳ</v>
      </c>
    </row>
    <row r="40" spans="1:29" ht="27.4" customHeight="1" x14ac:dyDescent="0.45">
      <c r="A40" s="366" t="s">
        <v>3236</v>
      </c>
      <c r="B40" s="792" t="s">
        <v>3924</v>
      </c>
      <c r="C40" s="792"/>
      <c r="D40" s="789"/>
      <c r="E40" s="779"/>
      <c r="F40" s="782"/>
      <c r="G40" s="785"/>
      <c r="H40" s="794"/>
      <c r="I40" s="9">
        <v>1</v>
      </c>
      <c r="J40" s="9" t="s">
        <v>117</v>
      </c>
      <c r="K40" s="9">
        <v>0</v>
      </c>
      <c r="L40" s="794"/>
      <c r="M40" s="785"/>
      <c r="N40" s="776"/>
      <c r="P40" s="366" t="s">
        <v>3236</v>
      </c>
      <c r="Q40" s="792" t="s">
        <v>3924</v>
      </c>
      <c r="R40" s="792"/>
      <c r="S40" s="789"/>
      <c r="T40" s="779"/>
      <c r="U40" s="782"/>
      <c r="V40" s="785"/>
      <c r="W40" s="794"/>
      <c r="X40" s="9">
        <v>0</v>
      </c>
      <c r="Y40" s="9" t="s">
        <v>117</v>
      </c>
      <c r="Z40" s="9">
        <v>1</v>
      </c>
      <c r="AA40" s="794"/>
      <c r="AB40" s="785"/>
      <c r="AC40" s="776"/>
    </row>
    <row r="41" spans="1:29" ht="27.4" customHeight="1" thickBot="1" x14ac:dyDescent="0.6">
      <c r="A41" s="366" t="s">
        <v>3237</v>
      </c>
      <c r="B41" s="792" t="s">
        <v>3920</v>
      </c>
      <c r="C41" s="792"/>
      <c r="D41" s="789"/>
      <c r="E41" s="780"/>
      <c r="F41" s="783"/>
      <c r="G41" s="786"/>
      <c r="H41" s="795"/>
      <c r="I41" s="85"/>
      <c r="J41" s="85" t="s">
        <v>188</v>
      </c>
      <c r="K41" s="85"/>
      <c r="L41" s="795"/>
      <c r="M41" s="786"/>
      <c r="N41" s="777"/>
      <c r="P41" s="366" t="s">
        <v>3237</v>
      </c>
      <c r="Q41" s="792" t="s">
        <v>823</v>
      </c>
      <c r="R41" s="792"/>
      <c r="S41" s="789"/>
      <c r="T41" s="780"/>
      <c r="U41" s="783"/>
      <c r="V41" s="786"/>
      <c r="W41" s="795"/>
      <c r="X41" s="85"/>
      <c r="Y41" s="85" t="s">
        <v>188</v>
      </c>
      <c r="Z41" s="85"/>
      <c r="AA41" s="795"/>
      <c r="AB41" s="786"/>
      <c r="AC41" s="777"/>
    </row>
    <row r="42" spans="1:29" ht="20.25" customHeight="1" thickTop="1" x14ac:dyDescent="0.45">
      <c r="A42" s="787" t="s">
        <v>1969</v>
      </c>
      <c r="B42" s="787"/>
      <c r="C42" s="787"/>
      <c r="D42" s="788"/>
      <c r="E42" s="15"/>
      <c r="F42" s="16" t="s">
        <v>190</v>
      </c>
      <c r="G42" s="16" t="s">
        <v>1970</v>
      </c>
      <c r="H42" s="16" t="s">
        <v>145</v>
      </c>
      <c r="I42" s="16"/>
      <c r="J42" s="17"/>
      <c r="K42" s="16"/>
      <c r="L42" s="16" t="s">
        <v>145</v>
      </c>
      <c r="M42" s="16" t="s">
        <v>1970</v>
      </c>
      <c r="N42" s="18" t="s">
        <v>190</v>
      </c>
      <c r="P42" s="787" t="s">
        <v>1969</v>
      </c>
      <c r="Q42" s="787"/>
      <c r="R42" s="787"/>
      <c r="S42" s="788"/>
      <c r="T42" s="15"/>
      <c r="U42" s="16" t="s">
        <v>190</v>
      </c>
      <c r="V42" s="16" t="s">
        <v>1970</v>
      </c>
      <c r="W42" s="16" t="s">
        <v>145</v>
      </c>
      <c r="X42" s="16"/>
      <c r="Y42" s="17"/>
      <c r="Z42" s="16"/>
      <c r="AA42" s="16" t="s">
        <v>145</v>
      </c>
      <c r="AB42" s="16" t="s">
        <v>1970</v>
      </c>
      <c r="AC42" s="18" t="s">
        <v>190</v>
      </c>
    </row>
    <row r="43" spans="1:29" ht="20.25" hidden="1" customHeight="1" x14ac:dyDescent="0.45">
      <c r="E43" s="19" t="s">
        <v>228</v>
      </c>
      <c r="F43" s="20" t="str">
        <f>IF(ISERROR(VLOOKUP(CONCATENATE($F$39,"_",G43),選手名簿!$A:$E,5,FALSE))=TRUE,"",VLOOKUP(CONCATENATE($F$39,"_",G43),選手名簿!$A:$E,5,FALSE))</f>
        <v/>
      </c>
      <c r="G43" s="21"/>
      <c r="H43" s="21"/>
      <c r="I43" s="21"/>
      <c r="J43" s="22"/>
      <c r="K43" s="21"/>
      <c r="L43" s="21"/>
      <c r="M43" s="21"/>
      <c r="N43" s="23" t="str">
        <f>IF(ISERROR(VLOOKUP(CONCATENATE($N$39,"_",M43),選手名簿!$A:$E,5,FALSE))=TRUE,"",VLOOKUP(CONCATENATE($N$39,"_",M43),選手名簿!$A:$E,5,FALSE))</f>
        <v/>
      </c>
      <c r="T43" s="19" t="s">
        <v>228</v>
      </c>
      <c r="U43" s="20" t="str">
        <f>IF(ISERROR(VLOOKUP(CONCATENATE($U$39,"_",V43),選手名簿!$A:$E,5,FALSE))=TRUE,"",VLOOKUP(CONCATENATE($U$39,"_",V43),選手名簿!$A:$E,5,FALSE))</f>
        <v/>
      </c>
      <c r="V43" s="21"/>
      <c r="W43" s="21"/>
      <c r="X43" s="21"/>
      <c r="Y43" s="22"/>
      <c r="Z43" s="21"/>
      <c r="AA43" s="21"/>
      <c r="AB43" s="21"/>
      <c r="AC43" s="23" t="str">
        <f>IF(ISERROR(VLOOKUP(CONCATENATE($AC$39,"_",AB43),選手名簿!$A:$E,5,FALSE))=TRUE,"",VLOOKUP(CONCATENATE($AC$39,"_",AB43),選手名簿!$A:$E,5,FALSE))</f>
        <v/>
      </c>
    </row>
    <row r="44" spans="1:29" ht="20.25" hidden="1" customHeight="1" x14ac:dyDescent="0.45">
      <c r="E44" s="19" t="s">
        <v>228</v>
      </c>
      <c r="F44" s="20" t="str">
        <f>IF(ISERROR(VLOOKUP(CONCATENATE($F$39,"_",G44),選手名簿!$A:$E,5,FALSE))=TRUE,"",VLOOKUP(CONCATENATE($F$39,"_",G44),選手名簿!$A:$E,5,FALSE))</f>
        <v/>
      </c>
      <c r="G44" s="21"/>
      <c r="H44" s="21"/>
      <c r="I44" s="21"/>
      <c r="J44" s="22"/>
      <c r="K44" s="21"/>
      <c r="L44" s="21"/>
      <c r="M44" s="21"/>
      <c r="N44" s="23" t="str">
        <f>IF(ISERROR(VLOOKUP(CONCATENATE($N$39,"_",M44),選手名簿!$A:$E,5,FALSE))=TRUE,"",VLOOKUP(CONCATENATE($N$39,"_",M44),選手名簿!$A:$E,5,FALSE))</f>
        <v/>
      </c>
      <c r="T44" s="19" t="s">
        <v>228</v>
      </c>
      <c r="U44" s="20" t="str">
        <f>IF(ISERROR(VLOOKUP(CONCATENATE($U$39,"_",V44),選手名簿!$A:$E,5,FALSE))=TRUE,"",VLOOKUP(CONCATENATE($U$39,"_",V44),選手名簿!$A:$E,5,FALSE))</f>
        <v/>
      </c>
      <c r="V44" s="21"/>
      <c r="W44" s="21"/>
      <c r="X44" s="21"/>
      <c r="Y44" s="22"/>
      <c r="Z44" s="21"/>
      <c r="AA44" s="21"/>
      <c r="AB44" s="21"/>
      <c r="AC44" s="23" t="str">
        <f>IF(ISERROR(VLOOKUP(CONCATENATE($AC$39,"_",AB44),選手名簿!$A:$E,5,FALSE))=TRUE,"",VLOOKUP(CONCATENATE($AC$39,"_",AB44),選手名簿!$A:$E,5,FALSE))</f>
        <v/>
      </c>
    </row>
    <row r="45" spans="1:29" ht="20.25" hidden="1" customHeight="1" x14ac:dyDescent="0.45">
      <c r="E45" s="19" t="s">
        <v>228</v>
      </c>
      <c r="F45" s="20" t="str">
        <f>IF(ISERROR(VLOOKUP(CONCATENATE($F$39,"_",G45),選手名簿!$A:$E,5,FALSE))=TRUE,"",VLOOKUP(CONCATENATE($F$39,"_",G45),選手名簿!$A:$E,5,FALSE))</f>
        <v/>
      </c>
      <c r="G45" s="21"/>
      <c r="H45" s="21"/>
      <c r="I45" s="21"/>
      <c r="J45" s="22"/>
      <c r="K45" s="21"/>
      <c r="L45" s="21"/>
      <c r="M45" s="21"/>
      <c r="N45" s="23" t="str">
        <f>IF(ISERROR(VLOOKUP(CONCATENATE($N$39,"_",M45),選手名簿!$A:$E,5,FALSE))=TRUE,"",VLOOKUP(CONCATENATE($N$39,"_",M45),選手名簿!$A:$E,5,FALSE))</f>
        <v/>
      </c>
      <c r="T45" s="19" t="s">
        <v>228</v>
      </c>
      <c r="U45" s="20" t="str">
        <f>IF(ISERROR(VLOOKUP(CONCATENATE($U$39,"_",V45),選手名簿!$A:$E,5,FALSE))=TRUE,"",VLOOKUP(CONCATENATE($U$39,"_",V45),選手名簿!$A:$E,5,FALSE))</f>
        <v/>
      </c>
      <c r="V45" s="21"/>
      <c r="W45" s="21"/>
      <c r="X45" s="21"/>
      <c r="Y45" s="22"/>
      <c r="Z45" s="21"/>
      <c r="AA45" s="21"/>
      <c r="AB45" s="21"/>
      <c r="AC45" s="23" t="str">
        <f>IF(ISERROR(VLOOKUP(CONCATENATE($AC$39,"_",AB45),選手名簿!$A:$E,5,FALSE))=TRUE,"",VLOOKUP(CONCATENATE($AC$39,"_",AB45),選手名簿!$A:$E,5,FALSE))</f>
        <v/>
      </c>
    </row>
    <row r="46" spans="1:29" ht="20.25" hidden="1" customHeight="1" x14ac:dyDescent="0.45">
      <c r="E46" s="19" t="s">
        <v>228</v>
      </c>
      <c r="F46" s="20" t="str">
        <f>IF(ISERROR(VLOOKUP(CONCATENATE($F$39,"_",G46),選手名簿!$A:$E,5,FALSE))=TRUE,"",VLOOKUP(CONCATENATE($F$39,"_",G46),選手名簿!$A:$E,5,FALSE))</f>
        <v/>
      </c>
      <c r="G46" s="21"/>
      <c r="H46" s="21"/>
      <c r="I46" s="21"/>
      <c r="J46" s="22"/>
      <c r="K46" s="21"/>
      <c r="L46" s="21"/>
      <c r="M46" s="21"/>
      <c r="N46" s="23" t="str">
        <f>IF(ISERROR(VLOOKUP(CONCATENATE($N$39,"_",M46),選手名簿!$A:$E,5,FALSE))=TRUE,"",VLOOKUP(CONCATENATE($N$39,"_",M46),選手名簿!$A:$E,5,FALSE))</f>
        <v/>
      </c>
      <c r="T46" s="19" t="s">
        <v>228</v>
      </c>
      <c r="U46" s="20" t="str">
        <f>IF(ISERROR(VLOOKUP(CONCATENATE($U$39,"_",V46),選手名簿!$A:$E,5,FALSE))=TRUE,"",VLOOKUP(CONCATENATE($U$39,"_",V46),選手名簿!$A:$E,5,FALSE))</f>
        <v/>
      </c>
      <c r="V46" s="21"/>
      <c r="W46" s="21"/>
      <c r="X46" s="21"/>
      <c r="Y46" s="22"/>
      <c r="Z46" s="21"/>
      <c r="AA46" s="21"/>
      <c r="AB46" s="21"/>
      <c r="AC46" s="23" t="str">
        <f>IF(ISERROR(VLOOKUP(CONCATENATE($AC$39,"_",AB46),選手名簿!$A:$E,5,FALSE))=TRUE,"",VLOOKUP(CONCATENATE($AC$39,"_",AB46),選手名簿!$A:$E,5,FALSE))</f>
        <v/>
      </c>
    </row>
    <row r="47" spans="1:29" ht="20.25" hidden="1" customHeight="1" x14ac:dyDescent="0.45">
      <c r="E47" s="19" t="s">
        <v>228</v>
      </c>
      <c r="F47" s="20" t="str">
        <f>IF(ISERROR(VLOOKUP(CONCATENATE($F$39,"_",G47),選手名簿!$A:$E,5,FALSE))=TRUE,"",VLOOKUP(CONCATENATE($F$39,"_",G47),選手名簿!$A:$E,5,FALSE))</f>
        <v/>
      </c>
      <c r="G47" s="21"/>
      <c r="H47" s="21"/>
      <c r="I47" s="21"/>
      <c r="J47" s="22"/>
      <c r="K47" s="21"/>
      <c r="L47" s="21"/>
      <c r="M47" s="21"/>
      <c r="N47" s="23" t="str">
        <f>IF(ISERROR(VLOOKUP(CONCATENATE($N$39,"_",M47),選手名簿!$A:$E,5,FALSE))=TRUE,"",VLOOKUP(CONCATENATE($N$39,"_",M47),選手名簿!$A:$E,5,FALSE))</f>
        <v/>
      </c>
      <c r="T47" s="19" t="s">
        <v>228</v>
      </c>
      <c r="U47" s="20" t="str">
        <f>IF(ISERROR(VLOOKUP(CONCATENATE($U$39,"_",V47),選手名簿!$A:$E,5,FALSE))=TRUE,"",VLOOKUP(CONCATENATE($U$39,"_",V47),選手名簿!$A:$E,5,FALSE))</f>
        <v/>
      </c>
      <c r="V47" s="21"/>
      <c r="W47" s="21"/>
      <c r="X47" s="21"/>
      <c r="Y47" s="22"/>
      <c r="Z47" s="21"/>
      <c r="AA47" s="21"/>
      <c r="AB47" s="21"/>
      <c r="AC47" s="23" t="str">
        <f>IF(ISERROR(VLOOKUP(CONCATENATE($AC$39,"_",AB47),選手名簿!$A:$E,5,FALSE))=TRUE,"",VLOOKUP(CONCATENATE($AC$39,"_",AB47),選手名簿!$A:$E,5,FALSE))</f>
        <v/>
      </c>
    </row>
    <row r="48" spans="1:29" ht="20.25" hidden="1" customHeight="1" x14ac:dyDescent="0.45">
      <c r="E48" s="19" t="s">
        <v>228</v>
      </c>
      <c r="F48" s="20" t="str">
        <f>IF(ISERROR(VLOOKUP(CONCATENATE($F$39,"_",G48),選手名簿!$A:$E,5,FALSE))=TRUE,"",VLOOKUP(CONCATENATE($F$39,"_",G48),選手名簿!$A:$E,5,FALSE))</f>
        <v/>
      </c>
      <c r="G48" s="21"/>
      <c r="H48" s="21"/>
      <c r="I48" s="21"/>
      <c r="J48" s="22"/>
      <c r="K48" s="21"/>
      <c r="L48" s="21"/>
      <c r="M48" s="21"/>
      <c r="N48" s="23" t="str">
        <f>IF(ISERROR(VLOOKUP(CONCATENATE($N$39,"_",M48),選手名簿!$A:$E,5,FALSE))=TRUE,"",VLOOKUP(CONCATENATE($N$39,"_",M48),選手名簿!$A:$E,5,FALSE))</f>
        <v/>
      </c>
      <c r="T48" s="19" t="s">
        <v>228</v>
      </c>
      <c r="U48" s="20" t="str">
        <f>IF(ISERROR(VLOOKUP(CONCATENATE($U$39,"_",V48),選手名簿!$A:$E,5,FALSE))=TRUE,"",VLOOKUP(CONCATENATE($U$39,"_",V48),選手名簿!$A:$E,5,FALSE))</f>
        <v/>
      </c>
      <c r="V48" s="21"/>
      <c r="W48" s="21"/>
      <c r="X48" s="21"/>
      <c r="Y48" s="22"/>
      <c r="Z48" s="21"/>
      <c r="AA48" s="21"/>
      <c r="AB48" s="21"/>
      <c r="AC48" s="23" t="str">
        <f>IF(ISERROR(VLOOKUP(CONCATENATE($AC$39,"_",AB48),選手名簿!$A:$E,5,FALSE))=TRUE,"",VLOOKUP(CONCATENATE($AC$39,"_",AB48),選手名簿!$A:$E,5,FALSE))</f>
        <v/>
      </c>
    </row>
    <row r="49" spans="1:29" ht="20.25" hidden="1" customHeight="1" x14ac:dyDescent="0.45">
      <c r="E49" s="19" t="s">
        <v>228</v>
      </c>
      <c r="F49" s="20" t="str">
        <f>IF(ISERROR(VLOOKUP(CONCATENATE($F$39,"_",G49),選手名簿!$A:$E,5,FALSE))=TRUE,"",VLOOKUP(CONCATENATE($F$39,"_",G49),選手名簿!$A:$E,5,FALSE))</f>
        <v/>
      </c>
      <c r="G49" s="21"/>
      <c r="H49" s="21"/>
      <c r="I49" s="21"/>
      <c r="J49" s="22"/>
      <c r="K49" s="21"/>
      <c r="L49" s="21"/>
      <c r="M49" s="21"/>
      <c r="N49" s="23" t="str">
        <f>IF(ISERROR(VLOOKUP(CONCATENATE($N$39,"_",M49),選手名簿!$A:$E,5,FALSE))=TRUE,"",VLOOKUP(CONCATENATE($N$39,"_",M49),選手名簿!$A:$E,5,FALSE))</f>
        <v/>
      </c>
      <c r="T49" s="19" t="s">
        <v>228</v>
      </c>
      <c r="U49" s="20" t="str">
        <f>IF(ISERROR(VLOOKUP(CONCATENATE($U$39,"_",V49),選手名簿!$A:$E,5,FALSE))=TRUE,"",VLOOKUP(CONCATENATE($U$39,"_",V49),選手名簿!$A:$E,5,FALSE))</f>
        <v/>
      </c>
      <c r="V49" s="21"/>
      <c r="W49" s="21"/>
      <c r="X49" s="21"/>
      <c r="Y49" s="22"/>
      <c r="Z49" s="21"/>
      <c r="AA49" s="21"/>
      <c r="AB49" s="21"/>
      <c r="AC49" s="23" t="str">
        <f>IF(ISERROR(VLOOKUP(CONCATENATE($AC$39,"_",AB49),選手名簿!$A:$E,5,FALSE))=TRUE,"",VLOOKUP(CONCATENATE($AC$39,"_",AB49),選手名簿!$A:$E,5,FALSE))</f>
        <v/>
      </c>
    </row>
    <row r="50" spans="1:29" ht="20.25" hidden="1" customHeight="1" x14ac:dyDescent="0.45">
      <c r="E50" s="19" t="s">
        <v>228</v>
      </c>
      <c r="F50" s="20" t="str">
        <f>IF(ISERROR(VLOOKUP(CONCATENATE($F$39,"_",G50),選手名簿!$A:$E,5,FALSE))=TRUE,"",VLOOKUP(CONCATENATE($F$39,"_",G50),選手名簿!$A:$E,5,FALSE))</f>
        <v/>
      </c>
      <c r="G50" s="21"/>
      <c r="H50" s="21"/>
      <c r="I50" s="21"/>
      <c r="J50" s="22"/>
      <c r="K50" s="21"/>
      <c r="L50" s="21"/>
      <c r="M50" s="21"/>
      <c r="N50" s="23" t="str">
        <f>IF(ISERROR(VLOOKUP(CONCATENATE($N$39,"_",M50),選手名簿!$A:$E,5,FALSE))=TRUE,"",VLOOKUP(CONCATENATE($N$39,"_",M50),選手名簿!$A:$E,5,FALSE))</f>
        <v/>
      </c>
      <c r="T50" s="19" t="s">
        <v>228</v>
      </c>
      <c r="U50" s="20" t="str">
        <f>IF(ISERROR(VLOOKUP(CONCATENATE($U$39,"_",V50),選手名簿!$A:$E,5,FALSE))=TRUE,"",VLOOKUP(CONCATENATE($U$39,"_",V50),選手名簿!$A:$E,5,FALSE))</f>
        <v/>
      </c>
      <c r="V50" s="21"/>
      <c r="W50" s="21"/>
      <c r="X50" s="21"/>
      <c r="Y50" s="22"/>
      <c r="Z50" s="21"/>
      <c r="AA50" s="21"/>
      <c r="AB50" s="21"/>
      <c r="AC50" s="23" t="str">
        <f>IF(ISERROR(VLOOKUP(CONCATENATE($AC$39,"_",AB50),選手名簿!$A:$E,5,FALSE))=TRUE,"",VLOOKUP(CONCATENATE($AC$39,"_",AB50),選手名簿!$A:$E,5,FALSE))</f>
        <v/>
      </c>
    </row>
    <row r="51" spans="1:29" ht="20.25" hidden="1" customHeight="1" x14ac:dyDescent="0.45">
      <c r="E51" s="19" t="s">
        <v>228</v>
      </c>
      <c r="F51" s="20" t="str">
        <f>IF(ISERROR(VLOOKUP(CONCATENATE($F$39,"_",G51),選手名簿!$A:$E,5,FALSE))=TRUE,"",VLOOKUP(CONCATENATE($F$39,"_",G51),選手名簿!$A:$E,5,FALSE))</f>
        <v/>
      </c>
      <c r="G51" s="21"/>
      <c r="H51" s="21"/>
      <c r="I51" s="21"/>
      <c r="J51" s="22"/>
      <c r="K51" s="21"/>
      <c r="L51" s="21"/>
      <c r="M51" s="21"/>
      <c r="N51" s="23" t="str">
        <f>IF(ISERROR(VLOOKUP(CONCATENATE($N$39,"_",M51),選手名簿!$A:$E,5,FALSE))=TRUE,"",VLOOKUP(CONCATENATE($N$39,"_",M51),選手名簿!$A:$E,5,FALSE))</f>
        <v/>
      </c>
      <c r="T51" s="19" t="s">
        <v>228</v>
      </c>
      <c r="U51" s="20" t="str">
        <f>IF(ISERROR(VLOOKUP(CONCATENATE($U$39,"_",V51),選手名簿!$A:$E,5,FALSE))=TRUE,"",VLOOKUP(CONCATENATE($U$39,"_",V51),選手名簿!$A:$E,5,FALSE))</f>
        <v/>
      </c>
      <c r="V51" s="21"/>
      <c r="W51" s="21"/>
      <c r="X51" s="21"/>
      <c r="Y51" s="22"/>
      <c r="Z51" s="21"/>
      <c r="AA51" s="21"/>
      <c r="AB51" s="21"/>
      <c r="AC51" s="23" t="str">
        <f>IF(ISERROR(VLOOKUP(CONCATENATE($AC$39,"_",AB51),選手名簿!$A:$E,5,FALSE))=TRUE,"",VLOOKUP(CONCATENATE($AC$39,"_",AB51),選手名簿!$A:$E,5,FALSE))</f>
        <v/>
      </c>
    </row>
    <row r="52" spans="1:29" ht="20.25" hidden="1" customHeight="1" thickBot="1" x14ac:dyDescent="0.6">
      <c r="E52" s="24" t="s">
        <v>228</v>
      </c>
      <c r="F52" s="25" t="str">
        <f>IF(ISERROR(VLOOKUP(CONCATENATE($F$39,"_",G52),選手名簿!$A:$E,5,FALSE))=TRUE,"",VLOOKUP(CONCATENATE($F$39,"_",G52),選手名簿!$A:$E,5,FALSE))</f>
        <v/>
      </c>
      <c r="G52" s="26"/>
      <c r="H52" s="26"/>
      <c r="I52" s="26"/>
      <c r="J52" s="27"/>
      <c r="K52" s="26"/>
      <c r="L52" s="26"/>
      <c r="M52" s="26"/>
      <c r="N52" s="28" t="str">
        <f>IF(ISERROR(VLOOKUP(CONCATENATE($N$39,"_",M52),選手名簿!$A:$E,5,FALSE))=TRUE,"",VLOOKUP(CONCATENATE($N$39,"_",M52),選手名簿!$A:$E,5,FALSE))</f>
        <v/>
      </c>
      <c r="T52" s="24" t="s">
        <v>228</v>
      </c>
      <c r="U52" s="25" t="str">
        <f>IF(ISERROR(VLOOKUP(CONCATENATE($U$39,"_",V52),選手名簿!$A:$E,5,FALSE))=TRUE,"",VLOOKUP(CONCATENATE($U$39,"_",V52),選手名簿!$A:$E,5,FALSE))</f>
        <v/>
      </c>
      <c r="V52" s="26"/>
      <c r="W52" s="26"/>
      <c r="X52" s="26"/>
      <c r="Y52" s="27"/>
      <c r="Z52" s="26"/>
      <c r="AA52" s="26"/>
      <c r="AB52" s="26"/>
      <c r="AC52" s="28" t="str">
        <f>IF(ISERROR(VLOOKUP(CONCATENATE($AC$39,"_",AB52),選手名簿!$A:$E,5,FALSE))=TRUE,"",VLOOKUP(CONCATENATE($AC$39,"_",AB52),選手名簿!$A:$E,5,FALSE))</f>
        <v/>
      </c>
    </row>
    <row r="53" spans="1:29" ht="20.25" customHeight="1" x14ac:dyDescent="0.45">
      <c r="A53" s="29" t="s">
        <v>226</v>
      </c>
      <c r="B53" s="774" t="s">
        <v>1191</v>
      </c>
      <c r="C53" s="774"/>
      <c r="D53" s="774"/>
      <c r="E53" s="19" t="s">
        <v>196</v>
      </c>
      <c r="F53" s="20" t="str">
        <f>IF(ISERROR(VLOOKUP(CONCATENATE($F$39,"_",G53),選手名簿!$A:$E,5,FALSE))=TRUE,"",VLOOKUP(CONCATENATE($F$39,"_",G53),選手名簿!$A:$E,5,FALSE))</f>
        <v/>
      </c>
      <c r="G53" s="21"/>
      <c r="H53" s="21"/>
      <c r="I53" s="21"/>
      <c r="J53" s="22"/>
      <c r="K53" s="21"/>
      <c r="L53" s="21"/>
      <c r="M53" s="21"/>
      <c r="N53" s="23" t="str">
        <f>IF(ISERROR(VLOOKUP(CONCATENATE($N$39,"_",M53),選手名簿!$A:$E,5,FALSE))=TRUE,"",VLOOKUP(CONCATENATE($N$39,"_",M53),選手名簿!$A:$E,5,FALSE))</f>
        <v/>
      </c>
      <c r="P53" s="29" t="s">
        <v>226</v>
      </c>
      <c r="Q53" s="774" t="s">
        <v>11844</v>
      </c>
      <c r="R53" s="774"/>
      <c r="S53" s="774"/>
      <c r="T53" s="19" t="s">
        <v>196</v>
      </c>
      <c r="U53" s="20" t="str">
        <f>IF(ISERROR(VLOOKUP(CONCATENATE($U$39,"_",V53),選手名簿!$A:$E,5,FALSE))=TRUE,"",VLOOKUP(CONCATENATE($U$39,"_",V53),選手名簿!$A:$E,5,FALSE))</f>
        <v/>
      </c>
      <c r="V53" s="21"/>
      <c r="W53" s="21"/>
      <c r="X53" s="21"/>
      <c r="Y53" s="22"/>
      <c r="Z53" s="21"/>
      <c r="AA53" s="21"/>
      <c r="AB53" s="21"/>
      <c r="AC53" s="23" t="str">
        <f>IF(ISERROR(VLOOKUP(CONCATENATE($AC$39,"_",AB53),選手名簿!$A:$E,5,FALSE))=TRUE,"",VLOOKUP(CONCATENATE($AC$39,"_",AB53),選手名簿!$A:$E,5,FALSE))</f>
        <v/>
      </c>
    </row>
    <row r="54" spans="1:29" ht="20.25" customHeight="1" x14ac:dyDescent="0.45">
      <c r="A54" s="83" t="s">
        <v>1959</v>
      </c>
      <c r="B54" s="769" t="str">
        <f>IF(ISERROR(VLOOKUP(B53,審判員!$A:$C,2,FALSE))=TRUE,"",VLOOKUP(B53,審判員!$A:$C,2,FALSE))</f>
        <v>佐藤　慎二</v>
      </c>
      <c r="C54" s="770"/>
      <c r="D54" s="83" t="str">
        <f>IF(ISERROR(VLOOKUP(B53,審判員!$A:$C,3,FALSE))=TRUE,"",VLOOKUP(B53,審判員!$A:$C,3,FALSE))</f>
        <v>３級</v>
      </c>
      <c r="E54" s="31" t="s">
        <v>196</v>
      </c>
      <c r="F54" s="32" t="str">
        <f>IF(ISERROR(VLOOKUP(CONCATENATE($F$39,"_",G54),選手名簿!$A:$E,5,FALSE))=TRUE,"",VLOOKUP(CONCATENATE($F$39,"_",G54),選手名簿!$A:$E,5,FALSE))</f>
        <v/>
      </c>
      <c r="G54" s="33"/>
      <c r="H54" s="33"/>
      <c r="I54" s="33"/>
      <c r="J54" s="22"/>
      <c r="K54" s="33"/>
      <c r="L54" s="33"/>
      <c r="M54" s="33"/>
      <c r="N54" s="34" t="str">
        <f>IF(ISERROR(VLOOKUP(CONCATENATE($N$39,"_",M54),選手名簿!$A:$E,5,FALSE))=TRUE,"",VLOOKUP(CONCATENATE($N$39,"_",M54),選手名簿!$A:$E,5,FALSE))</f>
        <v/>
      </c>
      <c r="P54" s="83" t="s">
        <v>1959</v>
      </c>
      <c r="Q54" s="769" t="str">
        <f>IF(ISERROR(VLOOKUP(Q53,審判員!$A:$C,2,FALSE))=TRUE,"",VLOOKUP(Q53,審判員!$A:$C,2,FALSE))</f>
        <v>隅田　哲平</v>
      </c>
      <c r="R54" s="770"/>
      <c r="S54" s="83" t="str">
        <f>IF(ISERROR(VLOOKUP(Q53,審判員!$A:$C,3,FALSE))=TRUE,"",VLOOKUP(Q53,審判員!$A:$C,3,FALSE))</f>
        <v>３級</v>
      </c>
      <c r="T54" s="31" t="s">
        <v>196</v>
      </c>
      <c r="U54" s="32" t="str">
        <f>IF(ISERROR(VLOOKUP(CONCATENATE($U$39,"_",V54),選手名簿!$A:$E,5,FALSE))=TRUE,"",VLOOKUP(CONCATENATE($U$39,"_",V54),選手名簿!$A:$E,5,FALSE))</f>
        <v/>
      </c>
      <c r="V54" s="33"/>
      <c r="W54" s="33"/>
      <c r="X54" s="33"/>
      <c r="Y54" s="22"/>
      <c r="Z54" s="33"/>
      <c r="AA54" s="33"/>
      <c r="AB54" s="33"/>
      <c r="AC54" s="34" t="str">
        <f>IF(ISERROR(VLOOKUP(CONCATENATE($AC$39,"_",AB54),選手名簿!$A:$E,5,FALSE))=TRUE,"",VLOOKUP(CONCATENATE($AC$39,"_",AB54),選手名簿!$A:$E,5,FALSE))</f>
        <v/>
      </c>
    </row>
    <row r="55" spans="1:29" ht="20.25" customHeight="1" x14ac:dyDescent="0.45">
      <c r="A55" s="29" t="s">
        <v>226</v>
      </c>
      <c r="B55" s="771" t="s">
        <v>11848</v>
      </c>
      <c r="C55" s="771"/>
      <c r="D55" s="772"/>
      <c r="E55" s="31" t="s">
        <v>196</v>
      </c>
      <c r="F55" s="32" t="str">
        <f>IF(ISERROR(VLOOKUP(CONCATENATE($F$39,"_",G55),選手名簿!$A:$E,5,FALSE))=TRUE,"",VLOOKUP(CONCATENATE($F$39,"_",G55),選手名簿!$A:$E,5,FALSE))</f>
        <v/>
      </c>
      <c r="G55" s="33"/>
      <c r="H55" s="33"/>
      <c r="I55" s="33"/>
      <c r="J55" s="22"/>
      <c r="K55" s="33"/>
      <c r="L55" s="33"/>
      <c r="M55" s="33"/>
      <c r="N55" s="34" t="str">
        <f>IF(ISERROR(VLOOKUP(CONCATENATE($N$39,"_",M55),選手名簿!$A:$E,5,FALSE))=TRUE,"",VLOOKUP(CONCATENATE($N$39,"_",M55),選手名簿!$A:$E,5,FALSE))</f>
        <v/>
      </c>
      <c r="P55" s="29" t="s">
        <v>226</v>
      </c>
      <c r="Q55" s="771" t="s">
        <v>11866</v>
      </c>
      <c r="R55" s="771"/>
      <c r="S55" s="772"/>
      <c r="T55" s="31" t="s">
        <v>196</v>
      </c>
      <c r="U55" s="32" t="str">
        <f>IF(ISERROR(VLOOKUP(CONCATENATE($U$39,"_",V55),選手名簿!$A:$E,5,FALSE))=TRUE,"",VLOOKUP(CONCATENATE($U$39,"_",V55),選手名簿!$A:$E,5,FALSE))</f>
        <v/>
      </c>
      <c r="V55" s="33"/>
      <c r="W55" s="33"/>
      <c r="X55" s="33"/>
      <c r="Y55" s="22"/>
      <c r="Z55" s="33"/>
      <c r="AA55" s="33"/>
      <c r="AB55" s="33"/>
      <c r="AC55" s="34" t="str">
        <f>IF(ISERROR(VLOOKUP(CONCATENATE($AC$39,"_",AB55),選手名簿!$A:$E,5,FALSE))=TRUE,"",VLOOKUP(CONCATENATE($AC$39,"_",AB55),選手名簿!$A:$E,5,FALSE))</f>
        <v/>
      </c>
    </row>
    <row r="56" spans="1:29" ht="20.25" customHeight="1" x14ac:dyDescent="0.45">
      <c r="A56" s="83" t="s">
        <v>1966</v>
      </c>
      <c r="B56" s="769" t="str">
        <f>IF(ISERROR(VLOOKUP(B55,審判員!$A:$C,2,FALSE))=TRUE,"",VLOOKUP(B55,審判員!$A:$C,2,FALSE))</f>
        <v>小石川　悟</v>
      </c>
      <c r="C56" s="770"/>
      <c r="D56" s="83" t="str">
        <f>IF(ISERROR(VLOOKUP(B55,審判員!$A:$C,3,FALSE))=TRUE,"",VLOOKUP(B55,審判員!$A:$C,3,FALSE))</f>
        <v>３級</v>
      </c>
      <c r="E56" s="31" t="s">
        <v>196</v>
      </c>
      <c r="F56" s="32" t="str">
        <f>IF(ISERROR(VLOOKUP(CONCATENATE($F$39,"_",G56),選手名簿!$A:$E,5,FALSE))=TRUE,"",VLOOKUP(CONCATENATE($F$39,"_",G56),選手名簿!$A:$E,5,FALSE))</f>
        <v/>
      </c>
      <c r="G56" s="33"/>
      <c r="H56" s="33"/>
      <c r="I56" s="33"/>
      <c r="J56" s="22"/>
      <c r="K56" s="33"/>
      <c r="L56" s="33"/>
      <c r="M56" s="33"/>
      <c r="N56" s="34" t="str">
        <f>IF(ISERROR(VLOOKUP(CONCATENATE($N$39,"_",M56),選手名簿!$A:$E,5,FALSE))=TRUE,"",VLOOKUP(CONCATENATE($N$39,"_",M56),選手名簿!$A:$E,5,FALSE))</f>
        <v/>
      </c>
      <c r="P56" s="83" t="s">
        <v>1966</v>
      </c>
      <c r="Q56" s="769" t="str">
        <f>IF(ISERROR(VLOOKUP(Q55,審判員!$A:$C,2,FALSE))=TRUE,"",VLOOKUP(Q55,審判員!$A:$C,2,FALSE))</f>
        <v>安藤　昭徳</v>
      </c>
      <c r="R56" s="770"/>
      <c r="S56" s="83" t="str">
        <f>IF(ISERROR(VLOOKUP(Q55,審判員!$A:$C,3,FALSE))=TRUE,"",VLOOKUP(Q55,審判員!$A:$C,3,FALSE))</f>
        <v>３級</v>
      </c>
      <c r="T56" s="31" t="s">
        <v>196</v>
      </c>
      <c r="U56" s="32" t="str">
        <f>IF(ISERROR(VLOOKUP(CONCATENATE($U$39,"_",V56),選手名簿!$A:$E,5,FALSE))=TRUE,"",VLOOKUP(CONCATENATE($U$39,"_",V56),選手名簿!$A:$E,5,FALSE))</f>
        <v/>
      </c>
      <c r="V56" s="33"/>
      <c r="W56" s="33"/>
      <c r="X56" s="33"/>
      <c r="Y56" s="22"/>
      <c r="Z56" s="33"/>
      <c r="AA56" s="33"/>
      <c r="AB56" s="33"/>
      <c r="AC56" s="34" t="str">
        <f>IF(ISERROR(VLOOKUP(CONCATENATE($AC$39,"_",AB56),選手名簿!$A:$E,5,FALSE))=TRUE,"",VLOOKUP(CONCATENATE($AC$39,"_",AB56),選手名簿!$A:$E,5,FALSE))</f>
        <v/>
      </c>
    </row>
    <row r="57" spans="1:29" ht="20.25" customHeight="1" x14ac:dyDescent="0.45">
      <c r="A57" s="29" t="s">
        <v>226</v>
      </c>
      <c r="B57" s="771" t="s">
        <v>11865</v>
      </c>
      <c r="C57" s="771"/>
      <c r="D57" s="772"/>
      <c r="E57" s="31" t="s">
        <v>196</v>
      </c>
      <c r="F57" s="32" t="str">
        <f>IF(ISERROR(VLOOKUP(CONCATENATE($F$39,"_",G57),選手名簿!$A:$E,5,FALSE))=TRUE,"",VLOOKUP(CONCATENATE($F$39,"_",G57),選手名簿!$A:$E,5,FALSE))</f>
        <v/>
      </c>
      <c r="G57" s="33"/>
      <c r="H57" s="33"/>
      <c r="I57" s="33"/>
      <c r="J57" s="22"/>
      <c r="K57" s="33"/>
      <c r="L57" s="33"/>
      <c r="M57" s="33"/>
      <c r="N57" s="34" t="str">
        <f>IF(ISERROR(VLOOKUP(CONCATENATE($N$39,"_",M57),選手名簿!$A:$E,5,FALSE))=TRUE,"",VLOOKUP(CONCATENATE($N$39,"_",M57),選手名簿!$A:$E,5,FALSE))</f>
        <v/>
      </c>
      <c r="P57" s="29" t="s">
        <v>226</v>
      </c>
      <c r="Q57" s="771" t="s">
        <v>11867</v>
      </c>
      <c r="R57" s="771"/>
      <c r="S57" s="772"/>
      <c r="T57" s="31" t="s">
        <v>196</v>
      </c>
      <c r="U57" s="32" t="str">
        <f>IF(ISERROR(VLOOKUP(CONCATENATE($U$39,"_",V57),選手名簿!$A:$E,5,FALSE))=TRUE,"",VLOOKUP(CONCATENATE($U$39,"_",V57),選手名簿!$A:$E,5,FALSE))</f>
        <v/>
      </c>
      <c r="V57" s="33"/>
      <c r="W57" s="33"/>
      <c r="X57" s="33"/>
      <c r="Y57" s="22"/>
      <c r="Z57" s="33"/>
      <c r="AA57" s="33"/>
      <c r="AB57" s="33"/>
      <c r="AC57" s="34" t="str">
        <f>IF(ISERROR(VLOOKUP(CONCATENATE($AC$39,"_",AB57),選手名簿!$A:$E,5,FALSE))=TRUE,"",VLOOKUP(CONCATENATE($AC$39,"_",AB57),選手名簿!$A:$E,5,FALSE))</f>
        <v/>
      </c>
    </row>
    <row r="58" spans="1:29" ht="20.25" customHeight="1" x14ac:dyDescent="0.45">
      <c r="A58" s="83" t="s">
        <v>1967</v>
      </c>
      <c r="B58" s="769" t="str">
        <f>IF(ISERROR(VLOOKUP(B57,審判員!$A:$C,2,FALSE))=TRUE,"",VLOOKUP(B57,審判員!$A:$C,2,FALSE))</f>
        <v>相馬　大典</v>
      </c>
      <c r="C58" s="770"/>
      <c r="D58" s="83" t="str">
        <f>IF(ISERROR(VLOOKUP(B57,審判員!$A:$C,3,FALSE))=TRUE,"",VLOOKUP(B57,審判員!$A:$C,3,FALSE))</f>
        <v>３級</v>
      </c>
      <c r="E58" s="31" t="s">
        <v>196</v>
      </c>
      <c r="F58" s="32" t="str">
        <f>IF(ISERROR(VLOOKUP(CONCATENATE($F$39,"_",G58),選手名簿!$A:$E,5,FALSE))=TRUE,"",VLOOKUP(CONCATENATE($F$39,"_",G58),選手名簿!$A:$E,5,FALSE))</f>
        <v/>
      </c>
      <c r="G58" s="33"/>
      <c r="H58" s="33"/>
      <c r="I58" s="33"/>
      <c r="J58" s="22"/>
      <c r="K58" s="33"/>
      <c r="L58" s="33"/>
      <c r="M58" s="33"/>
      <c r="N58" s="34" t="str">
        <f>IF(ISERROR(VLOOKUP(CONCATENATE($N$39,"_",M58),選手名簿!$A:$E,5,FALSE))=TRUE,"",VLOOKUP(CONCATENATE($N$39,"_",M58),選手名簿!$A:$E,5,FALSE))</f>
        <v/>
      </c>
      <c r="P58" s="83" t="s">
        <v>1967</v>
      </c>
      <c r="Q58" s="769" t="str">
        <f>IF(ISERROR(VLOOKUP(Q57,審判員!$A:$C,2,FALSE))=TRUE,"",VLOOKUP(Q57,審判員!$A:$C,2,FALSE))</f>
        <v>羽田野　亘</v>
      </c>
      <c r="R58" s="770"/>
      <c r="S58" s="83" t="str">
        <f>IF(ISERROR(VLOOKUP(Q57,審判員!$A:$C,3,FALSE))=TRUE,"",VLOOKUP(Q57,審判員!$A:$C,3,FALSE))</f>
        <v>３級</v>
      </c>
      <c r="T58" s="31" t="s">
        <v>196</v>
      </c>
      <c r="U58" s="32" t="str">
        <f>IF(ISERROR(VLOOKUP(CONCATENATE($U$39,"_",V58),選手名簿!$A:$E,5,FALSE))=TRUE,"",VLOOKUP(CONCATENATE($U$39,"_",V58),選手名簿!$A:$E,5,FALSE))</f>
        <v/>
      </c>
      <c r="V58" s="33"/>
      <c r="W58" s="33"/>
      <c r="X58" s="33"/>
      <c r="Y58" s="22"/>
      <c r="Z58" s="33"/>
      <c r="AA58" s="33"/>
      <c r="AB58" s="33"/>
      <c r="AC58" s="34" t="str">
        <f>IF(ISERROR(VLOOKUP(CONCATENATE($AC$39,"_",AB58),選手名簿!$A:$E,5,FALSE))=TRUE,"",VLOOKUP(CONCATENATE($AC$39,"_",AB58),選手名簿!$A:$E,5,FALSE))</f>
        <v/>
      </c>
    </row>
    <row r="59" spans="1:29" ht="20.25" customHeight="1" x14ac:dyDescent="0.45">
      <c r="A59" s="29" t="s">
        <v>226</v>
      </c>
      <c r="B59" s="774" t="s">
        <v>11844</v>
      </c>
      <c r="C59" s="774"/>
      <c r="D59" s="774"/>
      <c r="E59" s="31" t="s">
        <v>196</v>
      </c>
      <c r="F59" s="32" t="str">
        <f>IF(ISERROR(VLOOKUP(CONCATENATE($F$39,"_",G59),選手名簿!$A:$E,5,FALSE))=TRUE,"",VLOOKUP(CONCATENATE($F$39,"_",G59),選手名簿!$A:$E,5,FALSE))</f>
        <v/>
      </c>
      <c r="G59" s="33"/>
      <c r="H59" s="33"/>
      <c r="I59" s="33"/>
      <c r="J59" s="22"/>
      <c r="K59" s="33"/>
      <c r="L59" s="33"/>
      <c r="M59" s="33"/>
      <c r="N59" s="34" t="str">
        <f>IF(ISERROR(VLOOKUP(CONCATENATE($N$39,"_",M59),選手名簿!$A:$E,5,FALSE))=TRUE,"",VLOOKUP(CONCATENATE($N$39,"_",M59),選手名簿!$A:$E,5,FALSE))</f>
        <v/>
      </c>
      <c r="P59" s="29" t="s">
        <v>226</v>
      </c>
      <c r="Q59" s="774" t="s">
        <v>11843</v>
      </c>
      <c r="R59" s="774"/>
      <c r="S59" s="774"/>
      <c r="T59" s="31" t="s">
        <v>196</v>
      </c>
      <c r="U59" s="32" t="str">
        <f>IF(ISERROR(VLOOKUP(CONCATENATE($U$39,"_",V59),選手名簿!$A:$E,5,FALSE))=TRUE,"",VLOOKUP(CONCATENATE($U$39,"_",V59),選手名簿!$A:$E,5,FALSE))</f>
        <v/>
      </c>
      <c r="V59" s="33"/>
      <c r="W59" s="33"/>
      <c r="X59" s="33"/>
      <c r="Y59" s="22"/>
      <c r="Z59" s="33"/>
      <c r="AA59" s="33"/>
      <c r="AB59" s="33"/>
      <c r="AC59" s="34" t="str">
        <f>IF(ISERROR(VLOOKUP(CONCATENATE($AC$39,"_",AB59),選手名簿!$A:$E,5,FALSE))=TRUE,"",VLOOKUP(CONCATENATE($AC$39,"_",AB59),選手名簿!$A:$E,5,FALSE))</f>
        <v/>
      </c>
    </row>
    <row r="60" spans="1:29" ht="20.25" customHeight="1" thickBot="1" x14ac:dyDescent="0.6">
      <c r="A60" s="83" t="s">
        <v>1968</v>
      </c>
      <c r="B60" s="769" t="str">
        <f>IF(ISERROR(VLOOKUP(B59,審判員!$A:$C,2,FALSE))=TRUE,"",VLOOKUP(B59,審判員!$A:$C,2,FALSE))</f>
        <v>隅田　哲平</v>
      </c>
      <c r="C60" s="770"/>
      <c r="D60" s="83" t="str">
        <f>IF(ISERROR(VLOOKUP(B59,審判員!$A:$C,3,FALSE))=TRUE,"",VLOOKUP(B59,審判員!$A:$C,3,FALSE))</f>
        <v>３級</v>
      </c>
      <c r="E60" s="35" t="s">
        <v>196</v>
      </c>
      <c r="F60" s="36" t="str">
        <f>IF(ISERROR(VLOOKUP(CONCATENATE($F$39,"_",G60),選手名簿!$A:$E,5,FALSE))=TRUE,"",VLOOKUP(CONCATENATE($F$39,"_",G60),選手名簿!$A:$E,5,FALSE))</f>
        <v/>
      </c>
      <c r="G60" s="37"/>
      <c r="H60" s="37"/>
      <c r="I60" s="37"/>
      <c r="J60" s="27"/>
      <c r="K60" s="37"/>
      <c r="L60" s="37"/>
      <c r="M60" s="37"/>
      <c r="N60" s="38" t="str">
        <f>IF(ISERROR(VLOOKUP(CONCATENATE($N$39,"_",M60),選手名簿!$A:$E,5,FALSE))=TRUE,"",VLOOKUP(CONCATENATE($N$39,"_",M60),選手名簿!$A:$E,5,FALSE))</f>
        <v/>
      </c>
      <c r="P60" s="83" t="s">
        <v>1968</v>
      </c>
      <c r="Q60" s="769" t="str">
        <f>IF(ISERROR(VLOOKUP(Q59,審判員!$A:$C,2,FALSE))=TRUE,"",VLOOKUP(Q59,審判員!$A:$C,2,FALSE))</f>
        <v>矢羽田　崇</v>
      </c>
      <c r="R60" s="770"/>
      <c r="S60" s="83" t="str">
        <f>IF(ISERROR(VLOOKUP(Q59,審判員!$A:$C,3,FALSE))=TRUE,"",VLOOKUP(Q59,審判員!$A:$C,3,FALSE))</f>
        <v>２級</v>
      </c>
      <c r="T60" s="35" t="s">
        <v>196</v>
      </c>
      <c r="U60" s="36" t="str">
        <f>IF(ISERROR(VLOOKUP(CONCATENATE($U$39,"_",V60),選手名簿!$A:$E,5,FALSE))=TRUE,"",VLOOKUP(CONCATENATE($U$39,"_",V60),選手名簿!$A:$E,5,FALSE))</f>
        <v/>
      </c>
      <c r="V60" s="37"/>
      <c r="W60" s="37"/>
      <c r="X60" s="37"/>
      <c r="Y60" s="27"/>
      <c r="Z60" s="37"/>
      <c r="AA60" s="37"/>
      <c r="AB60" s="37"/>
      <c r="AC60" s="38" t="str">
        <f>IF(ISERROR(VLOOKUP(CONCATENATE($AC$39,"_",AB60),選手名簿!$A:$E,5,FALSE))=TRUE,"",VLOOKUP(CONCATENATE($AC$39,"_",AB60),選手名簿!$A:$E,5,FALSE))</f>
        <v/>
      </c>
    </row>
    <row r="61" spans="1:29" ht="9.9499999999999993" customHeight="1" x14ac:dyDescent="0.45">
      <c r="E61" s="39"/>
      <c r="T61" s="39"/>
    </row>
    <row r="62" spans="1:29" ht="9.9499999999999993" customHeight="1" x14ac:dyDescent="0.45">
      <c r="E62" s="39"/>
      <c r="T62" s="39"/>
    </row>
    <row r="63" spans="1:29" ht="9.9499999999999993" customHeight="1" x14ac:dyDescent="0.45"/>
    <row r="64" spans="1:29" ht="9.9499999999999993" customHeight="1" x14ac:dyDescent="0.45"/>
    <row r="65" spans="1:29" ht="9.9499999999999993" customHeight="1" x14ac:dyDescent="0.45"/>
    <row r="66" spans="1:29" ht="9.9499999999999993" customHeight="1" x14ac:dyDescent="0.45"/>
    <row r="67" spans="1:29" ht="9.9499999999999993" customHeight="1" thickBot="1" x14ac:dyDescent="0.6">
      <c r="E67" s="39"/>
      <c r="T67" s="39"/>
    </row>
    <row r="68" spans="1:29" ht="27.4" customHeight="1" x14ac:dyDescent="0.45">
      <c r="A68" s="365" t="s">
        <v>3235</v>
      </c>
      <c r="B68" s="789" t="s">
        <v>3920</v>
      </c>
      <c r="C68" s="790"/>
      <c r="D68" s="791"/>
      <c r="E68" s="778">
        <v>0.60416666666666663</v>
      </c>
      <c r="F68" s="781" t="str">
        <f>F7</f>
        <v>竹田直入ＦＣ</v>
      </c>
      <c r="G68" s="784">
        <f>IF(I68="","",SUM(I68:I69))</f>
        <v>0</v>
      </c>
      <c r="H68" s="793" t="s">
        <v>205</v>
      </c>
      <c r="I68" s="84">
        <v>0</v>
      </c>
      <c r="J68" s="84" t="s">
        <v>116</v>
      </c>
      <c r="K68" s="84">
        <v>1</v>
      </c>
      <c r="L68" s="793" t="s">
        <v>206</v>
      </c>
      <c r="M68" s="784">
        <f>IF(K68="","",SUM(K68:K69))</f>
        <v>2</v>
      </c>
      <c r="N68" s="775" t="str">
        <f>F5</f>
        <v>ティエラフットボールクラブＵ－１２</v>
      </c>
      <c r="P68" s="365" t="s">
        <v>3235</v>
      </c>
      <c r="Q68" s="789" t="s">
        <v>823</v>
      </c>
      <c r="R68" s="790"/>
      <c r="S68" s="791"/>
      <c r="T68" s="778">
        <v>0.64583333333333337</v>
      </c>
      <c r="U68" s="781" t="str">
        <f>U7</f>
        <v>鶴居ＳＳＳ</v>
      </c>
      <c r="V68" s="784">
        <f>IF(X68="","",SUM(X68:X69))</f>
        <v>4</v>
      </c>
      <c r="W68" s="793" t="s">
        <v>205</v>
      </c>
      <c r="X68" s="84">
        <v>2</v>
      </c>
      <c r="Y68" s="84" t="s">
        <v>116</v>
      </c>
      <c r="Z68" s="84">
        <v>0</v>
      </c>
      <c r="AA68" s="793" t="s">
        <v>206</v>
      </c>
      <c r="AB68" s="784">
        <f>IF(Z68="","",SUM(Z68:Z69))</f>
        <v>1</v>
      </c>
      <c r="AC68" s="775" t="str">
        <f>U5</f>
        <v>寒田．敷戸ＦＣ</v>
      </c>
    </row>
    <row r="69" spans="1:29" ht="27.4" customHeight="1" x14ac:dyDescent="0.45">
      <c r="A69" s="366" t="s">
        <v>3236</v>
      </c>
      <c r="B69" s="792" t="s">
        <v>3924</v>
      </c>
      <c r="C69" s="792"/>
      <c r="D69" s="789"/>
      <c r="E69" s="779"/>
      <c r="F69" s="782"/>
      <c r="G69" s="785"/>
      <c r="H69" s="794"/>
      <c r="I69" s="9">
        <v>0</v>
      </c>
      <c r="J69" s="9" t="s">
        <v>117</v>
      </c>
      <c r="K69" s="9">
        <v>1</v>
      </c>
      <c r="L69" s="794"/>
      <c r="M69" s="785"/>
      <c r="N69" s="776"/>
      <c r="P69" s="366" t="s">
        <v>3236</v>
      </c>
      <c r="Q69" s="792" t="s">
        <v>3924</v>
      </c>
      <c r="R69" s="792"/>
      <c r="S69" s="789"/>
      <c r="T69" s="779"/>
      <c r="U69" s="782"/>
      <c r="V69" s="785"/>
      <c r="W69" s="794"/>
      <c r="X69" s="9">
        <v>2</v>
      </c>
      <c r="Y69" s="9" t="s">
        <v>117</v>
      </c>
      <c r="Z69" s="9">
        <v>1</v>
      </c>
      <c r="AA69" s="794"/>
      <c r="AB69" s="785"/>
      <c r="AC69" s="776"/>
    </row>
    <row r="70" spans="1:29" ht="27.4" customHeight="1" thickBot="1" x14ac:dyDescent="0.6">
      <c r="A70" s="366" t="s">
        <v>3237</v>
      </c>
      <c r="B70" s="792" t="s">
        <v>1412</v>
      </c>
      <c r="C70" s="792"/>
      <c r="D70" s="789"/>
      <c r="E70" s="780"/>
      <c r="F70" s="783"/>
      <c r="G70" s="786"/>
      <c r="H70" s="795"/>
      <c r="I70" s="85"/>
      <c r="J70" s="85" t="s">
        <v>188</v>
      </c>
      <c r="K70" s="85"/>
      <c r="L70" s="795"/>
      <c r="M70" s="786"/>
      <c r="N70" s="777"/>
      <c r="P70" s="366" t="s">
        <v>3237</v>
      </c>
      <c r="Q70" s="792" t="s">
        <v>3920</v>
      </c>
      <c r="R70" s="792"/>
      <c r="S70" s="789"/>
      <c r="T70" s="780"/>
      <c r="U70" s="783"/>
      <c r="V70" s="786"/>
      <c r="W70" s="795"/>
      <c r="X70" s="85"/>
      <c r="Y70" s="85" t="s">
        <v>188</v>
      </c>
      <c r="Z70" s="85"/>
      <c r="AA70" s="795"/>
      <c r="AB70" s="786"/>
      <c r="AC70" s="777"/>
    </row>
    <row r="71" spans="1:29" ht="20.25" customHeight="1" thickTop="1" x14ac:dyDescent="0.45">
      <c r="A71" s="787" t="s">
        <v>1969</v>
      </c>
      <c r="B71" s="787"/>
      <c r="C71" s="787"/>
      <c r="D71" s="788"/>
      <c r="E71" s="15"/>
      <c r="F71" s="16" t="s">
        <v>190</v>
      </c>
      <c r="G71" s="16" t="s">
        <v>1970</v>
      </c>
      <c r="H71" s="16" t="s">
        <v>145</v>
      </c>
      <c r="I71" s="16"/>
      <c r="J71" s="17"/>
      <c r="K71" s="16"/>
      <c r="L71" s="16" t="s">
        <v>145</v>
      </c>
      <c r="M71" s="16" t="s">
        <v>1970</v>
      </c>
      <c r="N71" s="18" t="s">
        <v>190</v>
      </c>
      <c r="P71" s="787" t="s">
        <v>1969</v>
      </c>
      <c r="Q71" s="787"/>
      <c r="R71" s="787"/>
      <c r="S71" s="788"/>
      <c r="T71" s="15"/>
      <c r="U71" s="16" t="s">
        <v>190</v>
      </c>
      <c r="V71" s="16" t="s">
        <v>1970</v>
      </c>
      <c r="W71" s="16" t="s">
        <v>145</v>
      </c>
      <c r="X71" s="16"/>
      <c r="Y71" s="17"/>
      <c r="Z71" s="16"/>
      <c r="AA71" s="16" t="s">
        <v>145</v>
      </c>
      <c r="AB71" s="16" t="s">
        <v>1970</v>
      </c>
      <c r="AC71" s="18" t="s">
        <v>190</v>
      </c>
    </row>
    <row r="72" spans="1:29" ht="20.25" hidden="1" customHeight="1" x14ac:dyDescent="0.45">
      <c r="E72" s="19" t="s">
        <v>228</v>
      </c>
      <c r="F72" s="20" t="str">
        <f>IF(ISERROR(VLOOKUP(CONCATENATE($F$68,"_",G72),選手名簿!$A:$E,5,FALSE))=TRUE,"",VLOOKUP(CONCATENATE($F$68,"_",G72),選手名簿!$A:$E,5,FALSE))</f>
        <v/>
      </c>
      <c r="G72" s="21"/>
      <c r="H72" s="21"/>
      <c r="I72" s="21"/>
      <c r="J72" s="22"/>
      <c r="K72" s="21"/>
      <c r="L72" s="21"/>
      <c r="M72" s="21"/>
      <c r="N72" s="23" t="str">
        <f>IF(ISERROR(VLOOKUP(CONCATENATE($N$68,"_",M72),選手名簿!$A:$E,5,FALSE))=TRUE,"",VLOOKUP(CONCATENATE($N$68,"_",M72),選手名簿!$A:$E,5,FALSE))</f>
        <v/>
      </c>
      <c r="T72" s="19" t="s">
        <v>228</v>
      </c>
      <c r="U72" s="20" t="str">
        <f>IF(ISERROR(VLOOKUP(CONCATENATE($U$68,"_",V72),選手名簿!$A:$E,5,FALSE))=TRUE,"",VLOOKUP(CONCATENATE($U$68,"_",V72),選手名簿!$A:$E,5,FALSE))</f>
        <v/>
      </c>
      <c r="V72" s="21"/>
      <c r="W72" s="21"/>
      <c r="X72" s="21"/>
      <c r="Y72" s="22"/>
      <c r="Z72" s="21"/>
      <c r="AA72" s="21"/>
      <c r="AB72" s="21"/>
      <c r="AC72" s="23" t="str">
        <f>IF(ISERROR(VLOOKUP(CONCATENATE($AC$68,"_",AB72),選手名簿!$A:$E,5,FALSE))=TRUE,"",VLOOKUP(CONCATENATE($AC$68,"_",AB72),選手名簿!$A:$E,5,FALSE))</f>
        <v/>
      </c>
    </row>
    <row r="73" spans="1:29" ht="20.25" hidden="1" customHeight="1" x14ac:dyDescent="0.45">
      <c r="E73" s="19" t="s">
        <v>228</v>
      </c>
      <c r="F73" s="20" t="str">
        <f>IF(ISERROR(VLOOKUP(CONCATENATE($F$68,"_",G73),選手名簿!$A:$E,5,FALSE))=TRUE,"",VLOOKUP(CONCATENATE($F$68,"_",G73),選手名簿!$A:$E,5,FALSE))</f>
        <v/>
      </c>
      <c r="G73" s="21"/>
      <c r="H73" s="21"/>
      <c r="I73" s="21"/>
      <c r="J73" s="22"/>
      <c r="K73" s="21"/>
      <c r="L73" s="21"/>
      <c r="M73" s="21"/>
      <c r="N73" s="23" t="str">
        <f>IF(ISERROR(VLOOKUP(CONCATENATE($N$68,"_",M73),選手名簿!$A:$E,5,FALSE))=TRUE,"",VLOOKUP(CONCATENATE($N$68,"_",M73),選手名簿!$A:$E,5,FALSE))</f>
        <v/>
      </c>
      <c r="T73" s="19" t="s">
        <v>228</v>
      </c>
      <c r="U73" s="20" t="str">
        <f>IF(ISERROR(VLOOKUP(CONCATENATE($U$68,"_",V73),選手名簿!$A:$E,5,FALSE))=TRUE,"",VLOOKUP(CONCATENATE($U$68,"_",V73),選手名簿!$A:$E,5,FALSE))</f>
        <v/>
      </c>
      <c r="V73" s="21"/>
      <c r="W73" s="21"/>
      <c r="X73" s="21"/>
      <c r="Y73" s="22"/>
      <c r="Z73" s="21"/>
      <c r="AA73" s="21"/>
      <c r="AB73" s="21"/>
      <c r="AC73" s="23" t="str">
        <f>IF(ISERROR(VLOOKUP(CONCATENATE($AC$68,"_",AB73),選手名簿!$A:$E,5,FALSE))=TRUE,"",VLOOKUP(CONCATENATE($AC$68,"_",AB73),選手名簿!$A:$E,5,FALSE))</f>
        <v/>
      </c>
    </row>
    <row r="74" spans="1:29" ht="20.25" hidden="1" customHeight="1" x14ac:dyDescent="0.45">
      <c r="E74" s="19" t="s">
        <v>228</v>
      </c>
      <c r="F74" s="20" t="str">
        <f>IF(ISERROR(VLOOKUP(CONCATENATE($F$68,"_",G74),選手名簿!$A:$E,5,FALSE))=TRUE,"",VLOOKUP(CONCATENATE($F$68,"_",G74),選手名簿!$A:$E,5,FALSE))</f>
        <v/>
      </c>
      <c r="G74" s="21"/>
      <c r="H74" s="21"/>
      <c r="I74" s="21"/>
      <c r="J74" s="22"/>
      <c r="K74" s="21"/>
      <c r="L74" s="21"/>
      <c r="M74" s="21"/>
      <c r="N74" s="23" t="str">
        <f>IF(ISERROR(VLOOKUP(CONCATENATE($N$68,"_",M74),選手名簿!$A:$E,5,FALSE))=TRUE,"",VLOOKUP(CONCATENATE($N$68,"_",M74),選手名簿!$A:$E,5,FALSE))</f>
        <v/>
      </c>
      <c r="T74" s="19" t="s">
        <v>228</v>
      </c>
      <c r="U74" s="20" t="str">
        <f>IF(ISERROR(VLOOKUP(CONCATENATE($U$68,"_",V74),選手名簿!$A:$E,5,FALSE))=TRUE,"",VLOOKUP(CONCATENATE($U$68,"_",V74),選手名簿!$A:$E,5,FALSE))</f>
        <v/>
      </c>
      <c r="V74" s="21"/>
      <c r="W74" s="21"/>
      <c r="X74" s="21"/>
      <c r="Y74" s="22"/>
      <c r="Z74" s="21"/>
      <c r="AA74" s="21"/>
      <c r="AB74" s="21"/>
      <c r="AC74" s="23" t="str">
        <f>IF(ISERROR(VLOOKUP(CONCATENATE($AC$68,"_",AB74),選手名簿!$A:$E,5,FALSE))=TRUE,"",VLOOKUP(CONCATENATE($AC$68,"_",AB74),選手名簿!$A:$E,5,FALSE))</f>
        <v/>
      </c>
    </row>
    <row r="75" spans="1:29" ht="20.25" hidden="1" customHeight="1" x14ac:dyDescent="0.45">
      <c r="E75" s="19" t="s">
        <v>228</v>
      </c>
      <c r="F75" s="20" t="str">
        <f>IF(ISERROR(VLOOKUP(CONCATENATE($F$68,"_",G75),選手名簿!$A:$E,5,FALSE))=TRUE,"",VLOOKUP(CONCATENATE($F$68,"_",G75),選手名簿!$A:$E,5,FALSE))</f>
        <v/>
      </c>
      <c r="G75" s="21"/>
      <c r="H75" s="21"/>
      <c r="I75" s="21"/>
      <c r="J75" s="22"/>
      <c r="K75" s="21"/>
      <c r="L75" s="21"/>
      <c r="M75" s="21"/>
      <c r="N75" s="23" t="str">
        <f>IF(ISERROR(VLOOKUP(CONCATENATE($N$68,"_",M75),選手名簿!$A:$E,5,FALSE))=TRUE,"",VLOOKUP(CONCATENATE($N$68,"_",M75),選手名簿!$A:$E,5,FALSE))</f>
        <v/>
      </c>
      <c r="T75" s="19" t="s">
        <v>228</v>
      </c>
      <c r="U75" s="20" t="str">
        <f>IF(ISERROR(VLOOKUP(CONCATENATE($U$68,"_",V75),選手名簿!$A:$E,5,FALSE))=TRUE,"",VLOOKUP(CONCATENATE($U$68,"_",V75),選手名簿!$A:$E,5,FALSE))</f>
        <v/>
      </c>
      <c r="V75" s="21"/>
      <c r="W75" s="21"/>
      <c r="X75" s="21"/>
      <c r="Y75" s="22"/>
      <c r="Z75" s="21"/>
      <c r="AA75" s="21"/>
      <c r="AB75" s="21"/>
      <c r="AC75" s="23" t="str">
        <f>IF(ISERROR(VLOOKUP(CONCATENATE($AC$68,"_",AB75),選手名簿!$A:$E,5,FALSE))=TRUE,"",VLOOKUP(CONCATENATE($AC$68,"_",AB75),選手名簿!$A:$E,5,FALSE))</f>
        <v/>
      </c>
    </row>
    <row r="76" spans="1:29" ht="20.25" hidden="1" customHeight="1" x14ac:dyDescent="0.45">
      <c r="E76" s="19" t="s">
        <v>228</v>
      </c>
      <c r="F76" s="20" t="str">
        <f>IF(ISERROR(VLOOKUP(CONCATENATE($F$68,"_",G76),選手名簿!$A:$E,5,FALSE))=TRUE,"",VLOOKUP(CONCATENATE($F$68,"_",G76),選手名簿!$A:$E,5,FALSE))</f>
        <v/>
      </c>
      <c r="G76" s="21"/>
      <c r="H76" s="21"/>
      <c r="I76" s="21"/>
      <c r="J76" s="22"/>
      <c r="K76" s="21"/>
      <c r="L76" s="21"/>
      <c r="M76" s="21"/>
      <c r="N76" s="23" t="str">
        <f>IF(ISERROR(VLOOKUP(CONCATENATE($N$68,"_",M76),選手名簿!$A:$E,5,FALSE))=TRUE,"",VLOOKUP(CONCATENATE($N$68,"_",M76),選手名簿!$A:$E,5,FALSE))</f>
        <v/>
      </c>
      <c r="T76" s="19" t="s">
        <v>228</v>
      </c>
      <c r="U76" s="20" t="str">
        <f>IF(ISERROR(VLOOKUP(CONCATENATE($U$68,"_",V76),選手名簿!$A:$E,5,FALSE))=TRUE,"",VLOOKUP(CONCATENATE($U$68,"_",V76),選手名簿!$A:$E,5,FALSE))</f>
        <v/>
      </c>
      <c r="V76" s="21"/>
      <c r="W76" s="21"/>
      <c r="X76" s="21"/>
      <c r="Y76" s="22"/>
      <c r="Z76" s="21"/>
      <c r="AA76" s="21"/>
      <c r="AB76" s="21"/>
      <c r="AC76" s="23" t="str">
        <f>IF(ISERROR(VLOOKUP(CONCATENATE($AC$68,"_",AB76),選手名簿!$A:$E,5,FALSE))=TRUE,"",VLOOKUP(CONCATENATE($AC$68,"_",AB76),選手名簿!$A:$E,5,FALSE))</f>
        <v/>
      </c>
    </row>
    <row r="77" spans="1:29" ht="20.25" hidden="1" customHeight="1" x14ac:dyDescent="0.45">
      <c r="E77" s="19" t="s">
        <v>228</v>
      </c>
      <c r="F77" s="20" t="str">
        <f>IF(ISERROR(VLOOKUP(CONCATENATE($F$68,"_",G77),選手名簿!$A:$E,5,FALSE))=TRUE,"",VLOOKUP(CONCATENATE($F$68,"_",G77),選手名簿!$A:$E,5,FALSE))</f>
        <v/>
      </c>
      <c r="G77" s="21"/>
      <c r="H77" s="21"/>
      <c r="I77" s="21"/>
      <c r="J77" s="22"/>
      <c r="K77" s="21"/>
      <c r="L77" s="21"/>
      <c r="M77" s="21"/>
      <c r="N77" s="23" t="str">
        <f>IF(ISERROR(VLOOKUP(CONCATENATE($N$68,"_",M77),選手名簿!$A:$E,5,FALSE))=TRUE,"",VLOOKUP(CONCATENATE($N$68,"_",M77),選手名簿!$A:$E,5,FALSE))</f>
        <v/>
      </c>
      <c r="T77" s="19" t="s">
        <v>228</v>
      </c>
      <c r="U77" s="20" t="str">
        <f>IF(ISERROR(VLOOKUP(CONCATENATE($U$68,"_",V77),選手名簿!$A:$E,5,FALSE))=TRUE,"",VLOOKUP(CONCATENATE($U$68,"_",V77),選手名簿!$A:$E,5,FALSE))</f>
        <v/>
      </c>
      <c r="V77" s="21"/>
      <c r="W77" s="21"/>
      <c r="X77" s="21"/>
      <c r="Y77" s="22"/>
      <c r="Z77" s="21"/>
      <c r="AA77" s="21"/>
      <c r="AB77" s="21"/>
      <c r="AC77" s="23" t="str">
        <f>IF(ISERROR(VLOOKUP(CONCATENATE($AC$68,"_",AB77),選手名簿!$A:$E,5,FALSE))=TRUE,"",VLOOKUP(CONCATENATE($AC$68,"_",AB77),選手名簿!$A:$E,5,FALSE))</f>
        <v/>
      </c>
    </row>
    <row r="78" spans="1:29" ht="20.25" hidden="1" customHeight="1" x14ac:dyDescent="0.45">
      <c r="E78" s="19" t="s">
        <v>228</v>
      </c>
      <c r="F78" s="20" t="str">
        <f>IF(ISERROR(VLOOKUP(CONCATENATE($F$68,"_",G78),選手名簿!$A:$E,5,FALSE))=TRUE,"",VLOOKUP(CONCATENATE($F$68,"_",G78),選手名簿!$A:$E,5,FALSE))</f>
        <v/>
      </c>
      <c r="G78" s="21"/>
      <c r="H78" s="21"/>
      <c r="I78" s="21"/>
      <c r="J78" s="22"/>
      <c r="K78" s="21"/>
      <c r="L78" s="21"/>
      <c r="M78" s="21"/>
      <c r="N78" s="23" t="str">
        <f>IF(ISERROR(VLOOKUP(CONCATENATE($N$68,"_",M78),選手名簿!$A:$E,5,FALSE))=TRUE,"",VLOOKUP(CONCATENATE($N$68,"_",M78),選手名簿!$A:$E,5,FALSE))</f>
        <v/>
      </c>
      <c r="T78" s="19" t="s">
        <v>228</v>
      </c>
      <c r="U78" s="20" t="str">
        <f>IF(ISERROR(VLOOKUP(CONCATENATE($U$68,"_",V78),選手名簿!$A:$E,5,FALSE))=TRUE,"",VLOOKUP(CONCATENATE($U$68,"_",V78),選手名簿!$A:$E,5,FALSE))</f>
        <v/>
      </c>
      <c r="V78" s="21"/>
      <c r="W78" s="21"/>
      <c r="X78" s="21"/>
      <c r="Y78" s="22"/>
      <c r="Z78" s="21"/>
      <c r="AA78" s="21"/>
      <c r="AB78" s="21"/>
      <c r="AC78" s="23" t="str">
        <f>IF(ISERROR(VLOOKUP(CONCATENATE($AC$68,"_",AB78),選手名簿!$A:$E,5,FALSE))=TRUE,"",VLOOKUP(CONCATENATE($AC$68,"_",AB78),選手名簿!$A:$E,5,FALSE))</f>
        <v/>
      </c>
    </row>
    <row r="79" spans="1:29" ht="20.25" hidden="1" customHeight="1" x14ac:dyDescent="0.45">
      <c r="E79" s="19" t="s">
        <v>228</v>
      </c>
      <c r="F79" s="20" t="str">
        <f>IF(ISERROR(VLOOKUP(CONCATENATE($F$68,"_",G79),選手名簿!$A:$E,5,FALSE))=TRUE,"",VLOOKUP(CONCATENATE($F$68,"_",G79),選手名簿!$A:$E,5,FALSE))</f>
        <v/>
      </c>
      <c r="G79" s="21"/>
      <c r="H79" s="21"/>
      <c r="I79" s="21"/>
      <c r="J79" s="22"/>
      <c r="K79" s="21"/>
      <c r="L79" s="21"/>
      <c r="M79" s="21"/>
      <c r="N79" s="23" t="str">
        <f>IF(ISERROR(VLOOKUP(CONCATENATE($N$68,"_",M79),選手名簿!$A:$E,5,FALSE))=TRUE,"",VLOOKUP(CONCATENATE($N$68,"_",M79),選手名簿!$A:$E,5,FALSE))</f>
        <v/>
      </c>
      <c r="T79" s="19" t="s">
        <v>228</v>
      </c>
      <c r="U79" s="20" t="str">
        <f>IF(ISERROR(VLOOKUP(CONCATENATE($U$68,"_",V79),選手名簿!$A:$E,5,FALSE))=TRUE,"",VLOOKUP(CONCATENATE($U$68,"_",V79),選手名簿!$A:$E,5,FALSE))</f>
        <v/>
      </c>
      <c r="V79" s="21"/>
      <c r="W79" s="21"/>
      <c r="X79" s="21"/>
      <c r="Y79" s="22"/>
      <c r="Z79" s="21"/>
      <c r="AA79" s="21"/>
      <c r="AB79" s="21"/>
      <c r="AC79" s="23" t="str">
        <f>IF(ISERROR(VLOOKUP(CONCATENATE($AC$68,"_",AB79),選手名簿!$A:$E,5,FALSE))=TRUE,"",VLOOKUP(CONCATENATE($AC$68,"_",AB79),選手名簿!$A:$E,5,FALSE))</f>
        <v/>
      </c>
    </row>
    <row r="80" spans="1:29" ht="20.25" hidden="1" customHeight="1" x14ac:dyDescent="0.45">
      <c r="E80" s="19" t="s">
        <v>228</v>
      </c>
      <c r="F80" s="20" t="str">
        <f>IF(ISERROR(VLOOKUP(CONCATENATE($F$68,"_",G80),選手名簿!$A:$E,5,FALSE))=TRUE,"",VLOOKUP(CONCATENATE($F$68,"_",G80),選手名簿!$A:$E,5,FALSE))</f>
        <v/>
      </c>
      <c r="G80" s="21"/>
      <c r="H80" s="21"/>
      <c r="I80" s="21"/>
      <c r="J80" s="22"/>
      <c r="K80" s="21"/>
      <c r="L80" s="21"/>
      <c r="M80" s="21"/>
      <c r="N80" s="23" t="str">
        <f>IF(ISERROR(VLOOKUP(CONCATENATE($N$68,"_",M80),選手名簿!$A:$E,5,FALSE))=TRUE,"",VLOOKUP(CONCATENATE($N$68,"_",M80),選手名簿!$A:$E,5,FALSE))</f>
        <v/>
      </c>
      <c r="T80" s="19" t="s">
        <v>228</v>
      </c>
      <c r="U80" s="20" t="str">
        <f>IF(ISERROR(VLOOKUP(CONCATENATE($U$68,"_",V80),選手名簿!$A:$E,5,FALSE))=TRUE,"",VLOOKUP(CONCATENATE($U$68,"_",V80),選手名簿!$A:$E,5,FALSE))</f>
        <v/>
      </c>
      <c r="V80" s="21"/>
      <c r="W80" s="21"/>
      <c r="X80" s="21"/>
      <c r="Y80" s="22"/>
      <c r="Z80" s="21"/>
      <c r="AA80" s="21"/>
      <c r="AB80" s="21"/>
      <c r="AC80" s="23" t="str">
        <f>IF(ISERROR(VLOOKUP(CONCATENATE($AC$68,"_",AB80),選手名簿!$A:$E,5,FALSE))=TRUE,"",VLOOKUP(CONCATENATE($AC$68,"_",AB80),選手名簿!$A:$E,5,FALSE))</f>
        <v/>
      </c>
    </row>
    <row r="81" spans="1:29" ht="20.25" hidden="1" customHeight="1" thickBot="1" x14ac:dyDescent="0.6">
      <c r="E81" s="24" t="s">
        <v>228</v>
      </c>
      <c r="F81" s="25" t="str">
        <f>IF(ISERROR(VLOOKUP(CONCATENATE($F$68,"_",G81),選手名簿!$A:$E,5,FALSE))=TRUE,"",VLOOKUP(CONCATENATE($F$68,"_",G81),選手名簿!$A:$E,5,FALSE))</f>
        <v/>
      </c>
      <c r="G81" s="26"/>
      <c r="H81" s="26"/>
      <c r="I81" s="26"/>
      <c r="J81" s="27"/>
      <c r="K81" s="26"/>
      <c r="L81" s="26"/>
      <c r="M81" s="26"/>
      <c r="N81" s="28" t="str">
        <f>IF(ISERROR(VLOOKUP(CONCATENATE($N$68,"_",M81),選手名簿!$A:$E,5,FALSE))=TRUE,"",VLOOKUP(CONCATENATE($N$68,"_",M81),選手名簿!$A:$E,5,FALSE))</f>
        <v/>
      </c>
      <c r="T81" s="24" t="s">
        <v>228</v>
      </c>
      <c r="U81" s="25" t="str">
        <f>IF(ISERROR(VLOOKUP(CONCATENATE($U$68,"_",V81),選手名簿!$A:$E,5,FALSE))=TRUE,"",VLOOKUP(CONCATENATE($U$68,"_",V81),選手名簿!$A:$E,5,FALSE))</f>
        <v/>
      </c>
      <c r="V81" s="26"/>
      <c r="W81" s="26"/>
      <c r="X81" s="26"/>
      <c r="Y81" s="27"/>
      <c r="Z81" s="26"/>
      <c r="AA81" s="26"/>
      <c r="AB81" s="26"/>
      <c r="AC81" s="28" t="str">
        <f>IF(ISERROR(VLOOKUP(CONCATENATE($AC$68,"_",AB81),選手名簿!$A:$E,5,FALSE))=TRUE,"",VLOOKUP(CONCATENATE($AC$68,"_",AB81),選手名簿!$A:$E,5,FALSE))</f>
        <v/>
      </c>
    </row>
    <row r="82" spans="1:29" ht="20.25" customHeight="1" x14ac:dyDescent="0.45">
      <c r="A82" s="29" t="s">
        <v>226</v>
      </c>
      <c r="B82" s="774" t="s">
        <v>11843</v>
      </c>
      <c r="C82" s="774"/>
      <c r="D82" s="774"/>
      <c r="E82" s="19" t="s">
        <v>196</v>
      </c>
      <c r="F82" s="20" t="str">
        <f>IF(ISERROR(VLOOKUP(CONCATENATE($F$68,"_",G82),選手名簿!$A:$E,5,FALSE))=TRUE,"",VLOOKUP(CONCATENATE($F$68,"_",G82),選手名簿!$A:$E,5,FALSE))</f>
        <v/>
      </c>
      <c r="G82" s="21"/>
      <c r="H82" s="21"/>
      <c r="I82" s="21"/>
      <c r="J82" s="22"/>
      <c r="K82" s="21"/>
      <c r="L82" s="21"/>
      <c r="M82" s="21"/>
      <c r="N82" s="23" t="str">
        <f>IF(ISERROR(VLOOKUP(CONCATENATE($N$68,"_",M82),選手名簿!$A:$E,5,FALSE))=TRUE,"",VLOOKUP(CONCATENATE($N$68,"_",M82),選手名簿!$A:$E,5,FALSE))</f>
        <v/>
      </c>
      <c r="P82" s="29" t="s">
        <v>226</v>
      </c>
      <c r="Q82" s="774" t="s">
        <v>1191</v>
      </c>
      <c r="R82" s="774"/>
      <c r="S82" s="774"/>
      <c r="T82" s="19" t="s">
        <v>196</v>
      </c>
      <c r="U82" s="20" t="str">
        <f>IF(ISERROR(VLOOKUP(CONCATENATE($U$68,"_",V82),選手名簿!$A:$E,5,FALSE))=TRUE,"",VLOOKUP(CONCATENATE($U$68,"_",V82),選手名簿!$A:$E,5,FALSE))</f>
        <v/>
      </c>
      <c r="V82" s="21"/>
      <c r="W82" s="21"/>
      <c r="X82" s="21"/>
      <c r="Y82" s="22"/>
      <c r="Z82" s="21"/>
      <c r="AA82" s="21"/>
      <c r="AB82" s="21"/>
      <c r="AC82" s="23" t="str">
        <f>IF(ISERROR(VLOOKUP(CONCATENATE($AC$68,"_",AB82),選手名簿!$A:$E,5,FALSE))=TRUE,"",VLOOKUP(CONCATENATE($AC$68,"_",AB82),選手名簿!$A:$E,5,FALSE))</f>
        <v/>
      </c>
    </row>
    <row r="83" spans="1:29" ht="20.25" customHeight="1" x14ac:dyDescent="0.45">
      <c r="A83" s="83" t="s">
        <v>1959</v>
      </c>
      <c r="B83" s="769" t="str">
        <f>IF(ISERROR(VLOOKUP(B82,審判員!$A:$C,2,FALSE))=TRUE,"",VLOOKUP(B82,審判員!$A:$C,2,FALSE))</f>
        <v>矢羽田　崇</v>
      </c>
      <c r="C83" s="770"/>
      <c r="D83" s="83" t="str">
        <f>IF(ISERROR(VLOOKUP(B82,審判員!$A:$C,3,FALSE))=TRUE,"",VLOOKUP(B82,審判員!$A:$C,3,FALSE))</f>
        <v>２級</v>
      </c>
      <c r="E83" s="31" t="s">
        <v>196</v>
      </c>
      <c r="F83" s="32" t="str">
        <f>IF(ISERROR(VLOOKUP(CONCATENATE($F$68,"_",G83),選手名簿!$A:$E,5,FALSE))=TRUE,"",VLOOKUP(CONCATENATE($F$68,"_",G83),選手名簿!$A:$E,5,FALSE))</f>
        <v/>
      </c>
      <c r="G83" s="33"/>
      <c r="H83" s="33"/>
      <c r="I83" s="33"/>
      <c r="J83" s="22"/>
      <c r="K83" s="33"/>
      <c r="L83" s="33"/>
      <c r="M83" s="33"/>
      <c r="N83" s="34" t="str">
        <f>IF(ISERROR(VLOOKUP(CONCATENATE($N$68,"_",M83),選手名簿!$A:$E,5,FALSE))=TRUE,"",VLOOKUP(CONCATENATE($N$68,"_",M83),選手名簿!$A:$E,5,FALSE))</f>
        <v/>
      </c>
      <c r="P83" s="83" t="s">
        <v>1959</v>
      </c>
      <c r="Q83" s="769" t="str">
        <f>IF(ISERROR(VLOOKUP(Q82,審判員!$A:$C,2,FALSE))=TRUE,"",VLOOKUP(Q82,審判員!$A:$C,2,FALSE))</f>
        <v>佐藤　慎二</v>
      </c>
      <c r="R83" s="770"/>
      <c r="S83" s="83" t="str">
        <f>IF(ISERROR(VLOOKUP(Q82,審判員!$A:$C,3,FALSE))=TRUE,"",VLOOKUP(Q82,審判員!$A:$C,3,FALSE))</f>
        <v>３級</v>
      </c>
      <c r="T83" s="31" t="s">
        <v>196</v>
      </c>
      <c r="U83" s="32" t="str">
        <f>IF(ISERROR(VLOOKUP(CONCATENATE($U$68,"_",V83),選手名簿!$A:$E,5,FALSE))=TRUE,"",VLOOKUP(CONCATENATE($U$68,"_",V83),選手名簿!$A:$E,5,FALSE))</f>
        <v/>
      </c>
      <c r="V83" s="33"/>
      <c r="W83" s="33"/>
      <c r="X83" s="33"/>
      <c r="Y83" s="22"/>
      <c r="Z83" s="33"/>
      <c r="AA83" s="33"/>
      <c r="AB83" s="33"/>
      <c r="AC83" s="34" t="str">
        <f>IF(ISERROR(VLOOKUP(CONCATENATE($AC$68,"_",AB83),選手名簿!$A:$E,5,FALSE))=TRUE,"",VLOOKUP(CONCATENATE($AC$68,"_",AB83),選手名簿!$A:$E,5,FALSE))</f>
        <v/>
      </c>
    </row>
    <row r="84" spans="1:29" ht="20.25" customHeight="1" x14ac:dyDescent="0.45">
      <c r="A84" s="29" t="s">
        <v>226</v>
      </c>
      <c r="B84" s="771" t="s">
        <v>11871</v>
      </c>
      <c r="C84" s="771"/>
      <c r="D84" s="772"/>
      <c r="E84" s="31" t="s">
        <v>196</v>
      </c>
      <c r="F84" s="32" t="str">
        <f>IF(ISERROR(VLOOKUP(CONCATENATE($F$68,"_",G84),選手名簿!$A:$E,5,FALSE))=TRUE,"",VLOOKUP(CONCATENATE($F$68,"_",G84),選手名簿!$A:$E,5,FALSE))</f>
        <v/>
      </c>
      <c r="G84" s="33"/>
      <c r="H84" s="33"/>
      <c r="I84" s="33"/>
      <c r="J84" s="22"/>
      <c r="K84" s="33"/>
      <c r="L84" s="33"/>
      <c r="M84" s="33"/>
      <c r="N84" s="34" t="str">
        <f>IF(ISERROR(VLOOKUP(CONCATENATE($N$68,"_",M84),選手名簿!$A:$E,5,FALSE))=TRUE,"",VLOOKUP(CONCATENATE($N$68,"_",M84),選手名簿!$A:$E,5,FALSE))</f>
        <v/>
      </c>
      <c r="P84" s="29" t="s">
        <v>226</v>
      </c>
      <c r="Q84" s="771" t="s">
        <v>11867</v>
      </c>
      <c r="R84" s="771"/>
      <c r="S84" s="772"/>
      <c r="T84" s="31" t="s">
        <v>196</v>
      </c>
      <c r="U84" s="32" t="str">
        <f>IF(ISERROR(VLOOKUP(CONCATENATE($U$68,"_",V84),選手名簿!$A:$E,5,FALSE))=TRUE,"",VLOOKUP(CONCATENATE($U$68,"_",V84),選手名簿!$A:$E,5,FALSE))</f>
        <v/>
      </c>
      <c r="V84" s="33"/>
      <c r="W84" s="33"/>
      <c r="X84" s="33"/>
      <c r="Y84" s="22"/>
      <c r="Z84" s="33"/>
      <c r="AA84" s="33"/>
      <c r="AB84" s="33"/>
      <c r="AC84" s="34" t="str">
        <f>IF(ISERROR(VLOOKUP(CONCATENATE($AC$68,"_",AB84),選手名簿!$A:$E,5,FALSE))=TRUE,"",VLOOKUP(CONCATENATE($AC$68,"_",AB84),選手名簿!$A:$E,5,FALSE))</f>
        <v/>
      </c>
    </row>
    <row r="85" spans="1:29" ht="20.25" customHeight="1" x14ac:dyDescent="0.45">
      <c r="A85" s="83" t="s">
        <v>1966</v>
      </c>
      <c r="B85" s="769" t="str">
        <f>IF(ISERROR(VLOOKUP(B84,審判員!$A:$C,2,FALSE))=TRUE,"",VLOOKUP(B84,審判員!$A:$C,2,FALSE))</f>
        <v>上原　成貴</v>
      </c>
      <c r="C85" s="770"/>
      <c r="D85" s="83" t="str">
        <f>IF(ISERROR(VLOOKUP(B84,審判員!$A:$C,3,FALSE))=TRUE,"",VLOOKUP(B84,審判員!$A:$C,3,FALSE))</f>
        <v>３級</v>
      </c>
      <c r="E85" s="31" t="s">
        <v>196</v>
      </c>
      <c r="F85" s="32" t="str">
        <f>IF(ISERROR(VLOOKUP(CONCATENATE($F$68,"_",G85),選手名簿!$A:$E,5,FALSE))=TRUE,"",VLOOKUP(CONCATENATE($F$68,"_",G85),選手名簿!$A:$E,5,FALSE))</f>
        <v/>
      </c>
      <c r="G85" s="33"/>
      <c r="H85" s="33"/>
      <c r="I85" s="33"/>
      <c r="J85" s="22"/>
      <c r="K85" s="33"/>
      <c r="L85" s="33"/>
      <c r="M85" s="33"/>
      <c r="N85" s="34" t="str">
        <f>IF(ISERROR(VLOOKUP(CONCATENATE($N$68,"_",M85),選手名簿!$A:$E,5,FALSE))=TRUE,"",VLOOKUP(CONCATENATE($N$68,"_",M85),選手名簿!$A:$E,5,FALSE))</f>
        <v/>
      </c>
      <c r="P85" s="83" t="s">
        <v>1966</v>
      </c>
      <c r="Q85" s="769" t="str">
        <f>IF(ISERROR(VLOOKUP(Q84,審判員!$A:$C,2,FALSE))=TRUE,"",VLOOKUP(Q84,審判員!$A:$C,2,FALSE))</f>
        <v>羽田野　亘</v>
      </c>
      <c r="R85" s="770"/>
      <c r="S85" s="83" t="str">
        <f>IF(ISERROR(VLOOKUP(Q84,審判員!$A:$C,3,FALSE))=TRUE,"",VLOOKUP(Q84,審判員!$A:$C,3,FALSE))</f>
        <v>３級</v>
      </c>
      <c r="T85" s="31" t="s">
        <v>196</v>
      </c>
      <c r="U85" s="32" t="str">
        <f>IF(ISERROR(VLOOKUP(CONCATENATE($U$68,"_",V85),選手名簿!$A:$E,5,FALSE))=TRUE,"",VLOOKUP(CONCATENATE($U$68,"_",V85),選手名簿!$A:$E,5,FALSE))</f>
        <v/>
      </c>
      <c r="V85" s="33"/>
      <c r="W85" s="33"/>
      <c r="X85" s="33"/>
      <c r="Y85" s="22"/>
      <c r="Z85" s="33"/>
      <c r="AA85" s="33"/>
      <c r="AB85" s="33"/>
      <c r="AC85" s="34" t="str">
        <f>IF(ISERROR(VLOOKUP(CONCATENATE($AC$68,"_",AB85),選手名簿!$A:$E,5,FALSE))=TRUE,"",VLOOKUP(CONCATENATE($AC$68,"_",AB85),選手名簿!$A:$E,5,FALSE))</f>
        <v/>
      </c>
    </row>
    <row r="86" spans="1:29" ht="20.25" customHeight="1" x14ac:dyDescent="0.45">
      <c r="A86" s="29" t="s">
        <v>226</v>
      </c>
      <c r="B86" s="771" t="s">
        <v>11847</v>
      </c>
      <c r="C86" s="771"/>
      <c r="D86" s="772"/>
      <c r="E86" s="31" t="s">
        <v>196</v>
      </c>
      <c r="F86" s="32" t="str">
        <f>IF(ISERROR(VLOOKUP(CONCATENATE($F$68,"_",G86),選手名簿!$A:$E,5,FALSE))=TRUE,"",VLOOKUP(CONCATENATE($F$68,"_",G86),選手名簿!$A:$E,5,FALSE))</f>
        <v/>
      </c>
      <c r="G86" s="33"/>
      <c r="H86" s="33"/>
      <c r="I86" s="33"/>
      <c r="J86" s="22"/>
      <c r="K86" s="33"/>
      <c r="L86" s="33"/>
      <c r="M86" s="33"/>
      <c r="N86" s="34" t="str">
        <f>IF(ISERROR(VLOOKUP(CONCATENATE($N$68,"_",M86),選手名簿!$A:$E,5,FALSE))=TRUE,"",VLOOKUP(CONCATENATE($N$68,"_",M86),選手名簿!$A:$E,5,FALSE))</f>
        <v/>
      </c>
      <c r="P86" s="29" t="s">
        <v>226</v>
      </c>
      <c r="Q86" s="771" t="s">
        <v>11857</v>
      </c>
      <c r="R86" s="771"/>
      <c r="S86" s="772"/>
      <c r="T86" s="31" t="s">
        <v>196</v>
      </c>
      <c r="U86" s="32" t="str">
        <f>IF(ISERROR(VLOOKUP(CONCATENATE($U$68,"_",V86),選手名簿!$A:$E,5,FALSE))=TRUE,"",VLOOKUP(CONCATENATE($U$68,"_",V86),選手名簿!$A:$E,5,FALSE))</f>
        <v/>
      </c>
      <c r="V86" s="33"/>
      <c r="W86" s="33"/>
      <c r="X86" s="33"/>
      <c r="Y86" s="22"/>
      <c r="Z86" s="33"/>
      <c r="AA86" s="33"/>
      <c r="AB86" s="33"/>
      <c r="AC86" s="34" t="str">
        <f>IF(ISERROR(VLOOKUP(CONCATENATE($AC$68,"_",AB86),選手名簿!$A:$E,5,FALSE))=TRUE,"",VLOOKUP(CONCATENATE($AC$68,"_",AB86),選手名簿!$A:$E,5,FALSE))</f>
        <v/>
      </c>
    </row>
    <row r="87" spans="1:29" ht="20.25" customHeight="1" x14ac:dyDescent="0.45">
      <c r="A87" s="83" t="s">
        <v>1967</v>
      </c>
      <c r="B87" s="769" t="str">
        <f>IF(ISERROR(VLOOKUP(B86,審判員!$A:$C,2,FALSE))=TRUE,"",VLOOKUP(B86,審判員!$A:$C,2,FALSE))</f>
        <v>朝比奈　義行</v>
      </c>
      <c r="C87" s="770"/>
      <c r="D87" s="83" t="str">
        <f>IF(ISERROR(VLOOKUP(B86,審判員!$A:$C,3,FALSE))=TRUE,"",VLOOKUP(B86,審判員!$A:$C,3,FALSE))</f>
        <v>３級</v>
      </c>
      <c r="E87" s="31" t="s">
        <v>196</v>
      </c>
      <c r="F87" s="32" t="str">
        <f>IF(ISERROR(VLOOKUP(CONCATENATE($F$68,"_",G87),選手名簿!$A:$E,5,FALSE))=TRUE,"",VLOOKUP(CONCATENATE($F$68,"_",G87),選手名簿!$A:$E,5,FALSE))</f>
        <v/>
      </c>
      <c r="G87" s="33"/>
      <c r="H87" s="33"/>
      <c r="I87" s="33"/>
      <c r="J87" s="22"/>
      <c r="K87" s="33"/>
      <c r="L87" s="33"/>
      <c r="M87" s="33"/>
      <c r="N87" s="34" t="str">
        <f>IF(ISERROR(VLOOKUP(CONCATENATE($N$68,"_",M87),選手名簿!$A:$E,5,FALSE))=TRUE,"",VLOOKUP(CONCATENATE($N$68,"_",M87),選手名簿!$A:$E,5,FALSE))</f>
        <v/>
      </c>
      <c r="P87" s="83" t="s">
        <v>1967</v>
      </c>
      <c r="Q87" s="769" t="str">
        <f>IF(ISERROR(VLOOKUP(Q86,審判員!$A:$C,2,FALSE))=TRUE,"",VLOOKUP(Q86,審判員!$A:$C,2,FALSE))</f>
        <v>川端　大翔</v>
      </c>
      <c r="R87" s="770"/>
      <c r="S87" s="83" t="str">
        <f>IF(ISERROR(VLOOKUP(Q86,審判員!$A:$C,3,FALSE))=TRUE,"",VLOOKUP(Q86,審判員!$A:$C,3,FALSE))</f>
        <v>３級</v>
      </c>
      <c r="T87" s="31" t="s">
        <v>196</v>
      </c>
      <c r="U87" s="32" t="str">
        <f>IF(ISERROR(VLOOKUP(CONCATENATE($U$68,"_",V87),選手名簿!$A:$E,5,FALSE))=TRUE,"",VLOOKUP(CONCATENATE($U$68,"_",V87),選手名簿!$A:$E,5,FALSE))</f>
        <v/>
      </c>
      <c r="V87" s="33"/>
      <c r="W87" s="33"/>
      <c r="X87" s="33"/>
      <c r="Y87" s="22"/>
      <c r="Z87" s="33"/>
      <c r="AA87" s="33"/>
      <c r="AB87" s="33"/>
      <c r="AC87" s="34" t="str">
        <f>IF(ISERROR(VLOOKUP(CONCATENATE($AC$68,"_",AB87),選手名簿!$A:$E,5,FALSE))=TRUE,"",VLOOKUP(CONCATENATE($AC$68,"_",AB87),選手名簿!$A:$E,5,FALSE))</f>
        <v/>
      </c>
    </row>
    <row r="88" spans="1:29" ht="20.25" customHeight="1" x14ac:dyDescent="0.45">
      <c r="A88" s="29" t="s">
        <v>226</v>
      </c>
      <c r="B88" s="774" t="s">
        <v>1191</v>
      </c>
      <c r="C88" s="774"/>
      <c r="D88" s="774"/>
      <c r="E88" s="31" t="s">
        <v>196</v>
      </c>
      <c r="F88" s="32" t="str">
        <f>IF(ISERROR(VLOOKUP(CONCATENATE($F$68,"_",G88),選手名簿!$A:$E,5,FALSE))=TRUE,"",VLOOKUP(CONCATENATE($F$68,"_",G88),選手名簿!$A:$E,5,FALSE))</f>
        <v/>
      </c>
      <c r="G88" s="33"/>
      <c r="H88" s="33"/>
      <c r="I88" s="33"/>
      <c r="J88" s="22"/>
      <c r="K88" s="33"/>
      <c r="L88" s="33"/>
      <c r="M88" s="33"/>
      <c r="N88" s="34" t="str">
        <f>IF(ISERROR(VLOOKUP(CONCATENATE($N$68,"_",M88),選手名簿!$A:$E,5,FALSE))=TRUE,"",VLOOKUP(CONCATENATE($N$68,"_",M88),選手名簿!$A:$E,5,FALSE))</f>
        <v/>
      </c>
      <c r="P88" s="29" t="s">
        <v>226</v>
      </c>
      <c r="Q88" s="774" t="s">
        <v>11844</v>
      </c>
      <c r="R88" s="774"/>
      <c r="S88" s="774"/>
      <c r="T88" s="31" t="s">
        <v>196</v>
      </c>
      <c r="U88" s="32" t="str">
        <f>IF(ISERROR(VLOOKUP(CONCATENATE($U$68,"_",V88),選手名簿!$A:$E,5,FALSE))=TRUE,"",VLOOKUP(CONCATENATE($U$68,"_",V88),選手名簿!$A:$E,5,FALSE))</f>
        <v/>
      </c>
      <c r="V88" s="33"/>
      <c r="W88" s="33"/>
      <c r="X88" s="33"/>
      <c r="Y88" s="22"/>
      <c r="Z88" s="33"/>
      <c r="AA88" s="33"/>
      <c r="AB88" s="33"/>
      <c r="AC88" s="34" t="str">
        <f>IF(ISERROR(VLOOKUP(CONCATENATE($AC$68,"_",AB88),選手名簿!$A:$E,5,FALSE))=TRUE,"",VLOOKUP(CONCATENATE($AC$68,"_",AB88),選手名簿!$A:$E,5,FALSE))</f>
        <v/>
      </c>
    </row>
    <row r="89" spans="1:29" ht="20.25" customHeight="1" thickBot="1" x14ac:dyDescent="0.6">
      <c r="A89" s="83" t="s">
        <v>1968</v>
      </c>
      <c r="B89" s="769" t="str">
        <f>IF(ISERROR(VLOOKUP(B88,審判員!$A:$C,2,FALSE))=TRUE,"",VLOOKUP(B88,審判員!$A:$C,2,FALSE))</f>
        <v>佐藤　慎二</v>
      </c>
      <c r="C89" s="770"/>
      <c r="D89" s="83" t="str">
        <f>IF(ISERROR(VLOOKUP(B88,審判員!$A:$C,3,FALSE))=TRUE,"",VLOOKUP(B88,審判員!$A:$C,3,FALSE))</f>
        <v>３級</v>
      </c>
      <c r="E89" s="35" t="s">
        <v>196</v>
      </c>
      <c r="F89" s="36" t="str">
        <f>IF(ISERROR(VLOOKUP(CONCATENATE($F$68,"_",G89),選手名簿!$A:$E,5,FALSE))=TRUE,"",VLOOKUP(CONCATENATE($F$68,"_",G89),選手名簿!$A:$E,5,FALSE))</f>
        <v/>
      </c>
      <c r="G89" s="37"/>
      <c r="H89" s="37"/>
      <c r="I89" s="37"/>
      <c r="J89" s="27"/>
      <c r="K89" s="37"/>
      <c r="L89" s="37"/>
      <c r="M89" s="37"/>
      <c r="N89" s="38" t="str">
        <f>IF(ISERROR(VLOOKUP(CONCATENATE($N$68,"_",M89),選手名簿!$A:$E,5,FALSE))=TRUE,"",VLOOKUP(CONCATENATE($N$68,"_",M89),選手名簿!$A:$E,5,FALSE))</f>
        <v/>
      </c>
      <c r="P89" s="83" t="s">
        <v>1968</v>
      </c>
      <c r="Q89" s="769" t="str">
        <f>IF(ISERROR(VLOOKUP(Q88,審判員!$A:$C,2,FALSE))=TRUE,"",VLOOKUP(Q88,審判員!$A:$C,2,FALSE))</f>
        <v>隅田　哲平</v>
      </c>
      <c r="R89" s="770"/>
      <c r="S89" s="83" t="str">
        <f>IF(ISERROR(VLOOKUP(Q88,審判員!$A:$C,3,FALSE))=TRUE,"",VLOOKUP(Q88,審判員!$A:$C,3,FALSE))</f>
        <v>３級</v>
      </c>
      <c r="T89" s="35" t="s">
        <v>196</v>
      </c>
      <c r="U89" s="36" t="str">
        <f>IF(ISERROR(VLOOKUP(CONCATENATE($U$68,"_",V89),選手名簿!$A:$E,5,FALSE))=TRUE,"",VLOOKUP(CONCATENATE($U$68,"_",V89),選手名簿!$A:$E,5,FALSE))</f>
        <v/>
      </c>
      <c r="V89" s="37"/>
      <c r="W89" s="37"/>
      <c r="X89" s="37"/>
      <c r="Y89" s="27"/>
      <c r="Z89" s="37"/>
      <c r="AA89" s="37"/>
      <c r="AB89" s="37"/>
      <c r="AC89" s="38" t="str">
        <f>IF(ISERROR(VLOOKUP(CONCATENATE($AC$68,"_",AB89),選手名簿!$A:$E,5,FALSE))=TRUE,"",VLOOKUP(CONCATENATE($AC$68,"_",AB89),選手名簿!$A:$E,5,FALSE))</f>
        <v/>
      </c>
    </row>
  </sheetData>
  <mergeCells count="130">
    <mergeCell ref="M39:M41"/>
    <mergeCell ref="Z1:AC1"/>
    <mergeCell ref="AA10:AA12"/>
    <mergeCell ref="AB10:AB12"/>
    <mergeCell ref="AC10:AC12"/>
    <mergeCell ref="V10:V12"/>
    <mergeCell ref="U7:AA7"/>
    <mergeCell ref="AB5:AC5"/>
    <mergeCell ref="AB6:AC6"/>
    <mergeCell ref="U5:AA5"/>
    <mergeCell ref="U6:AA6"/>
    <mergeCell ref="AB7:AC7"/>
    <mergeCell ref="U10:U12"/>
    <mergeCell ref="W10:W12"/>
    <mergeCell ref="A1:J1"/>
    <mergeCell ref="K1:N1"/>
    <mergeCell ref="N10:N12"/>
    <mergeCell ref="B24:D24"/>
    <mergeCell ref="B25:C25"/>
    <mergeCell ref="B26:D26"/>
    <mergeCell ref="F7:L7"/>
    <mergeCell ref="Q24:S24"/>
    <mergeCell ref="Q25:R25"/>
    <mergeCell ref="Q26:S26"/>
    <mergeCell ref="E10:E12"/>
    <mergeCell ref="F10:F12"/>
    <mergeCell ref="M7:N7"/>
    <mergeCell ref="A13:D13"/>
    <mergeCell ref="P13:S13"/>
    <mergeCell ref="P1:Y1"/>
    <mergeCell ref="B10:D10"/>
    <mergeCell ref="B11:D11"/>
    <mergeCell ref="B12:D12"/>
    <mergeCell ref="Q10:S10"/>
    <mergeCell ref="Q11:S11"/>
    <mergeCell ref="Q12:S12"/>
    <mergeCell ref="B27:C27"/>
    <mergeCell ref="Q27:R27"/>
    <mergeCell ref="B28:D28"/>
    <mergeCell ref="Q28:S28"/>
    <mergeCell ref="B29:C29"/>
    <mergeCell ref="Q29:R29"/>
    <mergeCell ref="W39:W41"/>
    <mergeCell ref="M5:N5"/>
    <mergeCell ref="F5:L5"/>
    <mergeCell ref="F6:L6"/>
    <mergeCell ref="M6:N6"/>
    <mergeCell ref="G10:G12"/>
    <mergeCell ref="H10:H12"/>
    <mergeCell ref="L10:L12"/>
    <mergeCell ref="M10:M12"/>
    <mergeCell ref="T10:T12"/>
    <mergeCell ref="B30:D30"/>
    <mergeCell ref="Q30:S30"/>
    <mergeCell ref="B31:C31"/>
    <mergeCell ref="Q31:R31"/>
    <mergeCell ref="E39:E41"/>
    <mergeCell ref="F39:F41"/>
    <mergeCell ref="G39:G41"/>
    <mergeCell ref="H39:H41"/>
    <mergeCell ref="AB68:AB70"/>
    <mergeCell ref="AC68:AC70"/>
    <mergeCell ref="W68:W70"/>
    <mergeCell ref="V68:V70"/>
    <mergeCell ref="AB39:AB41"/>
    <mergeCell ref="AC39:AC41"/>
    <mergeCell ref="B53:D53"/>
    <mergeCell ref="Q53:S53"/>
    <mergeCell ref="B54:C54"/>
    <mergeCell ref="Q54:R54"/>
    <mergeCell ref="N39:N41"/>
    <mergeCell ref="T39:T41"/>
    <mergeCell ref="U39:U41"/>
    <mergeCell ref="V39:V41"/>
    <mergeCell ref="A42:D42"/>
    <mergeCell ref="P42:S42"/>
    <mergeCell ref="AA39:AA41"/>
    <mergeCell ref="Q39:S39"/>
    <mergeCell ref="Q40:S40"/>
    <mergeCell ref="Q41:S41"/>
    <mergeCell ref="B39:D39"/>
    <mergeCell ref="B40:D40"/>
    <mergeCell ref="B41:D41"/>
    <mergeCell ref="L39:L41"/>
    <mergeCell ref="Q68:S68"/>
    <mergeCell ref="Q69:S69"/>
    <mergeCell ref="Q70:S70"/>
    <mergeCell ref="AA68:AA70"/>
    <mergeCell ref="E68:E70"/>
    <mergeCell ref="F68:F70"/>
    <mergeCell ref="G68:G70"/>
    <mergeCell ref="H68:H70"/>
    <mergeCell ref="L68:L70"/>
    <mergeCell ref="M68:M70"/>
    <mergeCell ref="B89:C89"/>
    <mergeCell ref="Q89:R89"/>
    <mergeCell ref="B82:D82"/>
    <mergeCell ref="Q82:S82"/>
    <mergeCell ref="B83:C83"/>
    <mergeCell ref="Q83:R83"/>
    <mergeCell ref="N68:N70"/>
    <mergeCell ref="T68:T70"/>
    <mergeCell ref="U68:U70"/>
    <mergeCell ref="B85:C85"/>
    <mergeCell ref="Q85:R85"/>
    <mergeCell ref="B86:D86"/>
    <mergeCell ref="Q86:S86"/>
    <mergeCell ref="B87:C87"/>
    <mergeCell ref="Q87:R87"/>
    <mergeCell ref="B88:D88"/>
    <mergeCell ref="Q88:S88"/>
    <mergeCell ref="B84:D84"/>
    <mergeCell ref="Q84:S84"/>
    <mergeCell ref="A71:D71"/>
    <mergeCell ref="P71:S71"/>
    <mergeCell ref="B68:D68"/>
    <mergeCell ref="B69:D69"/>
    <mergeCell ref="B70:D70"/>
    <mergeCell ref="B60:C60"/>
    <mergeCell ref="Q60:R60"/>
    <mergeCell ref="B55:D55"/>
    <mergeCell ref="Q55:S55"/>
    <mergeCell ref="B56:C56"/>
    <mergeCell ref="Q56:R56"/>
    <mergeCell ref="B57:D57"/>
    <mergeCell ref="Q57:S57"/>
    <mergeCell ref="B58:C58"/>
    <mergeCell ref="Q58:R58"/>
    <mergeCell ref="B59:D59"/>
    <mergeCell ref="Q59:S59"/>
  </mergeCells>
  <phoneticPr fontId="5"/>
  <printOptions horizontalCentered="1" verticalCentered="1"/>
  <pageMargins left="0" right="0" top="0" bottom="0" header="0.51181102362204722" footer="0.51181102362204722"/>
  <pageSetup paperSize="9" scale="4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275EA215-950C-4A39-BAD2-6A95C60C99B5}">
          <x14:formula1>
            <xm:f>項目!$G$1:$G$33</xm:f>
          </x14:formula1>
          <xm:sqref>B10:D12 B68:D70 Q68:S70 Q39:S41 B39:D41 Q10:S12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AI62"/>
  <sheetViews>
    <sheetView tabSelected="1" zoomScale="55" zoomScaleNormal="55" zoomScaleSheetLayoutView="75" workbookViewId="0">
      <selection activeCell="A2" sqref="A2"/>
    </sheetView>
  </sheetViews>
  <sheetFormatPr defaultColWidth="7.6328125" defaultRowHeight="30" customHeight="1" x14ac:dyDescent="0.45"/>
  <cols>
    <col min="1" max="20" width="7.6328125" style="178"/>
    <col min="21" max="35" width="9" style="178" customWidth="1"/>
    <col min="36" max="16384" width="7.6328125" style="178"/>
  </cols>
  <sheetData>
    <row r="1" spans="2:35" ht="30" customHeight="1" x14ac:dyDescent="0.45">
      <c r="B1" s="224" t="s">
        <v>10</v>
      </c>
      <c r="H1" s="224" t="s">
        <v>8451</v>
      </c>
      <c r="M1" s="338" t="s">
        <v>1971</v>
      </c>
      <c r="X1" s="812" t="s">
        <v>8445</v>
      </c>
      <c r="Y1" s="813"/>
      <c r="Z1" s="813"/>
      <c r="AA1" s="813"/>
      <c r="AB1" s="813"/>
      <c r="AC1" s="813"/>
      <c r="AD1" s="813"/>
      <c r="AE1" s="813"/>
      <c r="AF1" s="813"/>
      <c r="AG1" s="813"/>
      <c r="AH1" s="813"/>
      <c r="AI1" s="814"/>
    </row>
    <row r="2" spans="2:35" ht="30" customHeight="1" thickBot="1" x14ac:dyDescent="0.6">
      <c r="C2" s="225"/>
      <c r="X2" s="815"/>
      <c r="Y2" s="816"/>
      <c r="Z2" s="816"/>
      <c r="AA2" s="816"/>
      <c r="AB2" s="816"/>
      <c r="AC2" s="816"/>
      <c r="AD2" s="816"/>
      <c r="AE2" s="816"/>
      <c r="AF2" s="816"/>
      <c r="AG2" s="816"/>
      <c r="AH2" s="816"/>
      <c r="AI2" s="817"/>
    </row>
    <row r="3" spans="2:35" ht="30" customHeight="1" x14ac:dyDescent="0.45">
      <c r="E3" s="856" t="s">
        <v>2091</v>
      </c>
      <c r="F3" s="857"/>
      <c r="G3" s="848" t="s">
        <v>11900</v>
      </c>
      <c r="H3" s="849"/>
      <c r="I3" s="849"/>
      <c r="J3" s="849"/>
      <c r="K3" s="849"/>
      <c r="L3" s="850"/>
      <c r="M3" s="257"/>
      <c r="N3" s="854" t="s">
        <v>79</v>
      </c>
      <c r="O3" s="854"/>
      <c r="V3" s="855" t="s">
        <v>19</v>
      </c>
      <c r="W3" s="844"/>
      <c r="X3" s="609" t="s">
        <v>5830</v>
      </c>
      <c r="Y3" s="610"/>
      <c r="Z3" s="610"/>
      <c r="AA3" s="610"/>
      <c r="AB3" s="610"/>
      <c r="AC3" s="611"/>
      <c r="AD3" s="806" t="s">
        <v>5831</v>
      </c>
      <c r="AE3" s="807"/>
      <c r="AF3" s="807"/>
      <c r="AG3" s="807"/>
      <c r="AH3" s="807"/>
      <c r="AI3" s="808"/>
    </row>
    <row r="4" spans="2:35" ht="30" customHeight="1" thickBot="1" x14ac:dyDescent="0.6">
      <c r="B4" s="338"/>
      <c r="I4" s="490"/>
      <c r="J4" s="457"/>
      <c r="K4" s="257"/>
      <c r="L4" s="257"/>
      <c r="M4" s="257"/>
      <c r="N4" s="492" t="s">
        <v>11917</v>
      </c>
      <c r="O4" s="350"/>
      <c r="P4" s="350"/>
      <c r="Q4" s="350"/>
      <c r="R4" s="350"/>
      <c r="S4" s="350"/>
      <c r="V4" s="855"/>
      <c r="W4" s="844"/>
      <c r="X4" s="803"/>
      <c r="Y4" s="804"/>
      <c r="Z4" s="804"/>
      <c r="AA4" s="804"/>
      <c r="AB4" s="804"/>
      <c r="AC4" s="805"/>
      <c r="AD4" s="809"/>
      <c r="AE4" s="810"/>
      <c r="AF4" s="810"/>
      <c r="AG4" s="810"/>
      <c r="AH4" s="810"/>
      <c r="AI4" s="811"/>
    </row>
    <row r="5" spans="2:35" ht="30" customHeight="1" x14ac:dyDescent="0.45">
      <c r="B5" s="338"/>
      <c r="I5" s="826" t="str">
        <f>AF27</f>
        <v>Match No：33
1 前半 1
2 後半 0</v>
      </c>
      <c r="J5" s="827"/>
      <c r="K5" s="257"/>
      <c r="L5" s="257"/>
      <c r="M5" s="257"/>
      <c r="P5" s="340"/>
      <c r="Q5" s="340"/>
      <c r="R5" s="340"/>
      <c r="S5" s="340"/>
      <c r="V5" s="846" t="s">
        <v>3254</v>
      </c>
      <c r="W5" s="847"/>
      <c r="X5" s="238"/>
      <c r="Y5" s="343"/>
      <c r="AA5" s="343"/>
      <c r="AB5" s="343"/>
      <c r="AC5" s="358"/>
      <c r="AD5" s="238"/>
      <c r="AE5" s="343"/>
      <c r="AG5" s="343"/>
      <c r="AH5" s="343"/>
      <c r="AI5" s="358"/>
    </row>
    <row r="6" spans="2:35" ht="30" customHeight="1" thickBot="1" x14ac:dyDescent="0.6">
      <c r="B6" s="338"/>
      <c r="I6" s="828"/>
      <c r="J6" s="829"/>
      <c r="K6" s="257"/>
      <c r="L6" s="257"/>
      <c r="M6" s="257"/>
      <c r="N6" s="854" t="s">
        <v>80</v>
      </c>
      <c r="O6" s="854"/>
      <c r="V6" s="844"/>
      <c r="W6" s="845"/>
      <c r="X6" s="351"/>
      <c r="Y6" s="352"/>
      <c r="Z6" s="352"/>
      <c r="AA6" s="352"/>
      <c r="AB6" s="352"/>
      <c r="AC6" s="353"/>
      <c r="AD6" s="351"/>
      <c r="AE6" s="352"/>
      <c r="AF6" s="352"/>
      <c r="AG6" s="352"/>
      <c r="AH6" s="352"/>
      <c r="AI6" s="353"/>
    </row>
    <row r="7" spans="2:35" ht="30" customHeight="1" x14ac:dyDescent="0.45">
      <c r="B7" s="338"/>
      <c r="I7" s="828"/>
      <c r="J7" s="829"/>
      <c r="K7" s="257"/>
      <c r="L7" s="257"/>
      <c r="M7" s="257"/>
      <c r="N7" s="492" t="s">
        <v>11911</v>
      </c>
      <c r="P7" s="350"/>
      <c r="Q7" s="350"/>
      <c r="R7" s="350"/>
      <c r="S7" s="350"/>
      <c r="V7" s="844" t="s">
        <v>20</v>
      </c>
      <c r="W7" s="845"/>
      <c r="X7" s="354"/>
      <c r="Y7" s="355"/>
      <c r="Z7" s="356"/>
      <c r="AA7" s="355"/>
      <c r="AB7" s="355"/>
      <c r="AC7" s="357"/>
      <c r="AD7" s="336"/>
      <c r="AE7" s="356"/>
      <c r="AF7" s="356"/>
      <c r="AG7" s="356"/>
      <c r="AH7" s="355"/>
      <c r="AI7" s="357"/>
    </row>
    <row r="8" spans="2:35" ht="30" customHeight="1" thickBot="1" x14ac:dyDescent="0.6">
      <c r="B8" s="338"/>
      <c r="I8" s="830"/>
      <c r="J8" s="831"/>
      <c r="K8" s="257"/>
      <c r="L8" s="257"/>
      <c r="M8" s="257"/>
      <c r="N8" s="492" t="s">
        <v>11913</v>
      </c>
      <c r="P8" s="350"/>
      <c r="Q8" s="350"/>
      <c r="R8" s="350"/>
      <c r="S8" s="350"/>
      <c r="V8" s="844"/>
      <c r="W8" s="845"/>
      <c r="X8" s="351"/>
      <c r="Y8" s="352"/>
      <c r="Z8" s="352"/>
      <c r="AA8" s="352"/>
      <c r="AB8" s="352"/>
      <c r="AC8" s="353"/>
      <c r="AD8" s="351"/>
      <c r="AE8" s="352"/>
      <c r="AF8" s="352"/>
      <c r="AG8" s="352"/>
      <c r="AH8" s="352"/>
      <c r="AI8" s="353"/>
    </row>
    <row r="9" spans="2:35" ht="30" customHeight="1" thickBot="1" x14ac:dyDescent="0.6">
      <c r="B9" s="225"/>
      <c r="E9" s="339"/>
      <c r="F9" s="476"/>
      <c r="G9" s="491"/>
      <c r="H9" s="491"/>
      <c r="I9" s="485"/>
      <c r="J9" s="457"/>
      <c r="K9" s="257"/>
      <c r="L9" s="257"/>
      <c r="M9" s="340"/>
      <c r="U9" s="851" t="s">
        <v>177</v>
      </c>
      <c r="V9" s="852">
        <v>0.39583333333333331</v>
      </c>
      <c r="W9" s="853"/>
      <c r="X9" s="858" t="s">
        <v>11</v>
      </c>
      <c r="Y9" s="859"/>
      <c r="Z9" s="862" t="s">
        <v>11896</v>
      </c>
      <c r="AA9" s="862"/>
      <c r="AB9" s="859" t="s">
        <v>12</v>
      </c>
      <c r="AC9" s="861"/>
      <c r="AD9" s="858" t="s">
        <v>13</v>
      </c>
      <c r="AE9" s="859"/>
      <c r="AF9" s="862" t="s">
        <v>11897</v>
      </c>
      <c r="AG9" s="862"/>
      <c r="AH9" s="859" t="s">
        <v>201</v>
      </c>
      <c r="AI9" s="861"/>
    </row>
    <row r="10" spans="2:35" ht="30" customHeight="1" thickTop="1" x14ac:dyDescent="0.45">
      <c r="B10" s="225"/>
      <c r="E10" s="489"/>
      <c r="I10" s="819" t="s">
        <v>3257</v>
      </c>
      <c r="J10" s="834"/>
      <c r="K10" s="443"/>
      <c r="L10" s="443"/>
      <c r="M10" s="444"/>
      <c r="U10" s="851"/>
      <c r="V10" s="852"/>
      <c r="W10" s="853"/>
      <c r="X10" s="860"/>
      <c r="Y10" s="837"/>
      <c r="Z10" s="863"/>
      <c r="AA10" s="863"/>
      <c r="AB10" s="837"/>
      <c r="AC10" s="838"/>
      <c r="AD10" s="860"/>
      <c r="AE10" s="837"/>
      <c r="AF10" s="863"/>
      <c r="AG10" s="863"/>
      <c r="AH10" s="837"/>
      <c r="AI10" s="838"/>
    </row>
    <row r="11" spans="2:35" ht="30" customHeight="1" x14ac:dyDescent="0.45">
      <c r="B11" s="225"/>
      <c r="E11" s="481"/>
      <c r="I11" s="819" t="s">
        <v>3931</v>
      </c>
      <c r="J11" s="819"/>
      <c r="K11" s="257"/>
      <c r="L11" s="257"/>
      <c r="M11" s="446"/>
      <c r="N11" s="341"/>
      <c r="U11" s="851"/>
      <c r="V11" s="852"/>
      <c r="W11" s="853"/>
      <c r="X11" s="860" t="str">
        <f>B26</f>
        <v>リノス</v>
      </c>
      <c r="Y11" s="837"/>
      <c r="Z11" s="863"/>
      <c r="AA11" s="863"/>
      <c r="AB11" s="837" t="str">
        <f>D26</f>
        <v>ブルーウイング</v>
      </c>
      <c r="AC11" s="838"/>
      <c r="AD11" s="860" t="str">
        <f>F26</f>
        <v>玖珠</v>
      </c>
      <c r="AE11" s="837"/>
      <c r="AF11" s="863"/>
      <c r="AG11" s="863"/>
      <c r="AH11" s="837" t="str">
        <f>H26</f>
        <v>ティエラ</v>
      </c>
      <c r="AI11" s="838"/>
    </row>
    <row r="12" spans="2:35" ht="30" customHeight="1" thickBot="1" x14ac:dyDescent="0.6">
      <c r="B12" s="225"/>
      <c r="E12" s="824" t="s">
        <v>8484</v>
      </c>
      <c r="F12" s="825"/>
      <c r="I12" s="342"/>
      <c r="J12" s="342"/>
      <c r="K12" s="257"/>
      <c r="L12" s="257"/>
      <c r="M12" s="824" t="s">
        <v>8476</v>
      </c>
      <c r="N12" s="825"/>
      <c r="U12" s="851"/>
      <c r="V12" s="852"/>
      <c r="W12" s="853"/>
      <c r="X12" s="865"/>
      <c r="Y12" s="839"/>
      <c r="Z12" s="864"/>
      <c r="AA12" s="864"/>
      <c r="AB12" s="839"/>
      <c r="AC12" s="840"/>
      <c r="AD12" s="865"/>
      <c r="AE12" s="839"/>
      <c r="AF12" s="864"/>
      <c r="AG12" s="864"/>
      <c r="AH12" s="839"/>
      <c r="AI12" s="840"/>
    </row>
    <row r="13" spans="2:35" ht="30" customHeight="1" x14ac:dyDescent="0.45">
      <c r="B13" s="225"/>
      <c r="E13" s="475"/>
      <c r="F13" s="472"/>
      <c r="I13" s="342"/>
      <c r="J13" s="342"/>
      <c r="K13" s="257"/>
      <c r="L13" s="257"/>
      <c r="M13" s="483"/>
      <c r="N13" s="472"/>
      <c r="U13" s="851" t="s">
        <v>2085</v>
      </c>
      <c r="V13" s="852">
        <v>0.43055555555555558</v>
      </c>
      <c r="W13" s="853"/>
      <c r="X13" s="858" t="s">
        <v>15</v>
      </c>
      <c r="Y13" s="859"/>
      <c r="Z13" s="862" t="s">
        <v>11901</v>
      </c>
      <c r="AA13" s="862"/>
      <c r="AB13" s="859" t="s">
        <v>16</v>
      </c>
      <c r="AC13" s="861"/>
      <c r="AD13" s="858" t="s">
        <v>17</v>
      </c>
      <c r="AE13" s="859"/>
      <c r="AF13" s="862" t="s">
        <v>11902</v>
      </c>
      <c r="AG13" s="862"/>
      <c r="AH13" s="859" t="s">
        <v>2086</v>
      </c>
      <c r="AI13" s="861"/>
    </row>
    <row r="14" spans="2:35" ht="30" customHeight="1" x14ac:dyDescent="0.45">
      <c r="B14" s="225"/>
      <c r="E14" s="826" t="str">
        <f>AF17</f>
        <v>Match No：29
4 前半 0
2 後半 1</v>
      </c>
      <c r="F14" s="827"/>
      <c r="I14" s="342"/>
      <c r="J14" s="342"/>
      <c r="K14" s="257"/>
      <c r="L14" s="257"/>
      <c r="M14" s="826" t="str">
        <f>AF21</f>
        <v>Match No：31
1 前半 0
2 後半 0</v>
      </c>
      <c r="N14" s="827"/>
      <c r="U14" s="851"/>
      <c r="V14" s="852"/>
      <c r="W14" s="853"/>
      <c r="X14" s="860"/>
      <c r="Y14" s="837"/>
      <c r="Z14" s="863"/>
      <c r="AA14" s="863"/>
      <c r="AB14" s="837"/>
      <c r="AC14" s="838"/>
      <c r="AD14" s="860"/>
      <c r="AE14" s="837"/>
      <c r="AF14" s="863"/>
      <c r="AG14" s="863"/>
      <c r="AH14" s="837"/>
      <c r="AI14" s="838"/>
    </row>
    <row r="15" spans="2:35" ht="30" customHeight="1" x14ac:dyDescent="0.45">
      <c r="B15" s="225"/>
      <c r="E15" s="828"/>
      <c r="F15" s="829"/>
      <c r="I15" s="342"/>
      <c r="J15" s="342"/>
      <c r="K15" s="257"/>
      <c r="L15" s="257"/>
      <c r="M15" s="828"/>
      <c r="N15" s="829"/>
      <c r="U15" s="851"/>
      <c r="V15" s="852"/>
      <c r="W15" s="853"/>
      <c r="X15" s="860" t="str">
        <f>J26</f>
        <v>ＫＩＮＧＳ</v>
      </c>
      <c r="Y15" s="837"/>
      <c r="Z15" s="863"/>
      <c r="AA15" s="863"/>
      <c r="AB15" s="837" t="str">
        <f>L26</f>
        <v>スマイス・セレソン</v>
      </c>
      <c r="AC15" s="838"/>
      <c r="AD15" s="860" t="str">
        <f>N26</f>
        <v>金池長浜</v>
      </c>
      <c r="AE15" s="837"/>
      <c r="AF15" s="863"/>
      <c r="AG15" s="863"/>
      <c r="AH15" s="837" t="str">
        <f>P26</f>
        <v>鶴居</v>
      </c>
      <c r="AI15" s="838"/>
    </row>
    <row r="16" spans="2:35" ht="30" customHeight="1" thickBot="1" x14ac:dyDescent="0.6">
      <c r="B16" s="225"/>
      <c r="E16" s="828"/>
      <c r="F16" s="829"/>
      <c r="I16" s="342"/>
      <c r="J16" s="342"/>
      <c r="K16" s="257"/>
      <c r="L16" s="257"/>
      <c r="M16" s="828"/>
      <c r="N16" s="829"/>
      <c r="U16" s="851"/>
      <c r="V16" s="852"/>
      <c r="W16" s="853"/>
      <c r="X16" s="865"/>
      <c r="Y16" s="839"/>
      <c r="Z16" s="864"/>
      <c r="AA16" s="864"/>
      <c r="AB16" s="839"/>
      <c r="AC16" s="840"/>
      <c r="AD16" s="865"/>
      <c r="AE16" s="839"/>
      <c r="AF16" s="864"/>
      <c r="AG16" s="864"/>
      <c r="AH16" s="839"/>
      <c r="AI16" s="840"/>
    </row>
    <row r="17" spans="2:35" ht="30" customHeight="1" x14ac:dyDescent="0.45">
      <c r="B17" s="225"/>
      <c r="E17" s="830"/>
      <c r="F17" s="831"/>
      <c r="I17" s="342"/>
      <c r="J17" s="342"/>
      <c r="K17" s="257"/>
      <c r="L17" s="257"/>
      <c r="M17" s="830"/>
      <c r="N17" s="831"/>
      <c r="U17" s="851" t="s">
        <v>2087</v>
      </c>
      <c r="V17" s="852">
        <v>0.46527777777777773</v>
      </c>
      <c r="W17" s="853"/>
      <c r="X17" s="858" t="s">
        <v>172</v>
      </c>
      <c r="Y17" s="859"/>
      <c r="Z17" s="862" t="s">
        <v>11904</v>
      </c>
      <c r="AA17" s="862"/>
      <c r="AB17" s="859" t="s">
        <v>173</v>
      </c>
      <c r="AC17" s="861"/>
      <c r="AD17" s="858" t="s">
        <v>2088</v>
      </c>
      <c r="AE17" s="859"/>
      <c r="AF17" s="862" t="s">
        <v>11903</v>
      </c>
      <c r="AG17" s="862"/>
      <c r="AH17" s="859" t="s">
        <v>167</v>
      </c>
      <c r="AI17" s="861"/>
    </row>
    <row r="18" spans="2:35" ht="30" customHeight="1" thickBot="1" x14ac:dyDescent="0.6">
      <c r="C18" s="257"/>
      <c r="D18" s="476"/>
      <c r="E18" s="477"/>
      <c r="F18" s="471"/>
      <c r="G18" s="340"/>
      <c r="H18" s="342"/>
      <c r="I18" s="342"/>
      <c r="J18" s="342"/>
      <c r="K18" s="342"/>
      <c r="L18" s="476"/>
      <c r="M18" s="485"/>
      <c r="N18" s="479"/>
      <c r="O18" s="340"/>
      <c r="U18" s="851"/>
      <c r="V18" s="852"/>
      <c r="W18" s="853"/>
      <c r="X18" s="860"/>
      <c r="Y18" s="837"/>
      <c r="Z18" s="863"/>
      <c r="AA18" s="863"/>
      <c r="AB18" s="837"/>
      <c r="AC18" s="838"/>
      <c r="AD18" s="860"/>
      <c r="AE18" s="837"/>
      <c r="AF18" s="863"/>
      <c r="AG18" s="863"/>
      <c r="AH18" s="837"/>
      <c r="AI18" s="838"/>
    </row>
    <row r="19" spans="2:35" ht="30" customHeight="1" thickTop="1" x14ac:dyDescent="0.45">
      <c r="B19" s="344"/>
      <c r="C19" s="473"/>
      <c r="D19" s="344"/>
      <c r="E19" s="819" t="s">
        <v>3258</v>
      </c>
      <c r="F19" s="834"/>
      <c r="G19" s="448"/>
      <c r="H19" s="344"/>
      <c r="I19" s="342"/>
      <c r="J19" s="344"/>
      <c r="K19" s="480"/>
      <c r="L19" s="344"/>
      <c r="M19" s="819" t="s">
        <v>3259</v>
      </c>
      <c r="N19" s="834"/>
      <c r="O19" s="448"/>
      <c r="P19" s="449"/>
      <c r="Q19" s="344"/>
      <c r="U19" s="851"/>
      <c r="V19" s="852"/>
      <c r="W19" s="853"/>
      <c r="X19" s="860" t="str">
        <f>C28</f>
        <v>リノス</v>
      </c>
      <c r="Y19" s="837"/>
      <c r="Z19" s="863"/>
      <c r="AA19" s="863"/>
      <c r="AB19" s="837" t="str">
        <f>G28</f>
        <v>玖珠</v>
      </c>
      <c r="AC19" s="838"/>
      <c r="AD19" s="860" t="str">
        <f>C21</f>
        <v>ブルーウイング</v>
      </c>
      <c r="AE19" s="837"/>
      <c r="AF19" s="863"/>
      <c r="AG19" s="863"/>
      <c r="AH19" s="837" t="str">
        <f>G21</f>
        <v>ティエラ</v>
      </c>
      <c r="AI19" s="838"/>
    </row>
    <row r="20" spans="2:35" ht="30" customHeight="1" thickBot="1" x14ac:dyDescent="0.6">
      <c r="B20" s="344"/>
      <c r="C20" s="474"/>
      <c r="D20" s="344"/>
      <c r="E20" s="819" t="s">
        <v>3930</v>
      </c>
      <c r="F20" s="819"/>
      <c r="G20" s="450"/>
      <c r="H20" s="344"/>
      <c r="I20" s="342"/>
      <c r="J20" s="344"/>
      <c r="K20" s="482"/>
      <c r="L20" s="488"/>
      <c r="M20" s="819" t="s">
        <v>3929</v>
      </c>
      <c r="N20" s="819"/>
      <c r="O20" s="456"/>
      <c r="P20" s="487"/>
      <c r="Q20" s="344"/>
      <c r="U20" s="851"/>
      <c r="V20" s="852"/>
      <c r="W20" s="853"/>
      <c r="X20" s="865"/>
      <c r="Y20" s="839"/>
      <c r="Z20" s="864"/>
      <c r="AA20" s="864"/>
      <c r="AB20" s="839"/>
      <c r="AC20" s="840"/>
      <c r="AD20" s="865"/>
      <c r="AE20" s="839"/>
      <c r="AF20" s="864"/>
      <c r="AG20" s="864"/>
      <c r="AH20" s="839"/>
      <c r="AI20" s="840"/>
    </row>
    <row r="21" spans="2:35" ht="30" customHeight="1" x14ac:dyDescent="0.45">
      <c r="C21" s="824" t="s">
        <v>8484</v>
      </c>
      <c r="D21" s="825"/>
      <c r="E21" s="257"/>
      <c r="F21" s="257"/>
      <c r="G21" s="824" t="s">
        <v>8463</v>
      </c>
      <c r="H21" s="825"/>
      <c r="I21" s="257"/>
      <c r="K21" s="824" t="s">
        <v>8476</v>
      </c>
      <c r="L21" s="825"/>
      <c r="M21" s="257"/>
      <c r="N21" s="257"/>
      <c r="O21" s="824" t="s">
        <v>11878</v>
      </c>
      <c r="P21" s="825"/>
      <c r="U21" s="851" t="s">
        <v>2089</v>
      </c>
      <c r="V21" s="852">
        <v>0.5</v>
      </c>
      <c r="W21" s="853"/>
      <c r="X21" s="858" t="s">
        <v>11883</v>
      </c>
      <c r="Y21" s="859"/>
      <c r="Z21" s="862" t="s">
        <v>11914</v>
      </c>
      <c r="AA21" s="862"/>
      <c r="AB21" s="859" t="s">
        <v>175</v>
      </c>
      <c r="AC21" s="861"/>
      <c r="AD21" s="858" t="s">
        <v>168</v>
      </c>
      <c r="AE21" s="859"/>
      <c r="AF21" s="862" t="s">
        <v>11915</v>
      </c>
      <c r="AG21" s="862"/>
      <c r="AH21" s="859" t="s">
        <v>169</v>
      </c>
      <c r="AI21" s="861"/>
    </row>
    <row r="22" spans="2:35" ht="30" customHeight="1" thickBot="1" x14ac:dyDescent="0.6">
      <c r="C22" s="339"/>
      <c r="D22" s="466"/>
      <c r="E22" s="340"/>
      <c r="F22" s="340"/>
      <c r="G22" s="339"/>
      <c r="H22" s="466"/>
      <c r="I22" s="345"/>
      <c r="J22" s="340"/>
      <c r="K22" s="484"/>
      <c r="L22" s="478"/>
      <c r="M22" s="340"/>
      <c r="N22" s="340"/>
      <c r="O22" s="486"/>
      <c r="P22" s="478"/>
      <c r="U22" s="851"/>
      <c r="V22" s="852"/>
      <c r="W22" s="853"/>
      <c r="X22" s="860"/>
      <c r="Y22" s="837"/>
      <c r="Z22" s="863"/>
      <c r="AA22" s="863"/>
      <c r="AB22" s="837"/>
      <c r="AC22" s="838"/>
      <c r="AD22" s="860"/>
      <c r="AE22" s="837"/>
      <c r="AF22" s="863"/>
      <c r="AG22" s="863"/>
      <c r="AH22" s="837"/>
      <c r="AI22" s="838"/>
    </row>
    <row r="23" spans="2:35" ht="30" customHeight="1" thickTop="1" x14ac:dyDescent="0.45">
      <c r="B23" s="344"/>
      <c r="C23" s="843" t="s">
        <v>3260</v>
      </c>
      <c r="D23" s="819"/>
      <c r="E23" s="464"/>
      <c r="F23" s="344"/>
      <c r="G23" s="843" t="s">
        <v>3261</v>
      </c>
      <c r="H23" s="819"/>
      <c r="I23" s="465"/>
      <c r="J23" s="480"/>
      <c r="K23" s="819" t="s">
        <v>3262</v>
      </c>
      <c r="L23" s="833"/>
      <c r="M23" s="344"/>
      <c r="N23" s="473"/>
      <c r="O23" s="819" t="s">
        <v>3263</v>
      </c>
      <c r="P23" s="833"/>
      <c r="Q23" s="344"/>
      <c r="U23" s="851"/>
      <c r="V23" s="852"/>
      <c r="W23" s="853"/>
      <c r="X23" s="860" t="str">
        <f>K28</f>
        <v>スマイス・セレソン</v>
      </c>
      <c r="Y23" s="837"/>
      <c r="Z23" s="863"/>
      <c r="AA23" s="863"/>
      <c r="AB23" s="837" t="str">
        <f>O28</f>
        <v>鶴居</v>
      </c>
      <c r="AC23" s="838"/>
      <c r="AD23" s="860" t="str">
        <f>K21</f>
        <v>ＫＩＮＧＳ</v>
      </c>
      <c r="AE23" s="837"/>
      <c r="AF23" s="863"/>
      <c r="AG23" s="863"/>
      <c r="AH23" s="837" t="str">
        <f>O21</f>
        <v>金池長浜</v>
      </c>
      <c r="AI23" s="838"/>
    </row>
    <row r="24" spans="2:35" s="225" customFormat="1" ht="30" customHeight="1" thickBot="1" x14ac:dyDescent="0.6">
      <c r="B24" s="178"/>
      <c r="C24" s="835" t="s">
        <v>5821</v>
      </c>
      <c r="D24" s="818"/>
      <c r="E24" s="467"/>
      <c r="F24" s="257"/>
      <c r="G24" s="835" t="s">
        <v>5822</v>
      </c>
      <c r="H24" s="818"/>
      <c r="I24" s="468"/>
      <c r="J24" s="481"/>
      <c r="K24" s="818" t="s">
        <v>5823</v>
      </c>
      <c r="L24" s="832"/>
      <c r="M24" s="341"/>
      <c r="N24" s="481"/>
      <c r="O24" s="818" t="s">
        <v>5824</v>
      </c>
      <c r="P24" s="832"/>
      <c r="Q24" s="341"/>
      <c r="U24" s="851"/>
      <c r="V24" s="852"/>
      <c r="W24" s="853"/>
      <c r="X24" s="865"/>
      <c r="Y24" s="839"/>
      <c r="Z24" s="864"/>
      <c r="AA24" s="864"/>
      <c r="AB24" s="839"/>
      <c r="AC24" s="840"/>
      <c r="AD24" s="865"/>
      <c r="AE24" s="839"/>
      <c r="AF24" s="864"/>
      <c r="AG24" s="864"/>
      <c r="AH24" s="839"/>
      <c r="AI24" s="840"/>
    </row>
    <row r="25" spans="2:35" ht="30" customHeight="1" x14ac:dyDescent="0.9">
      <c r="B25" s="820" t="s">
        <v>11</v>
      </c>
      <c r="C25" s="841"/>
      <c r="D25" s="820" t="s">
        <v>12</v>
      </c>
      <c r="E25" s="836"/>
      <c r="F25" s="820" t="s">
        <v>13</v>
      </c>
      <c r="G25" s="821"/>
      <c r="H25" s="820" t="s">
        <v>14</v>
      </c>
      <c r="I25" s="842"/>
      <c r="J25" s="820" t="s">
        <v>15</v>
      </c>
      <c r="K25" s="821"/>
      <c r="L25" s="820" t="s">
        <v>16</v>
      </c>
      <c r="M25" s="821"/>
      <c r="N25" s="820" t="s">
        <v>17</v>
      </c>
      <c r="O25" s="821"/>
      <c r="P25" s="820" t="s">
        <v>18</v>
      </c>
      <c r="Q25" s="821"/>
      <c r="V25" s="852">
        <v>0.53472222222222221</v>
      </c>
      <c r="W25" s="853"/>
      <c r="X25" s="874" t="s">
        <v>21</v>
      </c>
      <c r="Y25" s="875"/>
      <c r="Z25" s="875"/>
      <c r="AA25" s="875"/>
      <c r="AB25" s="875"/>
      <c r="AC25" s="875"/>
      <c r="AD25" s="875"/>
      <c r="AE25" s="875"/>
      <c r="AF25" s="875"/>
      <c r="AG25" s="875"/>
      <c r="AH25" s="875"/>
      <c r="AI25" s="876"/>
    </row>
    <row r="26" spans="2:35" ht="30" customHeight="1" thickBot="1" x14ac:dyDescent="0.6">
      <c r="B26" s="822" t="s">
        <v>8479</v>
      </c>
      <c r="C26" s="823"/>
      <c r="D26" s="822" t="s">
        <v>8484</v>
      </c>
      <c r="E26" s="823"/>
      <c r="F26" s="822" t="s">
        <v>11877</v>
      </c>
      <c r="G26" s="823"/>
      <c r="H26" s="822" t="s">
        <v>8463</v>
      </c>
      <c r="I26" s="823"/>
      <c r="J26" s="822" t="s">
        <v>8476</v>
      </c>
      <c r="K26" s="823"/>
      <c r="L26" s="822" t="s">
        <v>11879</v>
      </c>
      <c r="M26" s="823"/>
      <c r="N26" s="822" t="s">
        <v>11878</v>
      </c>
      <c r="O26" s="823"/>
      <c r="P26" s="822" t="s">
        <v>11880</v>
      </c>
      <c r="Q26" s="823"/>
      <c r="U26" s="225"/>
      <c r="V26" s="852"/>
      <c r="W26" s="853"/>
      <c r="X26" s="877"/>
      <c r="Y26" s="878"/>
      <c r="Z26" s="878"/>
      <c r="AA26" s="878"/>
      <c r="AB26" s="878"/>
      <c r="AC26" s="878"/>
      <c r="AD26" s="878"/>
      <c r="AE26" s="878"/>
      <c r="AF26" s="878"/>
      <c r="AG26" s="878"/>
      <c r="AH26" s="878"/>
      <c r="AI26" s="879"/>
    </row>
    <row r="27" spans="2:35" ht="30" customHeight="1" x14ac:dyDescent="0.45">
      <c r="U27" s="851" t="s">
        <v>2090</v>
      </c>
      <c r="V27" s="852">
        <v>0.59027777777777779</v>
      </c>
      <c r="W27" s="853"/>
      <c r="X27" s="858"/>
      <c r="Y27" s="859"/>
      <c r="Z27" s="871"/>
      <c r="AA27" s="871"/>
      <c r="AB27" s="859"/>
      <c r="AC27" s="861"/>
      <c r="AD27" s="858" t="s">
        <v>170</v>
      </c>
      <c r="AE27" s="859"/>
      <c r="AF27" s="862" t="s">
        <v>11916</v>
      </c>
      <c r="AG27" s="862"/>
      <c r="AH27" s="859" t="s">
        <v>171</v>
      </c>
      <c r="AI27" s="861"/>
    </row>
    <row r="28" spans="2:35" ht="30" customHeight="1" x14ac:dyDescent="0.45">
      <c r="B28" s="346"/>
      <c r="C28" s="824" t="s">
        <v>8479</v>
      </c>
      <c r="D28" s="825"/>
      <c r="E28" s="257"/>
      <c r="F28" s="257"/>
      <c r="G28" s="824" t="s">
        <v>11898</v>
      </c>
      <c r="H28" s="825"/>
      <c r="I28" s="257"/>
      <c r="K28" s="824" t="s">
        <v>11907</v>
      </c>
      <c r="L28" s="825"/>
      <c r="M28" s="257"/>
      <c r="N28" s="257"/>
      <c r="O28" s="824" t="s">
        <v>11908</v>
      </c>
      <c r="P28" s="825"/>
      <c r="Q28" s="257"/>
      <c r="U28" s="851"/>
      <c r="V28" s="852"/>
      <c r="W28" s="853"/>
      <c r="X28" s="860"/>
      <c r="Y28" s="837"/>
      <c r="Z28" s="872"/>
      <c r="AA28" s="872"/>
      <c r="AB28" s="837"/>
      <c r="AC28" s="838"/>
      <c r="AD28" s="860"/>
      <c r="AE28" s="837"/>
      <c r="AF28" s="863"/>
      <c r="AG28" s="863"/>
      <c r="AH28" s="837"/>
      <c r="AI28" s="838"/>
    </row>
    <row r="29" spans="2:35" ht="30" customHeight="1" x14ac:dyDescent="0.45">
      <c r="D29" s="445"/>
      <c r="E29" s="819" t="s">
        <v>3265</v>
      </c>
      <c r="F29" s="819"/>
      <c r="H29" s="469"/>
      <c r="L29" s="445"/>
      <c r="M29" s="819" t="s">
        <v>3264</v>
      </c>
      <c r="N29" s="819"/>
      <c r="P29" s="469"/>
      <c r="U29" s="851"/>
      <c r="V29" s="852"/>
      <c r="W29" s="853"/>
      <c r="X29" s="866"/>
      <c r="Y29" s="851"/>
      <c r="Z29" s="872"/>
      <c r="AA29" s="872"/>
      <c r="AB29" s="851"/>
      <c r="AC29" s="869"/>
      <c r="AD29" s="860" t="str">
        <f>E12</f>
        <v>ブルーウイング</v>
      </c>
      <c r="AE29" s="837"/>
      <c r="AF29" s="863"/>
      <c r="AG29" s="863"/>
      <c r="AH29" s="837" t="str">
        <f>M12</f>
        <v>ＫＩＮＧＳ</v>
      </c>
      <c r="AI29" s="838"/>
    </row>
    <row r="30" spans="2:35" ht="30" customHeight="1" thickBot="1" x14ac:dyDescent="0.6">
      <c r="D30" s="447"/>
      <c r="E30" s="818" t="s">
        <v>3927</v>
      </c>
      <c r="F30" s="819"/>
      <c r="H30" s="470"/>
      <c r="L30" s="447"/>
      <c r="M30" s="818" t="s">
        <v>3928</v>
      </c>
      <c r="N30" s="819"/>
      <c r="P30" s="470"/>
      <c r="U30" s="851"/>
      <c r="V30" s="852"/>
      <c r="W30" s="853"/>
      <c r="X30" s="867"/>
      <c r="Y30" s="868"/>
      <c r="Z30" s="873"/>
      <c r="AA30" s="873"/>
      <c r="AB30" s="868"/>
      <c r="AC30" s="870"/>
      <c r="AD30" s="865"/>
      <c r="AE30" s="839"/>
      <c r="AF30" s="864"/>
      <c r="AG30" s="864"/>
      <c r="AH30" s="839"/>
      <c r="AI30" s="840"/>
    </row>
    <row r="31" spans="2:35" ht="30" customHeight="1" thickTop="1" x14ac:dyDescent="0.45">
      <c r="D31" s="339"/>
      <c r="F31" s="462"/>
      <c r="G31" s="463"/>
      <c r="L31" s="339"/>
      <c r="N31" s="462"/>
      <c r="O31" s="463"/>
      <c r="V31" s="852">
        <v>0.625</v>
      </c>
      <c r="W31" s="853"/>
      <c r="X31" s="874" t="s">
        <v>23</v>
      </c>
      <c r="Y31" s="875"/>
      <c r="Z31" s="875"/>
      <c r="AA31" s="875"/>
      <c r="AB31" s="875"/>
      <c r="AC31" s="875"/>
      <c r="AD31" s="875"/>
      <c r="AE31" s="875"/>
      <c r="AF31" s="875"/>
      <c r="AG31" s="875"/>
      <c r="AH31" s="875"/>
      <c r="AI31" s="876"/>
    </row>
    <row r="32" spans="2:35" ht="30" customHeight="1" thickBot="1" x14ac:dyDescent="0.6">
      <c r="U32" s="257"/>
      <c r="V32" s="852"/>
      <c r="W32" s="853"/>
      <c r="X32" s="877"/>
      <c r="Y32" s="878"/>
      <c r="Z32" s="878"/>
      <c r="AA32" s="878"/>
      <c r="AB32" s="878"/>
      <c r="AC32" s="878"/>
      <c r="AD32" s="878"/>
      <c r="AE32" s="878"/>
      <c r="AF32" s="878"/>
      <c r="AG32" s="878"/>
      <c r="AH32" s="878"/>
      <c r="AI32" s="879"/>
    </row>
    <row r="38" spans="1:21" s="344" customFormat="1" ht="30" customHeight="1" x14ac:dyDescent="0.45">
      <c r="A38" s="178"/>
      <c r="B38" s="178"/>
      <c r="C38" s="178"/>
      <c r="D38" s="178"/>
      <c r="E38" s="178"/>
      <c r="F38" s="178"/>
      <c r="G38" s="178"/>
      <c r="H38" s="178"/>
      <c r="I38" s="178"/>
      <c r="J38" s="178"/>
      <c r="K38" s="178"/>
      <c r="L38" s="178"/>
      <c r="M38" s="178"/>
      <c r="N38" s="178"/>
      <c r="O38" s="178"/>
      <c r="P38" s="178"/>
    </row>
    <row r="41" spans="1:21" s="344" customFormat="1" ht="30" customHeight="1" x14ac:dyDescent="0.45">
      <c r="A41" s="178"/>
      <c r="B41" s="178"/>
      <c r="C41" s="178"/>
      <c r="D41" s="178"/>
      <c r="E41" s="178"/>
      <c r="F41" s="178"/>
      <c r="G41" s="178"/>
      <c r="H41" s="178"/>
      <c r="I41" s="178"/>
      <c r="J41" s="178"/>
      <c r="K41" s="178"/>
      <c r="L41" s="178"/>
      <c r="M41" s="178"/>
      <c r="N41" s="178"/>
      <c r="O41" s="178"/>
      <c r="P41" s="178"/>
    </row>
    <row r="43" spans="1:21" ht="30" customHeight="1" x14ac:dyDescent="0.45">
      <c r="T43" s="225"/>
      <c r="U43" s="225"/>
    </row>
    <row r="52" spans="19:21" ht="30" customHeight="1" x14ac:dyDescent="0.45">
      <c r="S52" s="226"/>
      <c r="T52" s="349"/>
      <c r="U52" s="349"/>
    </row>
    <row r="53" spans="19:21" ht="30" customHeight="1" x14ac:dyDescent="0.45">
      <c r="S53" s="255"/>
      <c r="T53" s="347"/>
      <c r="U53" s="347"/>
    </row>
    <row r="54" spans="19:21" ht="30" customHeight="1" x14ac:dyDescent="0.45">
      <c r="S54" s="343"/>
      <c r="T54" s="347"/>
      <c r="U54" s="347"/>
    </row>
    <row r="55" spans="19:21" ht="30" customHeight="1" x14ac:dyDescent="0.45">
      <c r="S55" s="348"/>
      <c r="T55" s="348"/>
      <c r="U55" s="348"/>
    </row>
    <row r="56" spans="19:21" ht="30" customHeight="1" x14ac:dyDescent="0.45">
      <c r="S56" s="257"/>
      <c r="T56" s="257"/>
      <c r="U56" s="257"/>
    </row>
    <row r="57" spans="19:21" ht="30" customHeight="1" x14ac:dyDescent="0.45">
      <c r="S57" s="257"/>
      <c r="T57" s="257"/>
      <c r="U57" s="257"/>
    </row>
    <row r="58" spans="19:21" ht="30" customHeight="1" x14ac:dyDescent="0.45">
      <c r="S58" s="257"/>
      <c r="T58" s="257"/>
      <c r="U58" s="257"/>
    </row>
    <row r="59" spans="19:21" ht="30" customHeight="1" x14ac:dyDescent="0.45">
      <c r="S59" s="257"/>
      <c r="T59" s="257"/>
      <c r="U59" s="257"/>
    </row>
    <row r="60" spans="19:21" ht="30" customHeight="1" x14ac:dyDescent="0.45">
      <c r="S60" s="257"/>
      <c r="T60" s="257"/>
      <c r="U60" s="257"/>
    </row>
    <row r="61" spans="19:21" ht="30" customHeight="1" x14ac:dyDescent="0.45">
      <c r="S61" s="257"/>
      <c r="T61" s="257"/>
      <c r="U61" s="257"/>
    </row>
    <row r="62" spans="19:21" ht="30" customHeight="1" x14ac:dyDescent="0.45">
      <c r="S62" s="257"/>
      <c r="T62" s="257"/>
      <c r="U62" s="257"/>
    </row>
  </sheetData>
  <mergeCells count="121">
    <mergeCell ref="AF9:AG12"/>
    <mergeCell ref="Z9:AA12"/>
    <mergeCell ref="AD21:AE22"/>
    <mergeCell ref="AD23:AE24"/>
    <mergeCell ref="AH23:AI24"/>
    <mergeCell ref="X23:Y24"/>
    <mergeCell ref="AH15:AI16"/>
    <mergeCell ref="AH13:AI14"/>
    <mergeCell ref="AD13:AE14"/>
    <mergeCell ref="AB13:AC14"/>
    <mergeCell ref="X11:Y12"/>
    <mergeCell ref="AB11:AC12"/>
    <mergeCell ref="AD11:AE12"/>
    <mergeCell ref="AH11:AI12"/>
    <mergeCell ref="AH9:AI10"/>
    <mergeCell ref="AD9:AE10"/>
    <mergeCell ref="AB9:AC10"/>
    <mergeCell ref="X9:Y10"/>
    <mergeCell ref="AD15:AE16"/>
    <mergeCell ref="AH17:AI18"/>
    <mergeCell ref="V31:W32"/>
    <mergeCell ref="X31:AI32"/>
    <mergeCell ref="V25:W26"/>
    <mergeCell ref="X25:AI26"/>
    <mergeCell ref="V21:W24"/>
    <mergeCell ref="U21:U24"/>
    <mergeCell ref="U17:U20"/>
    <mergeCell ref="U13:U16"/>
    <mergeCell ref="V13:W16"/>
    <mergeCell ref="V17:W20"/>
    <mergeCell ref="AF21:AG24"/>
    <mergeCell ref="Z21:AA24"/>
    <mergeCell ref="Z17:AA20"/>
    <mergeCell ref="AF17:AG20"/>
    <mergeCell ref="Z13:AA16"/>
    <mergeCell ref="AF13:AG16"/>
    <mergeCell ref="AD17:AE18"/>
    <mergeCell ref="X13:Y14"/>
    <mergeCell ref="X15:Y16"/>
    <mergeCell ref="E3:F3"/>
    <mergeCell ref="AD27:AE28"/>
    <mergeCell ref="AH27:AI28"/>
    <mergeCell ref="U27:U30"/>
    <mergeCell ref="K28:L28"/>
    <mergeCell ref="X27:Y28"/>
    <mergeCell ref="AB27:AC28"/>
    <mergeCell ref="AF27:AG30"/>
    <mergeCell ref="AD29:AE30"/>
    <mergeCell ref="AH29:AI30"/>
    <mergeCell ref="X29:Y30"/>
    <mergeCell ref="AB29:AC30"/>
    <mergeCell ref="Z27:AA30"/>
    <mergeCell ref="V27:W30"/>
    <mergeCell ref="AB23:AC24"/>
    <mergeCell ref="AB21:AC22"/>
    <mergeCell ref="X21:Y22"/>
    <mergeCell ref="AH21:AI22"/>
    <mergeCell ref="AD19:AE20"/>
    <mergeCell ref="AH19:AI20"/>
    <mergeCell ref="X19:Y20"/>
    <mergeCell ref="AB19:AC20"/>
    <mergeCell ref="AB17:AC18"/>
    <mergeCell ref="X17:Y18"/>
    <mergeCell ref="V7:W8"/>
    <mergeCell ref="V5:W6"/>
    <mergeCell ref="J25:K25"/>
    <mergeCell ref="G21:H21"/>
    <mergeCell ref="G23:H23"/>
    <mergeCell ref="G3:L3"/>
    <mergeCell ref="I5:J8"/>
    <mergeCell ref="I10:J10"/>
    <mergeCell ref="I11:J11"/>
    <mergeCell ref="U9:U12"/>
    <mergeCell ref="V9:W12"/>
    <mergeCell ref="O23:P23"/>
    <mergeCell ref="N3:O3"/>
    <mergeCell ref="N6:O6"/>
    <mergeCell ref="V3:W4"/>
    <mergeCell ref="E12:F12"/>
    <mergeCell ref="E29:F29"/>
    <mergeCell ref="D26:E26"/>
    <mergeCell ref="C28:D28"/>
    <mergeCell ref="L26:M26"/>
    <mergeCell ref="M29:N29"/>
    <mergeCell ref="G28:H28"/>
    <mergeCell ref="D25:E25"/>
    <mergeCell ref="AB15:AC16"/>
    <mergeCell ref="C24:D24"/>
    <mergeCell ref="C21:D21"/>
    <mergeCell ref="B25:C25"/>
    <mergeCell ref="H25:I25"/>
    <mergeCell ref="F25:G25"/>
    <mergeCell ref="F26:G26"/>
    <mergeCell ref="E20:F20"/>
    <mergeCell ref="B26:C26"/>
    <mergeCell ref="C23:D23"/>
    <mergeCell ref="J26:K26"/>
    <mergeCell ref="X3:AC4"/>
    <mergeCell ref="AD3:AI4"/>
    <mergeCell ref="X1:AI2"/>
    <mergeCell ref="E30:F30"/>
    <mergeCell ref="P25:Q25"/>
    <mergeCell ref="P26:Q26"/>
    <mergeCell ref="N26:O26"/>
    <mergeCell ref="M12:N12"/>
    <mergeCell ref="M20:N20"/>
    <mergeCell ref="M14:N17"/>
    <mergeCell ref="M30:N30"/>
    <mergeCell ref="L25:M25"/>
    <mergeCell ref="K24:L24"/>
    <mergeCell ref="K21:L21"/>
    <mergeCell ref="N25:O25"/>
    <mergeCell ref="K23:L23"/>
    <mergeCell ref="O28:P28"/>
    <mergeCell ref="O24:P24"/>
    <mergeCell ref="O21:P21"/>
    <mergeCell ref="E19:F19"/>
    <mergeCell ref="E14:F17"/>
    <mergeCell ref="G24:H24"/>
    <mergeCell ref="M19:N19"/>
    <mergeCell ref="H26:I26"/>
  </mergeCells>
  <phoneticPr fontId="5"/>
  <printOptions horizontalCentered="1" verticalCentered="1"/>
  <pageMargins left="0" right="0" top="0" bottom="0" header="0.43307086614173229" footer="0.31496062992125984"/>
  <pageSetup paperSize="9" scale="51" orientation="landscape" r:id="rId1"/>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A85D7A9-4F0F-45D8-BCFE-471950124E1B}">
          <x14:formula1>
            <xm:f>項目!$E$1:$E$4</xm:f>
          </x14:formula1>
          <xm:sqref>X1:AI2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fitToPage="1"/>
  </sheetPr>
  <dimension ref="A1:AC116"/>
  <sheetViews>
    <sheetView zoomScale="60" zoomScaleNormal="60" workbookViewId="0">
      <selection activeCell="A2" sqref="A2"/>
    </sheetView>
  </sheetViews>
  <sheetFormatPr defaultColWidth="9" defaultRowHeight="26.25" customHeight="1" x14ac:dyDescent="0.45"/>
  <cols>
    <col min="1" max="1" width="12.1328125" style="9" customWidth="1"/>
    <col min="2" max="2" width="11.86328125" style="9" bestFit="1" customWidth="1"/>
    <col min="3" max="3" width="3.1328125" style="9" customWidth="1"/>
    <col min="4" max="4" width="6.7265625" style="9" bestFit="1" customWidth="1"/>
    <col min="5" max="5" width="10.1328125" style="9" bestFit="1" customWidth="1"/>
    <col min="6" max="6" width="20.6328125" style="9" customWidth="1"/>
    <col min="7" max="7" width="7.5" style="9" bestFit="1" customWidth="1"/>
    <col min="8" max="8" width="4.5" style="9" bestFit="1" customWidth="1"/>
    <col min="9" max="9" width="7.86328125" style="9" customWidth="1"/>
    <col min="10" max="10" width="5.2265625" style="9" customWidth="1"/>
    <col min="11" max="11" width="7.86328125" style="9" customWidth="1"/>
    <col min="12" max="12" width="4.5" style="9" bestFit="1" customWidth="1"/>
    <col min="13" max="13" width="7.5" style="9" bestFit="1" customWidth="1"/>
    <col min="14" max="14" width="20.6328125" style="9" customWidth="1"/>
    <col min="15" max="15" width="5" style="9" bestFit="1" customWidth="1"/>
    <col min="16" max="16" width="12.1328125" style="9" customWidth="1"/>
    <col min="17" max="17" width="11.86328125" style="9" bestFit="1" customWidth="1"/>
    <col min="18" max="18" width="3.1328125" style="9" customWidth="1"/>
    <col min="19" max="19" width="6.7265625" style="9" bestFit="1" customWidth="1"/>
    <col min="20" max="20" width="10.1328125" style="9" bestFit="1" customWidth="1"/>
    <col min="21" max="21" width="20.6328125" style="9" customWidth="1"/>
    <col min="22" max="22" width="7.5" style="9" bestFit="1" customWidth="1"/>
    <col min="23" max="23" width="4.5" style="9" bestFit="1" customWidth="1"/>
    <col min="24" max="24" width="7.86328125" style="9" customWidth="1"/>
    <col min="25" max="25" width="5.2265625" style="9" customWidth="1"/>
    <col min="26" max="26" width="7.86328125" style="9" customWidth="1"/>
    <col min="27" max="27" width="4.5" style="9" bestFit="1" customWidth="1"/>
    <col min="28" max="28" width="7.5" style="9" bestFit="1" customWidth="1"/>
    <col min="29" max="29" width="20.6328125" style="9" customWidth="1"/>
    <col min="30" max="16384" width="9" style="9"/>
  </cols>
  <sheetData>
    <row r="1" spans="1:29" s="8" customFormat="1" ht="26.25" customHeight="1" x14ac:dyDescent="0.45">
      <c r="A1" s="800" t="str">
        <f>大会要項!$B$3</f>
        <v>第12回 全日本不動産協会杯争奪U-12サッカー大会【ラビットカップ】大分県大会</v>
      </c>
      <c r="B1" s="800"/>
      <c r="C1" s="800"/>
      <c r="D1" s="800"/>
      <c r="E1" s="800"/>
      <c r="F1" s="800"/>
      <c r="G1" s="800"/>
      <c r="H1" s="800"/>
      <c r="I1" s="800"/>
      <c r="J1" s="800"/>
      <c r="K1" s="800" t="s">
        <v>2010</v>
      </c>
      <c r="L1" s="800"/>
      <c r="M1" s="800"/>
      <c r="N1" s="800"/>
      <c r="O1" s="7"/>
      <c r="P1" s="800" t="str">
        <f>大会要項!$B$3</f>
        <v>第12回 全日本不動産協会杯争奪U-12サッカー大会【ラビットカップ】大分県大会</v>
      </c>
      <c r="Q1" s="800"/>
      <c r="R1" s="800"/>
      <c r="S1" s="800"/>
      <c r="T1" s="800"/>
      <c r="U1" s="800"/>
      <c r="V1" s="800"/>
      <c r="W1" s="800"/>
      <c r="X1" s="800"/>
      <c r="Y1" s="800"/>
      <c r="Z1" s="800" t="s">
        <v>2010</v>
      </c>
      <c r="AA1" s="800"/>
      <c r="AB1" s="800"/>
      <c r="AC1" s="800"/>
    </row>
    <row r="2" spans="1:29" ht="26.25" customHeight="1" x14ac:dyDescent="0.45">
      <c r="P2" s="10"/>
      <c r="Q2" s="10"/>
      <c r="R2" s="10"/>
      <c r="S2" s="10"/>
      <c r="T2" s="10"/>
      <c r="U2" s="10"/>
      <c r="V2" s="10"/>
      <c r="W2" s="10"/>
      <c r="X2" s="10"/>
      <c r="Y2" s="10"/>
      <c r="Z2" s="10"/>
      <c r="AA2" s="10"/>
      <c r="AB2" s="10"/>
      <c r="AC2" s="10"/>
    </row>
    <row r="3" spans="1:29" ht="20.25" customHeight="1" x14ac:dyDescent="0.45">
      <c r="A3" s="9" t="s">
        <v>47</v>
      </c>
      <c r="B3" s="6" t="str">
        <f>決勝トーナメント!X1</f>
        <v>レゾナック サッカー・ラグビー場　Bコート</v>
      </c>
      <c r="C3" s="6"/>
      <c r="D3" s="6"/>
      <c r="E3" s="6"/>
      <c r="G3" s="6" t="str">
        <f>決勝トーナメント!X3</f>
        <v>「A」コート</v>
      </c>
      <c r="H3" s="6"/>
      <c r="I3" s="6"/>
      <c r="J3" s="6"/>
      <c r="K3" s="6"/>
      <c r="L3" s="6"/>
      <c r="P3" s="9" t="s">
        <v>47</v>
      </c>
      <c r="Q3" s="6" t="str">
        <f>決勝トーナメント!X1</f>
        <v>レゾナック サッカー・ラグビー場　Bコート</v>
      </c>
      <c r="R3" s="6"/>
      <c r="S3" s="6"/>
      <c r="T3" s="6"/>
      <c r="V3" s="11" t="str">
        <f>決勝トーナメント!AD3</f>
        <v>「B」コート</v>
      </c>
      <c r="W3" s="11"/>
      <c r="X3" s="11"/>
      <c r="Y3" s="11"/>
      <c r="Z3" s="11"/>
      <c r="AA3" s="11"/>
      <c r="AB3" s="11"/>
      <c r="AC3" s="11"/>
    </row>
    <row r="4" spans="1:29" ht="26.45" customHeight="1" x14ac:dyDescent="0.45">
      <c r="B4" s="6"/>
      <c r="D4" s="6"/>
      <c r="E4" s="6"/>
      <c r="F4" s="6"/>
      <c r="G4" s="6"/>
      <c r="H4" s="6"/>
      <c r="I4" s="6"/>
      <c r="J4" s="6"/>
      <c r="K4" s="6"/>
      <c r="L4" s="6"/>
      <c r="Q4" s="6"/>
      <c r="S4" s="11"/>
      <c r="T4" s="11"/>
      <c r="U4" s="11"/>
      <c r="V4" s="11"/>
      <c r="W4" s="11"/>
      <c r="X4" s="11"/>
      <c r="Y4" s="11"/>
      <c r="Z4" s="11"/>
      <c r="AA4" s="11"/>
      <c r="AB4" s="11"/>
      <c r="AC4" s="11"/>
    </row>
    <row r="5" spans="1:29" ht="26.25" customHeight="1" thickBot="1" x14ac:dyDescent="0.6">
      <c r="B5" s="6" t="s">
        <v>11881</v>
      </c>
      <c r="Q5" s="9" t="s">
        <v>202</v>
      </c>
    </row>
    <row r="6" spans="1:29" ht="27.4" customHeight="1" x14ac:dyDescent="0.45">
      <c r="A6" s="365" t="s">
        <v>3235</v>
      </c>
      <c r="B6" s="789" t="s">
        <v>1434</v>
      </c>
      <c r="C6" s="790"/>
      <c r="D6" s="791"/>
      <c r="E6" s="778">
        <v>0.39583333333333331</v>
      </c>
      <c r="F6" s="887" t="str">
        <f>VLOOKUP(決勝トーナメント!B26,組合せ抽選用!$S:$U,3,FALSE)</f>
        <v>リノスフットボールクラブ　Ｕ－１２</v>
      </c>
      <c r="G6" s="784">
        <f>IF(I6="","",SUM(I6:I7))</f>
        <v>0</v>
      </c>
      <c r="H6" s="793" t="s">
        <v>205</v>
      </c>
      <c r="I6" s="84">
        <v>0</v>
      </c>
      <c r="J6" s="84" t="s">
        <v>116</v>
      </c>
      <c r="K6" s="84">
        <v>1</v>
      </c>
      <c r="L6" s="793" t="s">
        <v>206</v>
      </c>
      <c r="M6" s="784">
        <f>IF(K6="","",SUM(K6:K7))</f>
        <v>2</v>
      </c>
      <c r="N6" s="884" t="str">
        <f>VLOOKUP(決勝トーナメント!D26,組合せ抽選用!$S:$U,3,FALSE)</f>
        <v>ブルーウイングフットボールクラブ</v>
      </c>
      <c r="P6" s="365" t="s">
        <v>3235</v>
      </c>
      <c r="Q6" s="789" t="s">
        <v>282</v>
      </c>
      <c r="R6" s="790"/>
      <c r="S6" s="791"/>
      <c r="T6" s="778">
        <v>0.39583333333333331</v>
      </c>
      <c r="U6" s="887" t="str">
        <f>VLOOKUP(決勝トーナメント!F26,組合せ抽選用!$S:$U,3,FALSE)</f>
        <v>玖珠サッカースポーツ少年団</v>
      </c>
      <c r="V6" s="784">
        <f>IF(X6="","",SUM(X6:X7))</f>
        <v>1</v>
      </c>
      <c r="W6" s="793" t="s">
        <v>205</v>
      </c>
      <c r="X6" s="84">
        <v>1</v>
      </c>
      <c r="Y6" s="84" t="s">
        <v>116</v>
      </c>
      <c r="Z6" s="84">
        <v>0</v>
      </c>
      <c r="AA6" s="793" t="s">
        <v>206</v>
      </c>
      <c r="AB6" s="784">
        <f>IF(Z6="","",SUM(Z6:Z7))</f>
        <v>1</v>
      </c>
      <c r="AC6" s="884" t="str">
        <f>VLOOKUP(決勝トーナメント!H26,組合せ抽選用!$S:$U,3,FALSE)</f>
        <v>ティエラフットボールクラブＵ－１２</v>
      </c>
    </row>
    <row r="7" spans="1:29" ht="27.4" customHeight="1" x14ac:dyDescent="0.45">
      <c r="A7" s="366" t="s">
        <v>3236</v>
      </c>
      <c r="B7" s="792" t="s">
        <v>1412</v>
      </c>
      <c r="C7" s="792"/>
      <c r="D7" s="789"/>
      <c r="E7" s="779"/>
      <c r="F7" s="888"/>
      <c r="G7" s="785"/>
      <c r="H7" s="794"/>
      <c r="I7" s="9">
        <v>0</v>
      </c>
      <c r="J7" s="9" t="s">
        <v>117</v>
      </c>
      <c r="K7" s="9">
        <v>1</v>
      </c>
      <c r="L7" s="794"/>
      <c r="M7" s="785"/>
      <c r="N7" s="885"/>
      <c r="P7" s="366" t="s">
        <v>3236</v>
      </c>
      <c r="Q7" s="792" t="s">
        <v>8429</v>
      </c>
      <c r="R7" s="792"/>
      <c r="S7" s="789"/>
      <c r="T7" s="779"/>
      <c r="U7" s="888"/>
      <c r="V7" s="785"/>
      <c r="W7" s="794"/>
      <c r="X7" s="9">
        <v>0</v>
      </c>
      <c r="Y7" s="9" t="s">
        <v>117</v>
      </c>
      <c r="Z7" s="9">
        <v>1</v>
      </c>
      <c r="AA7" s="794"/>
      <c r="AB7" s="785"/>
      <c r="AC7" s="885"/>
    </row>
    <row r="8" spans="1:29" ht="27.4" customHeight="1" thickBot="1" x14ac:dyDescent="0.6">
      <c r="A8" s="366" t="s">
        <v>3237</v>
      </c>
      <c r="B8" s="792" t="s">
        <v>3921</v>
      </c>
      <c r="C8" s="792"/>
      <c r="D8" s="789"/>
      <c r="E8" s="780"/>
      <c r="F8" s="889"/>
      <c r="G8" s="786"/>
      <c r="H8" s="795"/>
      <c r="I8" s="85"/>
      <c r="J8" s="85" t="s">
        <v>188</v>
      </c>
      <c r="K8" s="85"/>
      <c r="L8" s="795"/>
      <c r="M8" s="786"/>
      <c r="N8" s="886"/>
      <c r="P8" s="366" t="s">
        <v>3237</v>
      </c>
      <c r="Q8" s="792" t="s">
        <v>1062</v>
      </c>
      <c r="R8" s="792"/>
      <c r="S8" s="789"/>
      <c r="T8" s="780"/>
      <c r="U8" s="889"/>
      <c r="V8" s="786"/>
      <c r="W8" s="795"/>
      <c r="X8" s="85">
        <v>3</v>
      </c>
      <c r="Y8" s="85" t="s">
        <v>188</v>
      </c>
      <c r="Z8" s="85">
        <v>4</v>
      </c>
      <c r="AA8" s="795"/>
      <c r="AB8" s="786"/>
      <c r="AC8" s="886"/>
    </row>
    <row r="9" spans="1:29" ht="26.25" hidden="1" customHeight="1" thickTop="1" x14ac:dyDescent="0.45">
      <c r="E9" s="15"/>
      <c r="F9" s="16" t="s">
        <v>190</v>
      </c>
      <c r="G9" s="16" t="s">
        <v>1552</v>
      </c>
      <c r="H9" s="16" t="s">
        <v>145</v>
      </c>
      <c r="I9" s="16"/>
      <c r="J9" s="40"/>
      <c r="K9" s="16"/>
      <c r="L9" s="16" t="s">
        <v>145</v>
      </c>
      <c r="M9" s="16" t="s">
        <v>1552</v>
      </c>
      <c r="N9" s="18" t="s">
        <v>190</v>
      </c>
      <c r="T9" s="15"/>
      <c r="U9" s="16" t="s">
        <v>190</v>
      </c>
      <c r="V9" s="16" t="s">
        <v>1552</v>
      </c>
      <c r="W9" s="16" t="s">
        <v>145</v>
      </c>
      <c r="X9" s="16"/>
      <c r="Y9" s="40"/>
      <c r="Z9" s="16"/>
      <c r="AA9" s="16" t="s">
        <v>145</v>
      </c>
      <c r="AB9" s="16" t="s">
        <v>1552</v>
      </c>
      <c r="AC9" s="18" t="s">
        <v>190</v>
      </c>
    </row>
    <row r="10" spans="1:29" ht="26.25" hidden="1" customHeight="1" x14ac:dyDescent="0.45">
      <c r="E10" s="31" t="s">
        <v>155</v>
      </c>
      <c r="F10" s="41" t="str">
        <f>IF(ISERROR(VLOOKUP(CONCATENATE($F$6,"_",G10),選手名簿!$A:$E,5,FALSE))=TRUE,"",VLOOKUP(CONCATENATE($F$6,"_",G10),選手名簿!$A:$E,5,FALSE))</f>
        <v/>
      </c>
      <c r="G10" s="33"/>
      <c r="H10" s="33"/>
      <c r="I10" s="33"/>
      <c r="J10" s="42"/>
      <c r="K10" s="33"/>
      <c r="L10" s="33"/>
      <c r="M10" s="33"/>
      <c r="N10" s="43" t="str">
        <f>IF(ISERROR(VLOOKUP(CONCATENATE($N$6,"_",M10),選手名簿!$A:$E,5,FALSE))=TRUE,"",VLOOKUP(CONCATENATE($N$6,"_",M10),選手名簿!$A:$E,5,FALSE))</f>
        <v/>
      </c>
      <c r="T10" s="31" t="s">
        <v>155</v>
      </c>
      <c r="U10" s="41" t="str">
        <f>IF(ISERROR(VLOOKUP(CONCATENATE($U$6,"_",V10),選手名簿!$A:$E,5,FALSE))=TRUE,"",VLOOKUP(CONCATENATE($U$6,"_",V10),選手名簿!$A:$E,5,FALSE))</f>
        <v/>
      </c>
      <c r="V10" s="33"/>
      <c r="W10" s="33"/>
      <c r="X10" s="33"/>
      <c r="Y10" s="42"/>
      <c r="Z10" s="33"/>
      <c r="AA10" s="33"/>
      <c r="AB10" s="33"/>
      <c r="AC10" s="43" t="str">
        <f>IF(ISERROR(VLOOKUP(CONCATENATE($AC$6,"_",AB10),選手名簿!$A:$E,5,FALSE))=TRUE,"",VLOOKUP(CONCATENATE($AC$6,"_",AB10),選手名簿!$A:$E,5,FALSE))</f>
        <v/>
      </c>
    </row>
    <row r="11" spans="1:29" ht="26.25" hidden="1" customHeight="1" x14ac:dyDescent="0.45">
      <c r="E11" s="31" t="s">
        <v>155</v>
      </c>
      <c r="F11" s="20" t="str">
        <f>IF(ISERROR(VLOOKUP(CONCATENATE($F$6,"_",G11),選手名簿!$A:$E,5,FALSE))=TRUE,"",VLOOKUP(CONCATENATE($F$6,"_",G11),選手名簿!$A:$E,5,FALSE))</f>
        <v/>
      </c>
      <c r="G11" s="33"/>
      <c r="H11" s="33"/>
      <c r="I11" s="33"/>
      <c r="J11" s="42"/>
      <c r="K11" s="33"/>
      <c r="L11" s="33"/>
      <c r="M11" s="33"/>
      <c r="N11" s="43" t="str">
        <f>IF(ISERROR(VLOOKUP(CONCATENATE($N$6,"_",M11),選手名簿!$A:$E,5,FALSE))=TRUE,"",VLOOKUP(CONCATENATE($N$6,"_",M11),選手名簿!$A:$E,5,FALSE))</f>
        <v/>
      </c>
      <c r="T11" s="31" t="s">
        <v>155</v>
      </c>
      <c r="U11" s="20" t="str">
        <f>IF(ISERROR(VLOOKUP(CONCATENATE($U$6,"_",V11),選手名簿!$A:$E,5,FALSE))=TRUE,"",VLOOKUP(CONCATENATE($U$6,"_",V11),選手名簿!$A:$E,5,FALSE))</f>
        <v/>
      </c>
      <c r="V11" s="33"/>
      <c r="W11" s="33"/>
      <c r="X11" s="33"/>
      <c r="Y11" s="42"/>
      <c r="Z11" s="33"/>
      <c r="AA11" s="33"/>
      <c r="AB11" s="33"/>
      <c r="AC11" s="43" t="str">
        <f>IF(ISERROR(VLOOKUP(CONCATENATE($AC$6,"_",AB11),選手名簿!$A:$E,5,FALSE))=TRUE,"",VLOOKUP(CONCATENATE($AC$6,"_",AB11),選手名簿!$A:$E,5,FALSE))</f>
        <v/>
      </c>
    </row>
    <row r="12" spans="1:29" ht="26.25" hidden="1" customHeight="1" x14ac:dyDescent="0.45">
      <c r="E12" s="31" t="s">
        <v>155</v>
      </c>
      <c r="F12" s="32" t="str">
        <f>IF(ISERROR(VLOOKUP(CONCATENATE($F$6,"_",G12),選手名簿!$A:$E,5,FALSE))=TRUE,"",VLOOKUP(CONCATENATE($F$6,"_",G12),選手名簿!$A:$E,5,FALSE))</f>
        <v/>
      </c>
      <c r="G12" s="33"/>
      <c r="H12" s="33"/>
      <c r="I12" s="33"/>
      <c r="J12" s="42"/>
      <c r="K12" s="33"/>
      <c r="L12" s="33"/>
      <c r="M12" s="33"/>
      <c r="N12" s="43" t="str">
        <f>IF(ISERROR(VLOOKUP(CONCATENATE($N$6,"_",M12),選手名簿!$A:$E,5,FALSE))=TRUE,"",VLOOKUP(CONCATENATE($N$6,"_",M12),選手名簿!$A:$E,5,FALSE))</f>
        <v/>
      </c>
      <c r="T12" s="31" t="s">
        <v>155</v>
      </c>
      <c r="U12" s="32" t="str">
        <f>IF(ISERROR(VLOOKUP(CONCATENATE($U$6,"_",V12),選手名簿!$A:$E,5,FALSE))=TRUE,"",VLOOKUP(CONCATENATE($U$6,"_",V12),選手名簿!$A:$E,5,FALSE))</f>
        <v/>
      </c>
      <c r="V12" s="33"/>
      <c r="W12" s="33"/>
      <c r="X12" s="33"/>
      <c r="Y12" s="42"/>
      <c r="Z12" s="33"/>
      <c r="AA12" s="33"/>
      <c r="AB12" s="33"/>
      <c r="AC12" s="43" t="str">
        <f>IF(ISERROR(VLOOKUP(CONCATENATE($AC$6,"_",AB12),選手名簿!$A:$E,5,FALSE))=TRUE,"",VLOOKUP(CONCATENATE($AC$6,"_",AB12),選手名簿!$A:$E,5,FALSE))</f>
        <v/>
      </c>
    </row>
    <row r="13" spans="1:29" ht="26.25" hidden="1" customHeight="1" x14ac:dyDescent="0.45">
      <c r="E13" s="31" t="s">
        <v>155</v>
      </c>
      <c r="F13" s="32" t="str">
        <f>IF(ISERROR(VLOOKUP(CONCATENATE($F$6,"_",G13),選手名簿!$A:$E,5,FALSE))=TRUE,"",VLOOKUP(CONCATENATE($F$6,"_",G13),選手名簿!$A:$E,5,FALSE))</f>
        <v/>
      </c>
      <c r="G13" s="33"/>
      <c r="H13" s="33"/>
      <c r="I13" s="33"/>
      <c r="J13" s="42"/>
      <c r="K13" s="33"/>
      <c r="L13" s="33"/>
      <c r="M13" s="33"/>
      <c r="N13" s="43" t="str">
        <f>IF(ISERROR(VLOOKUP(CONCATENATE($N$6,"_",M13),選手名簿!$A:$E,5,FALSE))=TRUE,"",VLOOKUP(CONCATENATE($N$6,"_",M13),選手名簿!$A:$E,5,FALSE))</f>
        <v/>
      </c>
      <c r="T13" s="31" t="s">
        <v>155</v>
      </c>
      <c r="U13" s="32" t="str">
        <f>IF(ISERROR(VLOOKUP(CONCATENATE($U$6,"_",V13),選手名簿!$A:$E,5,FALSE))=TRUE,"",VLOOKUP(CONCATENATE($U$6,"_",V13),選手名簿!$A:$E,5,FALSE))</f>
        <v/>
      </c>
      <c r="V13" s="33"/>
      <c r="W13" s="33"/>
      <c r="X13" s="33"/>
      <c r="Y13" s="42"/>
      <c r="Z13" s="33"/>
      <c r="AA13" s="33"/>
      <c r="AB13" s="33"/>
      <c r="AC13" s="43" t="str">
        <f>IF(ISERROR(VLOOKUP(CONCATENATE($AC$6,"_",AB13),選手名簿!$A:$E,5,FALSE))=TRUE,"",VLOOKUP(CONCATENATE($AC$6,"_",AB13),選手名簿!$A:$E,5,FALSE))</f>
        <v/>
      </c>
    </row>
    <row r="14" spans="1:29" ht="26.25" hidden="1" customHeight="1" x14ac:dyDescent="0.45">
      <c r="E14" s="31" t="s">
        <v>155</v>
      </c>
      <c r="F14" s="32" t="str">
        <f>IF(ISERROR(VLOOKUP(CONCATENATE($F$6,"_",G14),選手名簿!$A:$E,5,FALSE))=TRUE,"",VLOOKUP(CONCATENATE($F$6,"_",G14),選手名簿!$A:$E,5,FALSE))</f>
        <v/>
      </c>
      <c r="G14" s="33"/>
      <c r="H14" s="33"/>
      <c r="I14" s="33"/>
      <c r="J14" s="42"/>
      <c r="K14" s="33"/>
      <c r="L14" s="33"/>
      <c r="M14" s="33"/>
      <c r="N14" s="23" t="str">
        <f>IF(ISERROR(VLOOKUP(CONCATENATE($N$6,"_",M14),選手名簿!$A:$E,5,FALSE))=TRUE,"",VLOOKUP(CONCATENATE($N$6,"_",M14),選手名簿!$A:$E,5,FALSE))</f>
        <v/>
      </c>
      <c r="T14" s="31" t="s">
        <v>155</v>
      </c>
      <c r="U14" s="32" t="str">
        <f>IF(ISERROR(VLOOKUP(CONCATENATE($U$6,"_",V14),選手名簿!$A:$E,5,FALSE))=TRUE,"",VLOOKUP(CONCATENATE($U$6,"_",V14),選手名簿!$A:$E,5,FALSE))</f>
        <v/>
      </c>
      <c r="V14" s="33"/>
      <c r="W14" s="33"/>
      <c r="X14" s="33"/>
      <c r="Y14" s="42"/>
      <c r="Z14" s="33"/>
      <c r="AA14" s="33"/>
      <c r="AB14" s="33"/>
      <c r="AC14" s="23" t="str">
        <f>IF(ISERROR(VLOOKUP(CONCATENATE($AC$6,"_",AB14),選手名簿!$A:$E,5,FALSE))=TRUE,"",VLOOKUP(CONCATENATE($AC$6,"_",AB14),選手名簿!$A:$E,5,FALSE))</f>
        <v/>
      </c>
    </row>
    <row r="15" spans="1:29" ht="26.25" hidden="1" customHeight="1" x14ac:dyDescent="0.45">
      <c r="E15" s="31" t="s">
        <v>155</v>
      </c>
      <c r="F15" s="32" t="str">
        <f>IF(ISERROR(VLOOKUP(CONCATENATE($F$6,"_",G15),選手名簿!$A:$E,5,FALSE))=TRUE,"",VLOOKUP(CONCATENATE($F$6,"_",G15),選手名簿!$A:$E,5,FALSE))</f>
        <v/>
      </c>
      <c r="G15" s="33"/>
      <c r="H15" s="33"/>
      <c r="I15" s="33"/>
      <c r="J15" s="42"/>
      <c r="K15" s="33"/>
      <c r="L15" s="33"/>
      <c r="M15" s="33"/>
      <c r="N15" s="34" t="str">
        <f>IF(ISERROR(VLOOKUP(CONCATENATE($N$6,"_",M15),選手名簿!$A:$E,5,FALSE))=TRUE,"",VLOOKUP(CONCATENATE($N$6,"_",M15),選手名簿!$A:$E,5,FALSE))</f>
        <v/>
      </c>
      <c r="T15" s="31" t="s">
        <v>155</v>
      </c>
      <c r="U15" s="32" t="str">
        <f>IF(ISERROR(VLOOKUP(CONCATENATE($U$6,"_",V15),選手名簿!$A:$E,5,FALSE))=TRUE,"",VLOOKUP(CONCATENATE($U$6,"_",V15),選手名簿!$A:$E,5,FALSE))</f>
        <v/>
      </c>
      <c r="V15" s="33"/>
      <c r="W15" s="33"/>
      <c r="X15" s="33"/>
      <c r="Y15" s="42"/>
      <c r="Z15" s="33"/>
      <c r="AA15" s="33"/>
      <c r="AB15" s="33"/>
      <c r="AC15" s="34" t="str">
        <f>IF(ISERROR(VLOOKUP(CONCATENATE($AC$6,"_",AB15),選手名簿!$A:$E,5,FALSE))=TRUE,"",VLOOKUP(CONCATENATE($AC$6,"_",AB15),選手名簿!$A:$E,5,FALSE))</f>
        <v/>
      </c>
    </row>
    <row r="16" spans="1:29" ht="26.25" hidden="1" customHeight="1" x14ac:dyDescent="0.45">
      <c r="E16" s="31" t="s">
        <v>155</v>
      </c>
      <c r="F16" s="32" t="str">
        <f>IF(ISERROR(VLOOKUP(CONCATENATE($F$6,"_",G16),選手名簿!$A:$E,5,FALSE))=TRUE,"",VLOOKUP(CONCATENATE($F$6,"_",G16),選手名簿!$A:$E,5,FALSE))</f>
        <v/>
      </c>
      <c r="G16" s="33"/>
      <c r="H16" s="33"/>
      <c r="I16" s="33"/>
      <c r="J16" s="42"/>
      <c r="K16" s="33"/>
      <c r="L16" s="33"/>
      <c r="M16" s="33"/>
      <c r="N16" s="34" t="str">
        <f>IF(ISERROR(VLOOKUP(CONCATENATE($N$6,"_",M16),選手名簿!$A:$E,5,FALSE))=TRUE,"",VLOOKUP(CONCATENATE($N$6,"_",M16),選手名簿!$A:$E,5,FALSE))</f>
        <v/>
      </c>
      <c r="T16" s="31" t="s">
        <v>155</v>
      </c>
      <c r="U16" s="32" t="str">
        <f>IF(ISERROR(VLOOKUP(CONCATENATE($U$6,"_",V16),選手名簿!$A:$E,5,FALSE))=TRUE,"",VLOOKUP(CONCATENATE($U$6,"_",V16),選手名簿!$A:$E,5,FALSE))</f>
        <v/>
      </c>
      <c r="V16" s="33"/>
      <c r="W16" s="33"/>
      <c r="X16" s="33"/>
      <c r="Y16" s="42"/>
      <c r="Z16" s="33"/>
      <c r="AA16" s="33"/>
      <c r="AB16" s="33"/>
      <c r="AC16" s="34" t="str">
        <f>IF(ISERROR(VLOOKUP(CONCATENATE($AC$6,"_",AB16),選手名簿!$A:$E,5,FALSE))=TRUE,"",VLOOKUP(CONCATENATE($AC$6,"_",AB16),選手名簿!$A:$E,5,FALSE))</f>
        <v/>
      </c>
    </row>
    <row r="17" spans="1:29" ht="26.25" hidden="1" customHeight="1" x14ac:dyDescent="0.45">
      <c r="E17" s="31" t="s">
        <v>155</v>
      </c>
      <c r="F17" s="32" t="str">
        <f>IF(ISERROR(VLOOKUP(CONCATENATE($F$6,"_",G17),選手名簿!$A:$E,5,FALSE))=TRUE,"",VLOOKUP(CONCATENATE($F$6,"_",G17),選手名簿!$A:$E,5,FALSE))</f>
        <v/>
      </c>
      <c r="G17" s="33"/>
      <c r="H17" s="33"/>
      <c r="I17" s="33"/>
      <c r="J17" s="42"/>
      <c r="K17" s="33"/>
      <c r="L17" s="33"/>
      <c r="M17" s="33"/>
      <c r="N17" s="34" t="str">
        <f>IF(ISERROR(VLOOKUP(CONCATENATE($N$6,"_",M17),選手名簿!$A:$E,5,FALSE))=TRUE,"",VLOOKUP(CONCATENATE($N$6,"_",M17),選手名簿!$A:$E,5,FALSE))</f>
        <v/>
      </c>
      <c r="T17" s="31" t="s">
        <v>155</v>
      </c>
      <c r="U17" s="32" t="str">
        <f>IF(ISERROR(VLOOKUP(CONCATENATE($U$6,"_",V17),選手名簿!$A:$E,5,FALSE))=TRUE,"",VLOOKUP(CONCATENATE($U$6,"_",V17),選手名簿!$A:$E,5,FALSE))</f>
        <v/>
      </c>
      <c r="V17" s="33"/>
      <c r="W17" s="33"/>
      <c r="X17" s="33"/>
      <c r="Y17" s="42"/>
      <c r="Z17" s="33"/>
      <c r="AA17" s="33"/>
      <c r="AB17" s="33"/>
      <c r="AC17" s="34" t="str">
        <f>IF(ISERROR(VLOOKUP(CONCATENATE($AC$6,"_",AB17),選手名簿!$A:$E,5,FALSE))=TRUE,"",VLOOKUP(CONCATENATE($AC$6,"_",AB17),選手名簿!$A:$E,5,FALSE))</f>
        <v/>
      </c>
    </row>
    <row r="18" spans="1:29" ht="26.25" hidden="1" customHeight="1" x14ac:dyDescent="0.45">
      <c r="E18" s="31" t="s">
        <v>155</v>
      </c>
      <c r="F18" s="32" t="str">
        <f>IF(ISERROR(VLOOKUP(CONCATENATE($F$6,"_",G18),選手名簿!$A:$E,5,FALSE))=TRUE,"",VLOOKUP(CONCATENATE($F$6,"_",G18),選手名簿!$A:$E,5,FALSE))</f>
        <v/>
      </c>
      <c r="G18" s="33"/>
      <c r="H18" s="33"/>
      <c r="I18" s="33"/>
      <c r="J18" s="42"/>
      <c r="K18" s="33"/>
      <c r="L18" s="33"/>
      <c r="M18" s="33"/>
      <c r="N18" s="34" t="str">
        <f>IF(ISERROR(VLOOKUP(CONCATENATE($N$6,"_",M18),選手名簿!$A:$E,5,FALSE))=TRUE,"",VLOOKUP(CONCATENATE($N$6,"_",M18),選手名簿!$A:$E,5,FALSE))</f>
        <v/>
      </c>
      <c r="T18" s="31" t="s">
        <v>155</v>
      </c>
      <c r="U18" s="32" t="str">
        <f>IF(ISERROR(VLOOKUP(CONCATENATE($U$6,"_",V18),選手名簿!$A:$E,5,FALSE))=TRUE,"",VLOOKUP(CONCATENATE($U$6,"_",V18),選手名簿!$A:$E,5,FALSE))</f>
        <v/>
      </c>
      <c r="V18" s="33"/>
      <c r="W18" s="33"/>
      <c r="X18" s="33"/>
      <c r="Y18" s="42"/>
      <c r="Z18" s="33"/>
      <c r="AA18" s="33"/>
      <c r="AB18" s="33"/>
      <c r="AC18" s="34" t="str">
        <f>IF(ISERROR(VLOOKUP(CONCATENATE($AC$6,"_",AB18),選手名簿!$A:$E,5,FALSE))=TRUE,"",VLOOKUP(CONCATENATE($AC$6,"_",AB18),選手名簿!$A:$E,5,FALSE))</f>
        <v/>
      </c>
    </row>
    <row r="19" spans="1:29" ht="26.25" hidden="1" customHeight="1" thickBot="1" x14ac:dyDescent="0.6">
      <c r="E19" s="44" t="s">
        <v>155</v>
      </c>
      <c r="F19" s="45" t="str">
        <f>IF(ISERROR(VLOOKUP(CONCATENATE($F$6,"_",G19),選手名簿!$A:$E,5,FALSE))=TRUE,"",VLOOKUP(CONCATENATE($F$6,"_",G19),選手名簿!$A:$E,5,FALSE))</f>
        <v/>
      </c>
      <c r="G19" s="46"/>
      <c r="H19" s="46"/>
      <c r="I19" s="46"/>
      <c r="J19" s="47"/>
      <c r="K19" s="46"/>
      <c r="L19" s="46"/>
      <c r="M19" s="46"/>
      <c r="N19" s="48" t="str">
        <f>IF(ISERROR(VLOOKUP(CONCATENATE($N$6,"_",M19),選手名簿!$A:$E,5,FALSE))=TRUE,"",VLOOKUP(CONCATENATE($N$6,"_",M19),選手名簿!$A:$E,5,FALSE))</f>
        <v/>
      </c>
      <c r="T19" s="44" t="s">
        <v>155</v>
      </c>
      <c r="U19" s="45" t="str">
        <f>IF(ISERROR(VLOOKUP(CONCATENATE($U$6,"_",V19),選手名簿!$A:$E,5,FALSE))=TRUE,"",VLOOKUP(CONCATENATE($U$6,"_",V19),選手名簿!$A:$E,5,FALSE))</f>
        <v/>
      </c>
      <c r="V19" s="46"/>
      <c r="W19" s="46"/>
      <c r="X19" s="46"/>
      <c r="Y19" s="47"/>
      <c r="Z19" s="46"/>
      <c r="AA19" s="46"/>
      <c r="AB19" s="46"/>
      <c r="AC19" s="48" t="str">
        <f>IF(ISERROR(VLOOKUP(CONCATENATE($AC$6,"_",AB19),選手名簿!$A:$E,5,FALSE))=TRUE,"",VLOOKUP(CONCATENATE($AC$6,"_",AB19),選手名簿!$A:$E,5,FALSE))</f>
        <v/>
      </c>
    </row>
    <row r="20" spans="1:29" ht="26.25" customHeight="1" thickTop="1" x14ac:dyDescent="0.45">
      <c r="A20" s="787" t="s">
        <v>1565</v>
      </c>
      <c r="B20" s="787"/>
      <c r="C20" s="787"/>
      <c r="D20" s="788"/>
      <c r="E20" s="15"/>
      <c r="F20" s="16" t="s">
        <v>190</v>
      </c>
      <c r="G20" s="16" t="s">
        <v>1552</v>
      </c>
      <c r="H20" s="16" t="s">
        <v>145</v>
      </c>
      <c r="I20" s="16"/>
      <c r="J20" s="40"/>
      <c r="K20" s="16"/>
      <c r="L20" s="16" t="s">
        <v>145</v>
      </c>
      <c r="M20" s="16" t="s">
        <v>1552</v>
      </c>
      <c r="N20" s="18" t="s">
        <v>190</v>
      </c>
      <c r="P20" s="787" t="s">
        <v>1565</v>
      </c>
      <c r="Q20" s="787"/>
      <c r="R20" s="787"/>
      <c r="S20" s="788"/>
      <c r="T20" s="15"/>
      <c r="U20" s="16" t="s">
        <v>190</v>
      </c>
      <c r="V20" s="16" t="s">
        <v>1552</v>
      </c>
      <c r="W20" s="16" t="s">
        <v>145</v>
      </c>
      <c r="X20" s="16"/>
      <c r="Y20" s="40"/>
      <c r="Z20" s="16"/>
      <c r="AA20" s="16" t="s">
        <v>145</v>
      </c>
      <c r="AB20" s="16" t="s">
        <v>1552</v>
      </c>
      <c r="AC20" s="18" t="s">
        <v>190</v>
      </c>
    </row>
    <row r="21" spans="1:29" ht="26.25" customHeight="1" x14ac:dyDescent="0.45">
      <c r="A21" s="29" t="s">
        <v>226</v>
      </c>
      <c r="B21" s="773" t="s">
        <v>1446</v>
      </c>
      <c r="C21" s="773"/>
      <c r="D21" s="773"/>
      <c r="E21" s="31" t="s">
        <v>196</v>
      </c>
      <c r="F21" s="32" t="str">
        <f>IF(ISERROR(VLOOKUP(CONCATENATE($F$6,"_",G21),選手名簿!$A:$E,5,FALSE))=TRUE,"",VLOOKUP(CONCATENATE($F$6,"_",G21),選手名簿!$A:$E,5,FALSE))</f>
        <v/>
      </c>
      <c r="G21" s="33"/>
      <c r="H21" s="33"/>
      <c r="I21" s="33"/>
      <c r="J21" s="42"/>
      <c r="K21" s="33"/>
      <c r="L21" s="33"/>
      <c r="M21" s="33"/>
      <c r="N21" s="34" t="str">
        <f>IF(ISERROR(VLOOKUP(CONCATENATE($N$6,"_",M21),選手名簿!$A:$E,5,FALSE))=TRUE,"",VLOOKUP(CONCATENATE($N$6,"_",M21),選手名簿!$A:$E,5,FALSE))</f>
        <v/>
      </c>
      <c r="P21" s="29" t="s">
        <v>226</v>
      </c>
      <c r="Q21" s="774" t="s">
        <v>795</v>
      </c>
      <c r="R21" s="774"/>
      <c r="S21" s="774"/>
      <c r="T21" s="31" t="s">
        <v>196</v>
      </c>
      <c r="U21" s="32" t="str">
        <f>IF(ISERROR(VLOOKUP(CONCATENATE($U$6,"_",V21),選手名簿!$A:$E,5,FALSE))=TRUE,"",VLOOKUP(CONCATENATE($U$6,"_",V21),選手名簿!$A:$E,5,FALSE))</f>
        <v/>
      </c>
      <c r="V21" s="33"/>
      <c r="W21" s="33"/>
      <c r="X21" s="33"/>
      <c r="Y21" s="42"/>
      <c r="Z21" s="33"/>
      <c r="AA21" s="33"/>
      <c r="AB21" s="33"/>
      <c r="AC21" s="34" t="str">
        <f>IF(ISERROR(VLOOKUP(CONCATENATE($AC$6,"_",AB21),選手名簿!$A:$E,5,FALSE))=TRUE,"",VLOOKUP(CONCATENATE($AC$6,"_",AB21),選手名簿!$A:$E,5,FALSE))</f>
        <v/>
      </c>
    </row>
    <row r="22" spans="1:29" ht="26.25" customHeight="1" x14ac:dyDescent="0.45">
      <c r="A22" s="29" t="s">
        <v>227</v>
      </c>
      <c r="B22" s="769" t="str">
        <f>IF(ISERROR(VLOOKUP(B21,審判員!$A:$C,2,FALSE))=TRUE,"",VLOOKUP(B21,審判員!$A:$C,2,FALSE))</f>
        <v>阿部　浩之</v>
      </c>
      <c r="C22" s="770"/>
      <c r="D22" s="83" t="str">
        <f>IF(ISERROR(VLOOKUP(B21,審判員!$A:$C,3,FALSE))=TRUE,"",VLOOKUP(B21,審判員!$A:$C,3,FALSE))</f>
        <v>３級</v>
      </c>
      <c r="E22" s="31" t="s">
        <v>196</v>
      </c>
      <c r="F22" s="32" t="str">
        <f>IF(ISERROR(VLOOKUP(CONCATENATE($F$6,"_",G22),選手名簿!$A:$E,5,FALSE))=TRUE,"",VLOOKUP(CONCATENATE($F$6,"_",G22),選手名簿!$A:$E,5,FALSE))</f>
        <v/>
      </c>
      <c r="G22" s="33"/>
      <c r="H22" s="33"/>
      <c r="I22" s="33"/>
      <c r="J22" s="42"/>
      <c r="K22" s="33"/>
      <c r="L22" s="33"/>
      <c r="M22" s="33"/>
      <c r="N22" s="34" t="str">
        <f>IF(ISERROR(VLOOKUP(CONCATENATE($N$6,"_",M22),選手名簿!$A:$E,5,FALSE))=TRUE,"",VLOOKUP(CONCATENATE($N$6,"_",M22),選手名簿!$A:$E,5,FALSE))</f>
        <v/>
      </c>
      <c r="P22" s="29" t="s">
        <v>227</v>
      </c>
      <c r="Q22" s="769" t="str">
        <f>IF(ISERROR(VLOOKUP(Q21,審判員!$A:$C,2,FALSE))=TRUE,"",VLOOKUP(Q21,審判員!$A:$C,2,FALSE))</f>
        <v>宇髙　篤史</v>
      </c>
      <c r="R22" s="770"/>
      <c r="S22" s="83" t="str">
        <f>IF(ISERROR(VLOOKUP(Q21,審判員!$A:$C,3,FALSE))=TRUE,"",VLOOKUP(Q21,審判員!$A:$C,3,FALSE))</f>
        <v>３級</v>
      </c>
      <c r="T22" s="31" t="s">
        <v>196</v>
      </c>
      <c r="U22" s="32" t="str">
        <f>IF(ISERROR(VLOOKUP(CONCATENATE($U$6,"_",V22),選手名簿!$A:$E,5,FALSE))=TRUE,"",VLOOKUP(CONCATENATE($U$6,"_",V22),選手名簿!$A:$E,5,FALSE))</f>
        <v/>
      </c>
      <c r="V22" s="33"/>
      <c r="W22" s="33"/>
      <c r="X22" s="33"/>
      <c r="Y22" s="42"/>
      <c r="Z22" s="33"/>
      <c r="AA22" s="33"/>
      <c r="AB22" s="33"/>
      <c r="AC22" s="34" t="str">
        <f>IF(ISERROR(VLOOKUP(CONCATENATE($AC$6,"_",AB22),選手名簿!$A:$E,5,FALSE))=TRUE,"",VLOOKUP(CONCATENATE($AC$6,"_",AB22),選手名簿!$A:$E,5,FALSE))</f>
        <v/>
      </c>
    </row>
    <row r="23" spans="1:29" ht="26.25" customHeight="1" x14ac:dyDescent="0.45">
      <c r="A23" s="29" t="s">
        <v>226</v>
      </c>
      <c r="B23" s="774" t="s">
        <v>639</v>
      </c>
      <c r="C23" s="774"/>
      <c r="D23" s="774"/>
      <c r="E23" s="31" t="s">
        <v>196</v>
      </c>
      <c r="F23" s="32" t="str">
        <f>IF(ISERROR(VLOOKUP(CONCATENATE($F$6,"_",G23),選手名簿!$A:$E,5,FALSE))=TRUE,"",VLOOKUP(CONCATENATE($F$6,"_",G23),選手名簿!$A:$E,5,FALSE))</f>
        <v/>
      </c>
      <c r="G23" s="33"/>
      <c r="H23" s="33"/>
      <c r="I23" s="33"/>
      <c r="J23" s="42"/>
      <c r="K23" s="33"/>
      <c r="L23" s="33"/>
      <c r="M23" s="33"/>
      <c r="N23" s="34" t="str">
        <f>IF(ISERROR(VLOOKUP(CONCATENATE($N$6,"_",M23),選手名簿!$A:$E,5,FALSE))=TRUE,"",VLOOKUP(CONCATENATE($N$6,"_",M23),選手名簿!$A:$E,5,FALSE))</f>
        <v/>
      </c>
      <c r="P23" s="29" t="s">
        <v>226</v>
      </c>
      <c r="Q23" s="774" t="s">
        <v>6915</v>
      </c>
      <c r="R23" s="774"/>
      <c r="S23" s="774"/>
      <c r="T23" s="31" t="s">
        <v>196</v>
      </c>
      <c r="U23" s="32" t="str">
        <f>IF(ISERROR(VLOOKUP(CONCATENATE($U$6,"_",V23),選手名簿!$A:$E,5,FALSE))=TRUE,"",VLOOKUP(CONCATENATE($U$6,"_",V23),選手名簿!$A:$E,5,FALSE))</f>
        <v/>
      </c>
      <c r="V23" s="33"/>
      <c r="W23" s="33"/>
      <c r="X23" s="33"/>
      <c r="Y23" s="42"/>
      <c r="Z23" s="33"/>
      <c r="AA23" s="33"/>
      <c r="AB23" s="33"/>
      <c r="AC23" s="34" t="str">
        <f>IF(ISERROR(VLOOKUP(CONCATENATE($AC$6,"_",AB23),選手名簿!$A:$E,5,FALSE))=TRUE,"",VLOOKUP(CONCATENATE($AC$6,"_",AB23),選手名簿!$A:$E,5,FALSE))</f>
        <v/>
      </c>
    </row>
    <row r="24" spans="1:29" ht="26.25" customHeight="1" x14ac:dyDescent="0.45">
      <c r="A24" s="29" t="s">
        <v>219</v>
      </c>
      <c r="B24" s="769" t="str">
        <f>IF(ISERROR(VLOOKUP(B23,審判員!$A:$C,2,FALSE))=TRUE,"",VLOOKUP(B23,審判員!$A:$C,2,FALSE))</f>
        <v>相良　章成</v>
      </c>
      <c r="C24" s="770"/>
      <c r="D24" s="83" t="str">
        <f>IF(ISERROR(VLOOKUP(B23,審判員!$A:$C,3,FALSE))=TRUE,"",VLOOKUP(B23,審判員!$A:$C,3,FALSE))</f>
        <v>３級</v>
      </c>
      <c r="E24" s="31" t="s">
        <v>196</v>
      </c>
      <c r="F24" s="32" t="str">
        <f>IF(ISERROR(VLOOKUP(CONCATENATE($F$6,"_",G24),選手名簿!$A:$E,5,FALSE))=TRUE,"",VLOOKUP(CONCATENATE($F$6,"_",G24),選手名簿!$A:$E,5,FALSE))</f>
        <v/>
      </c>
      <c r="G24" s="33"/>
      <c r="H24" s="33"/>
      <c r="I24" s="33"/>
      <c r="J24" s="42"/>
      <c r="K24" s="33"/>
      <c r="L24" s="33"/>
      <c r="M24" s="33"/>
      <c r="N24" s="34" t="str">
        <f>IF(ISERROR(VLOOKUP(CONCATENATE($N$6,"_",M24),選手名簿!$A:$E,5,FALSE))=TRUE,"",VLOOKUP(CONCATENATE($N$6,"_",M24),選手名簿!$A:$E,5,FALSE))</f>
        <v/>
      </c>
      <c r="P24" s="29" t="s">
        <v>219</v>
      </c>
      <c r="Q24" s="769" t="str">
        <f>IF(ISERROR(VLOOKUP(Q23,審判員!$A:$C,2,FALSE))=TRUE,"",VLOOKUP(Q23,審判員!$A:$C,2,FALSE))</f>
        <v>横山　大悟</v>
      </c>
      <c r="R24" s="770"/>
      <c r="S24" s="83" t="str">
        <f>IF(ISERROR(VLOOKUP(Q23,審判員!$A:$C,3,FALSE))=TRUE,"",VLOOKUP(Q23,審判員!$A:$C,3,FALSE))</f>
        <v>３級</v>
      </c>
      <c r="T24" s="31" t="s">
        <v>196</v>
      </c>
      <c r="U24" s="32" t="str">
        <f>IF(ISERROR(VLOOKUP(CONCATENATE($U$6,"_",V24),選手名簿!$A:$E,5,FALSE))=TRUE,"",VLOOKUP(CONCATENATE($U$6,"_",V24),選手名簿!$A:$E,5,FALSE))</f>
        <v/>
      </c>
      <c r="V24" s="33"/>
      <c r="W24" s="33"/>
      <c r="X24" s="33"/>
      <c r="Y24" s="42"/>
      <c r="Z24" s="33"/>
      <c r="AA24" s="33"/>
      <c r="AB24" s="33"/>
      <c r="AC24" s="34" t="str">
        <f>IF(ISERROR(VLOOKUP(CONCATENATE($AC$6,"_",AB24),選手名簿!$A:$E,5,FALSE))=TRUE,"",VLOOKUP(CONCATENATE($AC$6,"_",AB24),選手名簿!$A:$E,5,FALSE))</f>
        <v/>
      </c>
    </row>
    <row r="25" spans="1:29" ht="26.25" customHeight="1" x14ac:dyDescent="0.45">
      <c r="A25" s="29" t="s">
        <v>226</v>
      </c>
      <c r="B25" s="774" t="s">
        <v>1191</v>
      </c>
      <c r="C25" s="774"/>
      <c r="D25" s="774"/>
      <c r="E25" s="31" t="s">
        <v>196</v>
      </c>
      <c r="F25" s="32" t="str">
        <f>IF(ISERROR(VLOOKUP(CONCATENATE($F$6,"_",G25),選手名簿!$A:$E,5,FALSE))=TRUE,"",VLOOKUP(CONCATENATE($F$6,"_",G25),選手名簿!$A:$E,5,FALSE))</f>
        <v/>
      </c>
      <c r="G25" s="33"/>
      <c r="H25" s="33"/>
      <c r="I25" s="33"/>
      <c r="J25" s="42"/>
      <c r="K25" s="33"/>
      <c r="L25" s="33"/>
      <c r="M25" s="33"/>
      <c r="N25" s="34" t="str">
        <f>IF(ISERROR(VLOOKUP(CONCATENATE($N$6,"_",M25),選手名簿!$A:$E,5,FALSE))=TRUE,"",VLOOKUP(CONCATENATE($N$6,"_",M25),選手名簿!$A:$E,5,FALSE))</f>
        <v/>
      </c>
      <c r="P25" s="29" t="s">
        <v>226</v>
      </c>
      <c r="Q25" s="774" t="s">
        <v>3546</v>
      </c>
      <c r="R25" s="774"/>
      <c r="S25" s="774"/>
      <c r="T25" s="31" t="s">
        <v>196</v>
      </c>
      <c r="U25" s="32" t="str">
        <f>IF(ISERROR(VLOOKUP(CONCATENATE($U$6,"_",V25),選手名簿!$A:$E,5,FALSE))=TRUE,"",VLOOKUP(CONCATENATE($U$6,"_",V25),選手名簿!$A:$E,5,FALSE))</f>
        <v/>
      </c>
      <c r="V25" s="33"/>
      <c r="W25" s="33"/>
      <c r="X25" s="33"/>
      <c r="Y25" s="42"/>
      <c r="Z25" s="33"/>
      <c r="AA25" s="33"/>
      <c r="AB25" s="33"/>
      <c r="AC25" s="34" t="str">
        <f>IF(ISERROR(VLOOKUP(CONCATENATE($AC$6,"_",AB25),選手名簿!$A:$E,5,FALSE))=TRUE,"",VLOOKUP(CONCATENATE($AC$6,"_",AB25),選手名簿!$A:$E,5,FALSE))</f>
        <v/>
      </c>
    </row>
    <row r="26" spans="1:29" ht="26.25" customHeight="1" x14ac:dyDescent="0.45">
      <c r="A26" s="29" t="s">
        <v>218</v>
      </c>
      <c r="B26" s="769" t="str">
        <f>IF(ISERROR(VLOOKUP(B25,審判員!$A:$C,2,FALSE))=TRUE,"",VLOOKUP(B25,審判員!$A:$C,2,FALSE))</f>
        <v>佐藤　慎二</v>
      </c>
      <c r="C26" s="770"/>
      <c r="D26" s="83" t="str">
        <f>IF(ISERROR(VLOOKUP(B25,審判員!$A:$C,3,FALSE))=TRUE,"",VLOOKUP(B25,審判員!$A:$C,3,FALSE))</f>
        <v>３級</v>
      </c>
      <c r="E26" s="31" t="s">
        <v>196</v>
      </c>
      <c r="F26" s="32" t="str">
        <f>IF(ISERROR(VLOOKUP(CONCATENATE($F$6,"_",G26),選手名簿!$A:$E,5,FALSE))=TRUE,"",VLOOKUP(CONCATENATE($F$6,"_",G26),選手名簿!$A:$E,5,FALSE))</f>
        <v/>
      </c>
      <c r="G26" s="33"/>
      <c r="H26" s="33"/>
      <c r="I26" s="33"/>
      <c r="J26" s="42"/>
      <c r="K26" s="33"/>
      <c r="L26" s="33"/>
      <c r="M26" s="33"/>
      <c r="N26" s="34" t="str">
        <f>IF(ISERROR(VLOOKUP(CONCATENATE($N$6,"_",M26),選手名簿!$A:$E,5,FALSE))=TRUE,"",VLOOKUP(CONCATENATE($N$6,"_",M26),選手名簿!$A:$E,5,FALSE))</f>
        <v/>
      </c>
      <c r="P26" s="29" t="s">
        <v>218</v>
      </c>
      <c r="Q26" s="769" t="str">
        <f>IF(ISERROR(VLOOKUP(Q25,審判員!$A:$C,2,FALSE))=TRUE,"",VLOOKUP(Q25,審判員!$A:$C,2,FALSE))</f>
        <v>金田　智朗</v>
      </c>
      <c r="R26" s="770"/>
      <c r="S26" s="83" t="str">
        <f>IF(ISERROR(VLOOKUP(Q25,審判員!$A:$C,3,FALSE))=TRUE,"",VLOOKUP(Q25,審判員!$A:$C,3,FALSE))</f>
        <v>３級</v>
      </c>
      <c r="T26" s="31" t="s">
        <v>196</v>
      </c>
      <c r="U26" s="32" t="str">
        <f>IF(ISERROR(VLOOKUP(CONCATENATE($U$6,"_",V26),選手名簿!$A:$E,5,FALSE))=TRUE,"",VLOOKUP(CONCATENATE($U$6,"_",V26),選手名簿!$A:$E,5,FALSE))</f>
        <v/>
      </c>
      <c r="V26" s="33"/>
      <c r="W26" s="33"/>
      <c r="X26" s="33"/>
      <c r="Y26" s="42"/>
      <c r="Z26" s="33"/>
      <c r="AA26" s="33"/>
      <c r="AB26" s="33"/>
      <c r="AC26" s="34" t="str">
        <f>IF(ISERROR(VLOOKUP(CONCATENATE($AC$6,"_",AB26),選手名簿!$A:$E,5,FALSE))=TRUE,"",VLOOKUP(CONCATENATE($AC$6,"_",AB26),選手名簿!$A:$E,5,FALSE))</f>
        <v/>
      </c>
    </row>
    <row r="27" spans="1:29" ht="26.25" customHeight="1" x14ac:dyDescent="0.45">
      <c r="A27" s="29" t="s">
        <v>226</v>
      </c>
      <c r="B27" s="774" t="s">
        <v>1234</v>
      </c>
      <c r="C27" s="774"/>
      <c r="D27" s="774"/>
      <c r="E27" s="31" t="s">
        <v>196</v>
      </c>
      <c r="F27" s="32" t="str">
        <f>IF(ISERROR(VLOOKUP(CONCATENATE($F$6,"_",G27),選手名簿!$A:$E,5,FALSE))=TRUE,"",VLOOKUP(CONCATENATE($F$6,"_",G27),選手名簿!$A:$E,5,FALSE))</f>
        <v/>
      </c>
      <c r="G27" s="33"/>
      <c r="H27" s="33"/>
      <c r="I27" s="33"/>
      <c r="J27" s="42"/>
      <c r="K27" s="33"/>
      <c r="L27" s="33"/>
      <c r="M27" s="33"/>
      <c r="N27" s="34" t="str">
        <f>IF(ISERROR(VLOOKUP(CONCATENATE($N$6,"_",M27),選手名簿!$A:$E,5,FALSE))=TRUE,"",VLOOKUP(CONCATENATE($N$6,"_",M27),選手名簿!$A:$E,5,FALSE))</f>
        <v/>
      </c>
      <c r="P27" s="29" t="s">
        <v>226</v>
      </c>
      <c r="Q27" s="774" t="s">
        <v>575</v>
      </c>
      <c r="R27" s="774"/>
      <c r="S27" s="774"/>
      <c r="T27" s="31" t="s">
        <v>196</v>
      </c>
      <c r="U27" s="32" t="str">
        <f>IF(ISERROR(VLOOKUP(CONCATENATE($U$6,"_",V27),選手名簿!$A:$E,5,FALSE))=TRUE,"",VLOOKUP(CONCATENATE($U$6,"_",V27),選手名簿!$A:$E,5,FALSE))</f>
        <v/>
      </c>
      <c r="V27" s="33"/>
      <c r="W27" s="33"/>
      <c r="X27" s="33"/>
      <c r="Y27" s="42"/>
      <c r="Z27" s="33"/>
      <c r="AA27" s="33"/>
      <c r="AB27" s="33"/>
      <c r="AC27" s="34" t="str">
        <f>IF(ISERROR(VLOOKUP(CONCATENATE($AC$6,"_",AB27),選手名簿!$A:$E,5,FALSE))=TRUE,"",VLOOKUP(CONCATENATE($AC$6,"_",AB27),選手名簿!$A:$E,5,FALSE))</f>
        <v/>
      </c>
    </row>
    <row r="28" spans="1:29" ht="26.25" customHeight="1" thickBot="1" x14ac:dyDescent="0.6">
      <c r="A28" s="29" t="s">
        <v>217</v>
      </c>
      <c r="B28" s="769" t="str">
        <f>IF(ISERROR(VLOOKUP(B27,審判員!$A:$C,2,FALSE))=TRUE,"",VLOOKUP(B27,審判員!$A:$C,2,FALSE))</f>
        <v>小石川　悟</v>
      </c>
      <c r="C28" s="770"/>
      <c r="D28" s="83" t="str">
        <f>IF(ISERROR(VLOOKUP(B27,審判員!$A:$C,3,FALSE))=TRUE,"",VLOOKUP(B27,審判員!$A:$C,3,FALSE))</f>
        <v>３級</v>
      </c>
      <c r="E28" s="35" t="s">
        <v>196</v>
      </c>
      <c r="F28" s="36" t="str">
        <f>IF(ISERROR(VLOOKUP(CONCATENATE($F$6,"_",G28),選手名簿!$A:$E,5,FALSE))=TRUE,"",VLOOKUP(CONCATENATE($F$6,"_",G28),選手名簿!$A:$E,5,FALSE))</f>
        <v/>
      </c>
      <c r="G28" s="37"/>
      <c r="H28" s="37"/>
      <c r="I28" s="37"/>
      <c r="J28" s="49"/>
      <c r="K28" s="37"/>
      <c r="L28" s="37"/>
      <c r="M28" s="37"/>
      <c r="N28" s="38" t="str">
        <f>IF(ISERROR(VLOOKUP(CONCATENATE($N$6,"_",M28),選手名簿!$A:$E,5,FALSE))=TRUE,"",VLOOKUP(CONCATENATE($N$6,"_",M28),選手名簿!$A:$E,5,FALSE))</f>
        <v/>
      </c>
      <c r="P28" s="29" t="s">
        <v>217</v>
      </c>
      <c r="Q28" s="769" t="str">
        <f>IF(ISERROR(VLOOKUP(Q27,審判員!$A:$C,2,FALSE))=TRUE,"",VLOOKUP(Q27,審判員!$A:$C,2,FALSE))</f>
        <v>隅田　哲平</v>
      </c>
      <c r="R28" s="770"/>
      <c r="S28" s="83" t="str">
        <f>IF(ISERROR(VLOOKUP(Q27,審判員!$A:$C,3,FALSE))=TRUE,"",VLOOKUP(Q27,審判員!$A:$C,3,FALSE))</f>
        <v>３級</v>
      </c>
      <c r="T28" s="31" t="s">
        <v>196</v>
      </c>
      <c r="U28" s="36" t="str">
        <f>IF(ISERROR(VLOOKUP(CONCATENATE($U$6,"_",V28),選手名簿!$A:$E,5,FALSE))=TRUE,"",VLOOKUP(CONCATENATE($U$6,"_",V28),選手名簿!$A:$E,5,FALSE))</f>
        <v/>
      </c>
      <c r="V28" s="37"/>
      <c r="W28" s="37"/>
      <c r="X28" s="37"/>
      <c r="Y28" s="49"/>
      <c r="Z28" s="37"/>
      <c r="AA28" s="37"/>
      <c r="AB28" s="37"/>
      <c r="AC28" s="38" t="str">
        <f>IF(ISERROR(VLOOKUP(CONCATENATE($AC$6,"_",AB28),選手名簿!$A:$E,5,FALSE))=TRUE,"",VLOOKUP(CONCATENATE($AC$6,"_",AB28),選手名簿!$A:$E,5,FALSE))</f>
        <v/>
      </c>
    </row>
    <row r="29" spans="1:29" ht="9.9499999999999993" customHeight="1" x14ac:dyDescent="0.45">
      <c r="E29" s="39"/>
      <c r="T29" s="39"/>
    </row>
    <row r="30" spans="1:29" ht="9.9499999999999993" customHeight="1" x14ac:dyDescent="0.45">
      <c r="E30" s="39"/>
      <c r="T30" s="39"/>
    </row>
    <row r="31" spans="1:29" ht="9.9499999999999993" customHeight="1" x14ac:dyDescent="0.45">
      <c r="E31" s="39"/>
      <c r="T31" s="39"/>
    </row>
    <row r="32" spans="1:29" ht="9.9499999999999993" customHeight="1" x14ac:dyDescent="0.45">
      <c r="E32" s="39"/>
      <c r="T32" s="39"/>
    </row>
    <row r="33" spans="1:29" ht="27.4" customHeight="1" thickBot="1" x14ac:dyDescent="0.6">
      <c r="B33" s="9" t="s">
        <v>203</v>
      </c>
      <c r="E33" s="39"/>
      <c r="Q33" s="9" t="s">
        <v>204</v>
      </c>
      <c r="T33" s="39"/>
    </row>
    <row r="34" spans="1:29" ht="27.4" customHeight="1" x14ac:dyDescent="0.45">
      <c r="A34" s="365" t="s">
        <v>3235</v>
      </c>
      <c r="B34" s="789" t="s">
        <v>3389</v>
      </c>
      <c r="C34" s="790"/>
      <c r="D34" s="791"/>
      <c r="E34" s="778">
        <v>0.43055555555555558</v>
      </c>
      <c r="F34" s="887" t="str">
        <f>VLOOKUP(決勝トーナメント!J26,組合せ抽選用!$S:$U,3,FALSE)</f>
        <v>ＫＩＮＧＳ　ＦＯＯＴＢＡＬＬＣＬＵＢ　Ｕ－１２</v>
      </c>
      <c r="G34" s="784">
        <f>IF(I34="","",SUM(I34:I35))</f>
        <v>3</v>
      </c>
      <c r="H34" s="793" t="s">
        <v>205</v>
      </c>
      <c r="I34" s="84">
        <v>1</v>
      </c>
      <c r="J34" s="84" t="s">
        <v>116</v>
      </c>
      <c r="K34" s="84">
        <v>0</v>
      </c>
      <c r="L34" s="793" t="s">
        <v>206</v>
      </c>
      <c r="M34" s="784">
        <f>IF(K34="","",SUM(K34:K35))</f>
        <v>0</v>
      </c>
      <c r="N34" s="884" t="str">
        <f>VLOOKUP(決勝トーナメント!L26,組合せ抽選用!$S:$U,3,FALSE)</f>
        <v>スマイス・セレソン</v>
      </c>
      <c r="P34" s="365" t="s">
        <v>3235</v>
      </c>
      <c r="Q34" s="789" t="s">
        <v>11838</v>
      </c>
      <c r="R34" s="790"/>
      <c r="S34" s="791"/>
      <c r="T34" s="778">
        <v>0.43055555555555558</v>
      </c>
      <c r="U34" s="887" t="str">
        <f>VLOOKUP(決勝トーナメント!N26,組合せ抽選用!$S:$U,3,FALSE)</f>
        <v>金池長浜サッカースポーツ少年団</v>
      </c>
      <c r="V34" s="784">
        <f>IF(X34="","",SUM(X34:X35))</f>
        <v>1</v>
      </c>
      <c r="W34" s="793" t="s">
        <v>205</v>
      </c>
      <c r="X34" s="84">
        <v>0</v>
      </c>
      <c r="Y34" s="84" t="s">
        <v>116</v>
      </c>
      <c r="Z34" s="84">
        <v>0</v>
      </c>
      <c r="AA34" s="793" t="s">
        <v>206</v>
      </c>
      <c r="AB34" s="784">
        <f>IF(Z34="","",SUM(Z34:Z35))</f>
        <v>1</v>
      </c>
      <c r="AC34" s="884" t="str">
        <f>VLOOKUP(決勝トーナメント!P26,組合せ抽選用!$S:$U,3,FALSE)</f>
        <v>鶴居ＳＳＳ</v>
      </c>
    </row>
    <row r="35" spans="1:29" ht="27.4" customHeight="1" x14ac:dyDescent="0.45">
      <c r="A35" s="366" t="s">
        <v>3236</v>
      </c>
      <c r="B35" s="792" t="s">
        <v>823</v>
      </c>
      <c r="C35" s="792"/>
      <c r="D35" s="789"/>
      <c r="E35" s="779"/>
      <c r="F35" s="888"/>
      <c r="G35" s="785"/>
      <c r="H35" s="794"/>
      <c r="I35" s="9">
        <v>2</v>
      </c>
      <c r="J35" s="9" t="s">
        <v>117</v>
      </c>
      <c r="K35" s="9">
        <v>0</v>
      </c>
      <c r="L35" s="794"/>
      <c r="M35" s="785"/>
      <c r="N35" s="885"/>
      <c r="P35" s="366" t="s">
        <v>3236</v>
      </c>
      <c r="Q35" s="792" t="s">
        <v>10008</v>
      </c>
      <c r="R35" s="792"/>
      <c r="S35" s="789"/>
      <c r="T35" s="779"/>
      <c r="U35" s="888"/>
      <c r="V35" s="785"/>
      <c r="W35" s="794"/>
      <c r="X35" s="9">
        <v>1</v>
      </c>
      <c r="Y35" s="9" t="s">
        <v>117</v>
      </c>
      <c r="Z35" s="9">
        <v>1</v>
      </c>
      <c r="AA35" s="794"/>
      <c r="AB35" s="785"/>
      <c r="AC35" s="885"/>
    </row>
    <row r="36" spans="1:29" ht="27.4" customHeight="1" thickBot="1" x14ac:dyDescent="0.6">
      <c r="A36" s="366" t="s">
        <v>3237</v>
      </c>
      <c r="B36" s="792" t="s">
        <v>3920</v>
      </c>
      <c r="C36" s="792"/>
      <c r="D36" s="789"/>
      <c r="E36" s="780"/>
      <c r="F36" s="889"/>
      <c r="G36" s="786"/>
      <c r="H36" s="795"/>
      <c r="I36" s="85"/>
      <c r="J36" s="85" t="s">
        <v>188</v>
      </c>
      <c r="K36" s="85"/>
      <c r="L36" s="795"/>
      <c r="M36" s="786"/>
      <c r="N36" s="886"/>
      <c r="P36" s="366" t="s">
        <v>3237</v>
      </c>
      <c r="Q36" s="792" t="s">
        <v>1062</v>
      </c>
      <c r="R36" s="792"/>
      <c r="S36" s="789"/>
      <c r="T36" s="780"/>
      <c r="U36" s="889"/>
      <c r="V36" s="786"/>
      <c r="W36" s="795"/>
      <c r="X36" s="85">
        <v>3</v>
      </c>
      <c r="Y36" s="85" t="s">
        <v>188</v>
      </c>
      <c r="Z36" s="85">
        <v>2</v>
      </c>
      <c r="AA36" s="795"/>
      <c r="AB36" s="786"/>
      <c r="AC36" s="886"/>
    </row>
    <row r="37" spans="1:29" ht="26.25" hidden="1" customHeight="1" thickTop="1" x14ac:dyDescent="0.45">
      <c r="E37" s="15"/>
      <c r="F37" s="16" t="s">
        <v>190</v>
      </c>
      <c r="G37" s="16" t="s">
        <v>1552</v>
      </c>
      <c r="H37" s="16" t="s">
        <v>145</v>
      </c>
      <c r="I37" s="16"/>
      <c r="J37" s="40"/>
      <c r="K37" s="16"/>
      <c r="L37" s="16" t="s">
        <v>145</v>
      </c>
      <c r="M37" s="16" t="s">
        <v>1552</v>
      </c>
      <c r="N37" s="18" t="s">
        <v>190</v>
      </c>
      <c r="T37" s="15"/>
      <c r="U37" s="16" t="s">
        <v>190</v>
      </c>
      <c r="V37" s="16" t="s">
        <v>1552</v>
      </c>
      <c r="W37" s="16" t="s">
        <v>145</v>
      </c>
      <c r="X37" s="16"/>
      <c r="Y37" s="40"/>
      <c r="Z37" s="16"/>
      <c r="AA37" s="16" t="s">
        <v>145</v>
      </c>
      <c r="AB37" s="16" t="s">
        <v>1552</v>
      </c>
      <c r="AC37" s="18" t="s">
        <v>190</v>
      </c>
    </row>
    <row r="38" spans="1:29" ht="26.25" hidden="1" customHeight="1" x14ac:dyDescent="0.45">
      <c r="E38" s="31" t="s">
        <v>155</v>
      </c>
      <c r="F38" s="41" t="str">
        <f>IF(ISERROR(VLOOKUP(CONCATENATE($F$34,"_",G38),選手名簿!$A:$E,5,FALSE))=TRUE,"",VLOOKUP(CONCATENATE($F$34,"_",G38),選手名簿!$A:$E,5,FALSE))</f>
        <v/>
      </c>
      <c r="G38" s="33"/>
      <c r="H38" s="33"/>
      <c r="I38" s="33"/>
      <c r="J38" s="42"/>
      <c r="K38" s="33"/>
      <c r="L38" s="33"/>
      <c r="M38" s="33"/>
      <c r="N38" s="43" t="str">
        <f>IF(ISERROR(VLOOKUP(CONCATENATE($N$34,"_",M38),選手名簿!$A:$E,5,FALSE))=TRUE,"",VLOOKUP(CONCATENATE($N$34,"_",M38),選手名簿!$A:$E,5,FALSE))</f>
        <v/>
      </c>
      <c r="T38" s="31" t="s">
        <v>155</v>
      </c>
      <c r="U38" s="41" t="str">
        <f>IF(ISERROR(VLOOKUP(CONCATENATE($U$34,"_",V38),選手名簿!$A:$E,5,FALSE))=TRUE,"",VLOOKUP(CONCATENATE($U$34,"_",V38),選手名簿!$A:$E,5,FALSE))</f>
        <v/>
      </c>
      <c r="V38" s="33"/>
      <c r="W38" s="33"/>
      <c r="X38" s="33"/>
      <c r="Y38" s="42"/>
      <c r="Z38" s="33"/>
      <c r="AA38" s="33"/>
      <c r="AB38" s="33"/>
      <c r="AC38" s="43" t="str">
        <f>IF(ISERROR(VLOOKUP(CONCATENATE($AC$34,"_",AB38),選手名簿!$A:$E,5,FALSE))=TRUE,"",VLOOKUP(CONCATENATE($AC$34,"_",AB38),選手名簿!$A:$E,5,FALSE))</f>
        <v/>
      </c>
    </row>
    <row r="39" spans="1:29" ht="26.25" hidden="1" customHeight="1" x14ac:dyDescent="0.45">
      <c r="E39" s="31" t="s">
        <v>155</v>
      </c>
      <c r="F39" s="20" t="str">
        <f>IF(ISERROR(VLOOKUP(CONCATENATE($F$34,"_",G39),選手名簿!$A:$E,5,FALSE))=TRUE,"",VLOOKUP(CONCATENATE($F$34,"_",G39),選手名簿!$A:$E,5,FALSE))</f>
        <v/>
      </c>
      <c r="G39" s="33"/>
      <c r="H39" s="33"/>
      <c r="I39" s="33"/>
      <c r="J39" s="42"/>
      <c r="K39" s="33"/>
      <c r="L39" s="33"/>
      <c r="M39" s="33"/>
      <c r="N39" s="43" t="str">
        <f>IF(ISERROR(VLOOKUP(CONCATENATE($N$34,"_",M39),選手名簿!$A:$E,5,FALSE))=TRUE,"",VLOOKUP(CONCATENATE($N$34,"_",M39),選手名簿!$A:$E,5,FALSE))</f>
        <v/>
      </c>
      <c r="T39" s="31" t="s">
        <v>155</v>
      </c>
      <c r="U39" s="20" t="str">
        <f>IF(ISERROR(VLOOKUP(CONCATENATE($U$34,"_",V39),選手名簿!$A:$E,5,FALSE))=TRUE,"",VLOOKUP(CONCATENATE($U$34,"_",V39),選手名簿!$A:$E,5,FALSE))</f>
        <v/>
      </c>
      <c r="V39" s="33"/>
      <c r="W39" s="33"/>
      <c r="X39" s="33"/>
      <c r="Y39" s="42"/>
      <c r="Z39" s="33"/>
      <c r="AA39" s="33"/>
      <c r="AB39" s="33"/>
      <c r="AC39" s="43" t="str">
        <f>IF(ISERROR(VLOOKUP(CONCATENATE($AC$34,"_",AB39),選手名簿!$A:$E,5,FALSE))=TRUE,"",VLOOKUP(CONCATENATE($AC$34,"_",AB39),選手名簿!$A:$E,5,FALSE))</f>
        <v/>
      </c>
    </row>
    <row r="40" spans="1:29" ht="26.25" hidden="1" customHeight="1" x14ac:dyDescent="0.45">
      <c r="E40" s="31" t="s">
        <v>155</v>
      </c>
      <c r="F40" s="32" t="str">
        <f>IF(ISERROR(VLOOKUP(CONCATENATE($F$34,"_",G40),選手名簿!$A:$E,5,FALSE))=TRUE,"",VLOOKUP(CONCATENATE($F$34,"_",G40),選手名簿!$A:$E,5,FALSE))</f>
        <v/>
      </c>
      <c r="G40" s="33"/>
      <c r="H40" s="33"/>
      <c r="I40" s="33"/>
      <c r="J40" s="42"/>
      <c r="K40" s="33"/>
      <c r="L40" s="33"/>
      <c r="M40" s="33"/>
      <c r="N40" s="43" t="str">
        <f>IF(ISERROR(VLOOKUP(CONCATENATE($N$34,"_",M40),選手名簿!$A:$E,5,FALSE))=TRUE,"",VLOOKUP(CONCATENATE($N$34,"_",M40),選手名簿!$A:$E,5,FALSE))</f>
        <v/>
      </c>
      <c r="T40" s="31" t="s">
        <v>155</v>
      </c>
      <c r="U40" s="32" t="str">
        <f>IF(ISERROR(VLOOKUP(CONCATENATE($U$34,"_",V40),選手名簿!$A:$E,5,FALSE))=TRUE,"",VLOOKUP(CONCATENATE($U$34,"_",V40),選手名簿!$A:$E,5,FALSE))</f>
        <v/>
      </c>
      <c r="V40" s="33"/>
      <c r="W40" s="33"/>
      <c r="X40" s="33"/>
      <c r="Y40" s="42"/>
      <c r="Z40" s="33"/>
      <c r="AA40" s="33"/>
      <c r="AB40" s="33"/>
      <c r="AC40" s="43" t="str">
        <f>IF(ISERROR(VLOOKUP(CONCATENATE($AC$34,"_",AB40),選手名簿!$A:$E,5,FALSE))=TRUE,"",VLOOKUP(CONCATENATE($AC$34,"_",AB40),選手名簿!$A:$E,5,FALSE))</f>
        <v/>
      </c>
    </row>
    <row r="41" spans="1:29" ht="26.25" hidden="1" customHeight="1" x14ac:dyDescent="0.45">
      <c r="E41" s="31" t="s">
        <v>155</v>
      </c>
      <c r="F41" s="32" t="str">
        <f>IF(ISERROR(VLOOKUP(CONCATENATE($F$34,"_",G41),選手名簿!$A:$E,5,FALSE))=TRUE,"",VLOOKUP(CONCATENATE($F$34,"_",G41),選手名簿!$A:$E,5,FALSE))</f>
        <v/>
      </c>
      <c r="G41" s="33"/>
      <c r="H41" s="33"/>
      <c r="I41" s="33"/>
      <c r="J41" s="42"/>
      <c r="K41" s="33"/>
      <c r="L41" s="33"/>
      <c r="M41" s="33"/>
      <c r="N41" s="43" t="str">
        <f>IF(ISERROR(VLOOKUP(CONCATENATE($N$34,"_",M41),選手名簿!$A:$E,5,FALSE))=TRUE,"",VLOOKUP(CONCATENATE($N$34,"_",M41),選手名簿!$A:$E,5,FALSE))</f>
        <v/>
      </c>
      <c r="T41" s="31" t="s">
        <v>155</v>
      </c>
      <c r="U41" s="32" t="str">
        <f>IF(ISERROR(VLOOKUP(CONCATENATE($U$34,"_",V41),選手名簿!$A:$E,5,FALSE))=TRUE,"",VLOOKUP(CONCATENATE($U$34,"_",V41),選手名簿!$A:$E,5,FALSE))</f>
        <v/>
      </c>
      <c r="V41" s="33"/>
      <c r="W41" s="33"/>
      <c r="X41" s="33"/>
      <c r="Y41" s="42"/>
      <c r="Z41" s="33"/>
      <c r="AA41" s="33"/>
      <c r="AB41" s="33"/>
      <c r="AC41" s="43" t="str">
        <f>IF(ISERROR(VLOOKUP(CONCATENATE($AC$34,"_",AB41),選手名簿!$A:$E,5,FALSE))=TRUE,"",VLOOKUP(CONCATENATE($AC$34,"_",AB41),選手名簿!$A:$E,5,FALSE))</f>
        <v/>
      </c>
    </row>
    <row r="42" spans="1:29" ht="26.25" hidden="1" customHeight="1" x14ac:dyDescent="0.45">
      <c r="E42" s="31" t="s">
        <v>155</v>
      </c>
      <c r="F42" s="32" t="str">
        <f>IF(ISERROR(VLOOKUP(CONCATENATE($F$34,"_",G42),選手名簿!$A:$E,5,FALSE))=TRUE,"",VLOOKUP(CONCATENATE($F$34,"_",G42),選手名簿!$A:$E,5,FALSE))</f>
        <v/>
      </c>
      <c r="G42" s="33"/>
      <c r="H42" s="33"/>
      <c r="I42" s="33"/>
      <c r="J42" s="42"/>
      <c r="K42" s="33"/>
      <c r="L42" s="33"/>
      <c r="M42" s="33"/>
      <c r="N42" s="23" t="str">
        <f>IF(ISERROR(VLOOKUP(CONCATENATE($N$34,"_",M42),選手名簿!$A:$E,5,FALSE))=TRUE,"",VLOOKUP(CONCATENATE($N$34,"_",M42),選手名簿!$A:$E,5,FALSE))</f>
        <v/>
      </c>
      <c r="T42" s="31" t="s">
        <v>155</v>
      </c>
      <c r="U42" s="32" t="str">
        <f>IF(ISERROR(VLOOKUP(CONCATENATE($U$34,"_",V42),選手名簿!$A:$E,5,FALSE))=TRUE,"",VLOOKUP(CONCATENATE($U$34,"_",V42),選手名簿!$A:$E,5,FALSE))</f>
        <v/>
      </c>
      <c r="V42" s="33"/>
      <c r="W42" s="33"/>
      <c r="X42" s="33"/>
      <c r="Y42" s="42"/>
      <c r="Z42" s="33"/>
      <c r="AA42" s="33"/>
      <c r="AB42" s="33"/>
      <c r="AC42" s="23" t="str">
        <f>IF(ISERROR(VLOOKUP(CONCATENATE($AC$34,"_",AB42),選手名簿!$A:$E,5,FALSE))=TRUE,"",VLOOKUP(CONCATENATE($AC$34,"_",AB42),選手名簿!$A:$E,5,FALSE))</f>
        <v/>
      </c>
    </row>
    <row r="43" spans="1:29" ht="26.25" hidden="1" customHeight="1" x14ac:dyDescent="0.45">
      <c r="E43" s="31" t="s">
        <v>155</v>
      </c>
      <c r="F43" s="32" t="str">
        <f>IF(ISERROR(VLOOKUP(CONCATENATE($F$34,"_",G43),選手名簿!$A:$E,5,FALSE))=TRUE,"",VLOOKUP(CONCATENATE($F$34,"_",G43),選手名簿!$A:$E,5,FALSE))</f>
        <v/>
      </c>
      <c r="G43" s="33"/>
      <c r="H43" s="33"/>
      <c r="I43" s="33"/>
      <c r="J43" s="42"/>
      <c r="K43" s="33"/>
      <c r="L43" s="33"/>
      <c r="M43" s="33"/>
      <c r="N43" s="34" t="str">
        <f>IF(ISERROR(VLOOKUP(CONCATENATE($N$34,"_",M43),選手名簿!$A:$E,5,FALSE))=TRUE,"",VLOOKUP(CONCATENATE($N$34,"_",M43),選手名簿!$A:$E,5,FALSE))</f>
        <v/>
      </c>
      <c r="T43" s="31" t="s">
        <v>155</v>
      </c>
      <c r="U43" s="32" t="str">
        <f>IF(ISERROR(VLOOKUP(CONCATENATE($U$34,"_",V43),選手名簿!$A:$E,5,FALSE))=TRUE,"",VLOOKUP(CONCATENATE($U$34,"_",V43),選手名簿!$A:$E,5,FALSE))</f>
        <v/>
      </c>
      <c r="V43" s="33"/>
      <c r="W43" s="33"/>
      <c r="X43" s="33"/>
      <c r="Y43" s="42"/>
      <c r="Z43" s="33"/>
      <c r="AA43" s="33"/>
      <c r="AB43" s="33"/>
      <c r="AC43" s="34" t="str">
        <f>IF(ISERROR(VLOOKUP(CONCATENATE($AC$34,"_",AB43),選手名簿!$A:$E,5,FALSE))=TRUE,"",VLOOKUP(CONCATENATE($AC$34,"_",AB43),選手名簿!$A:$E,5,FALSE))</f>
        <v/>
      </c>
    </row>
    <row r="44" spans="1:29" ht="26.25" hidden="1" customHeight="1" x14ac:dyDescent="0.45">
      <c r="E44" s="31" t="s">
        <v>155</v>
      </c>
      <c r="F44" s="32" t="str">
        <f>IF(ISERROR(VLOOKUP(CONCATENATE($F$34,"_",G44),選手名簿!$A:$E,5,FALSE))=TRUE,"",VLOOKUP(CONCATENATE($F$34,"_",G44),選手名簿!$A:$E,5,FALSE))</f>
        <v/>
      </c>
      <c r="G44" s="33"/>
      <c r="H44" s="33"/>
      <c r="I44" s="33"/>
      <c r="J44" s="42"/>
      <c r="K44" s="33"/>
      <c r="L44" s="33"/>
      <c r="M44" s="33"/>
      <c r="N44" s="34" t="str">
        <f>IF(ISERROR(VLOOKUP(CONCATENATE($N$34,"_",M44),選手名簿!$A:$E,5,FALSE))=TRUE,"",VLOOKUP(CONCATENATE($N$34,"_",M44),選手名簿!$A:$E,5,FALSE))</f>
        <v/>
      </c>
      <c r="T44" s="31" t="s">
        <v>155</v>
      </c>
      <c r="U44" s="32" t="str">
        <f>IF(ISERROR(VLOOKUP(CONCATENATE($U$34,"_",V44),選手名簿!$A:$E,5,FALSE))=TRUE,"",VLOOKUP(CONCATENATE($U$34,"_",V44),選手名簿!$A:$E,5,FALSE))</f>
        <v/>
      </c>
      <c r="V44" s="33"/>
      <c r="W44" s="33"/>
      <c r="X44" s="33"/>
      <c r="Y44" s="42"/>
      <c r="Z44" s="33"/>
      <c r="AA44" s="33"/>
      <c r="AB44" s="33"/>
      <c r="AC44" s="34" t="str">
        <f>IF(ISERROR(VLOOKUP(CONCATENATE($AC$34,"_",AB44),選手名簿!$A:$E,5,FALSE))=TRUE,"",VLOOKUP(CONCATENATE($AC$34,"_",AB44),選手名簿!$A:$E,5,FALSE))</f>
        <v/>
      </c>
    </row>
    <row r="45" spans="1:29" ht="26.25" hidden="1" customHeight="1" x14ac:dyDescent="0.45">
      <c r="E45" s="31" t="s">
        <v>155</v>
      </c>
      <c r="F45" s="32" t="str">
        <f>IF(ISERROR(VLOOKUP(CONCATENATE($F$34,"_",G45),選手名簿!$A:$E,5,FALSE))=TRUE,"",VLOOKUP(CONCATENATE($F$34,"_",G45),選手名簿!$A:$E,5,FALSE))</f>
        <v/>
      </c>
      <c r="G45" s="33"/>
      <c r="H45" s="33"/>
      <c r="I45" s="33"/>
      <c r="J45" s="42"/>
      <c r="K45" s="33"/>
      <c r="L45" s="33"/>
      <c r="M45" s="33"/>
      <c r="N45" s="34" t="str">
        <f>IF(ISERROR(VLOOKUP(CONCATENATE($N$34,"_",M45),選手名簿!$A:$E,5,FALSE))=TRUE,"",VLOOKUP(CONCATENATE($N$34,"_",M45),選手名簿!$A:$E,5,FALSE))</f>
        <v/>
      </c>
      <c r="T45" s="31" t="s">
        <v>155</v>
      </c>
      <c r="U45" s="32" t="str">
        <f>IF(ISERROR(VLOOKUP(CONCATENATE($U$34,"_",V45),選手名簿!$A:$E,5,FALSE))=TRUE,"",VLOOKUP(CONCATENATE($U$34,"_",V45),選手名簿!$A:$E,5,FALSE))</f>
        <v/>
      </c>
      <c r="V45" s="33"/>
      <c r="W45" s="33"/>
      <c r="X45" s="33"/>
      <c r="Y45" s="42"/>
      <c r="Z45" s="33"/>
      <c r="AA45" s="33"/>
      <c r="AB45" s="33"/>
      <c r="AC45" s="34" t="str">
        <f>IF(ISERROR(VLOOKUP(CONCATENATE($AC$34,"_",AB45),選手名簿!$A:$E,5,FALSE))=TRUE,"",VLOOKUP(CONCATENATE($AC$34,"_",AB45),選手名簿!$A:$E,5,FALSE))</f>
        <v/>
      </c>
    </row>
    <row r="46" spans="1:29" ht="26.25" hidden="1" customHeight="1" x14ac:dyDescent="0.45">
      <c r="E46" s="31" t="s">
        <v>155</v>
      </c>
      <c r="F46" s="32" t="str">
        <f>IF(ISERROR(VLOOKUP(CONCATENATE($F$34,"_",G46),選手名簿!$A:$E,5,FALSE))=TRUE,"",VLOOKUP(CONCATENATE($F$34,"_",G46),選手名簿!$A:$E,5,FALSE))</f>
        <v/>
      </c>
      <c r="G46" s="33"/>
      <c r="H46" s="33"/>
      <c r="I46" s="33"/>
      <c r="J46" s="42"/>
      <c r="K46" s="33"/>
      <c r="L46" s="33"/>
      <c r="M46" s="33"/>
      <c r="N46" s="34" t="str">
        <f>IF(ISERROR(VLOOKUP(CONCATENATE($N$34,"_",M46),選手名簿!$A:$E,5,FALSE))=TRUE,"",VLOOKUP(CONCATENATE($N$34,"_",M46),選手名簿!$A:$E,5,FALSE))</f>
        <v/>
      </c>
      <c r="T46" s="31" t="s">
        <v>155</v>
      </c>
      <c r="U46" s="32" t="str">
        <f>IF(ISERROR(VLOOKUP(CONCATENATE($U$34,"_",V46),選手名簿!$A:$E,5,FALSE))=TRUE,"",VLOOKUP(CONCATENATE($U$34,"_",V46),選手名簿!$A:$E,5,FALSE))</f>
        <v/>
      </c>
      <c r="V46" s="33"/>
      <c r="W46" s="33"/>
      <c r="X46" s="33"/>
      <c r="Y46" s="42"/>
      <c r="Z46" s="33"/>
      <c r="AA46" s="33"/>
      <c r="AB46" s="33"/>
      <c r="AC46" s="34" t="str">
        <f>IF(ISERROR(VLOOKUP(CONCATENATE($AC$34,"_",AB46),選手名簿!$A:$E,5,FALSE))=TRUE,"",VLOOKUP(CONCATENATE($AC$34,"_",AB46),選手名簿!$A:$E,5,FALSE))</f>
        <v/>
      </c>
    </row>
    <row r="47" spans="1:29" ht="26.25" hidden="1" customHeight="1" thickBot="1" x14ac:dyDescent="0.6">
      <c r="E47" s="44" t="s">
        <v>155</v>
      </c>
      <c r="F47" s="45" t="str">
        <f>IF(ISERROR(VLOOKUP(CONCATENATE($F$34,"_",G47),選手名簿!$A:$E,5,FALSE))=TRUE,"",VLOOKUP(CONCATENATE($F$34,"_",G47),選手名簿!$A:$E,5,FALSE))</f>
        <v/>
      </c>
      <c r="G47" s="46"/>
      <c r="H47" s="46"/>
      <c r="I47" s="46"/>
      <c r="J47" s="47"/>
      <c r="K47" s="46"/>
      <c r="L47" s="46"/>
      <c r="M47" s="46"/>
      <c r="N47" s="48" t="str">
        <f>IF(ISERROR(VLOOKUP(CONCATENATE($N$34,"_",M47),選手名簿!$A:$E,5,FALSE))=TRUE,"",VLOOKUP(CONCATENATE($N$34,"_",M47),選手名簿!$A:$E,5,FALSE))</f>
        <v/>
      </c>
      <c r="T47" s="44" t="s">
        <v>155</v>
      </c>
      <c r="U47" s="45" t="str">
        <f>IF(ISERROR(VLOOKUP(CONCATENATE($U$34,"_",V47),選手名簿!$A:$E,5,FALSE))=TRUE,"",VLOOKUP(CONCATENATE($U$34,"_",V47),選手名簿!$A:$E,5,FALSE))</f>
        <v/>
      </c>
      <c r="V47" s="46"/>
      <c r="W47" s="46"/>
      <c r="X47" s="46"/>
      <c r="Y47" s="47"/>
      <c r="Z47" s="46"/>
      <c r="AA47" s="46"/>
      <c r="AB47" s="46"/>
      <c r="AC47" s="48" t="str">
        <f>IF(ISERROR(VLOOKUP(CONCATENATE($AC$34,"_",AB47),選手名簿!$A:$E,5,FALSE))=TRUE,"",VLOOKUP(CONCATENATE($AC$34,"_",AB47),選手名簿!$A:$E,5,FALSE))</f>
        <v/>
      </c>
    </row>
    <row r="48" spans="1:29" ht="26.25" customHeight="1" thickTop="1" x14ac:dyDescent="0.45">
      <c r="A48" s="787" t="s">
        <v>1565</v>
      </c>
      <c r="B48" s="787"/>
      <c r="C48" s="787"/>
      <c r="D48" s="788"/>
      <c r="E48" s="15"/>
      <c r="F48" s="16" t="s">
        <v>190</v>
      </c>
      <c r="G48" s="16" t="s">
        <v>1552</v>
      </c>
      <c r="H48" s="16" t="s">
        <v>145</v>
      </c>
      <c r="I48" s="16"/>
      <c r="J48" s="40"/>
      <c r="K48" s="16"/>
      <c r="L48" s="16" t="s">
        <v>145</v>
      </c>
      <c r="M48" s="16" t="s">
        <v>1552</v>
      </c>
      <c r="N48" s="18" t="s">
        <v>190</v>
      </c>
      <c r="P48" s="787" t="s">
        <v>1565</v>
      </c>
      <c r="Q48" s="787"/>
      <c r="R48" s="787"/>
      <c r="S48" s="788"/>
      <c r="T48" s="15"/>
      <c r="U48" s="16" t="s">
        <v>190</v>
      </c>
      <c r="V48" s="16" t="s">
        <v>1552</v>
      </c>
      <c r="W48" s="16" t="s">
        <v>145</v>
      </c>
      <c r="X48" s="16"/>
      <c r="Y48" s="40"/>
      <c r="Z48" s="16"/>
      <c r="AA48" s="16" t="s">
        <v>145</v>
      </c>
      <c r="AB48" s="16" t="s">
        <v>1552</v>
      </c>
      <c r="AC48" s="18" t="s">
        <v>190</v>
      </c>
    </row>
    <row r="49" spans="1:29" ht="26.25" customHeight="1" x14ac:dyDescent="0.45">
      <c r="A49" s="29" t="s">
        <v>226</v>
      </c>
      <c r="B49" s="774" t="s">
        <v>11893</v>
      </c>
      <c r="C49" s="774"/>
      <c r="D49" s="774"/>
      <c r="E49" s="31" t="s">
        <v>196</v>
      </c>
      <c r="F49" s="32" t="str">
        <f>IF(ISERROR(VLOOKUP(CONCATENATE($F$34,"_",G49),選手名簿!$A:$E,5,FALSE))=TRUE,"",VLOOKUP(CONCATENATE($F$34,"_",G49),選手名簿!$A:$E,5,FALSE))</f>
        <v/>
      </c>
      <c r="G49" s="33"/>
      <c r="H49" s="33"/>
      <c r="I49" s="33"/>
      <c r="J49" s="42"/>
      <c r="K49" s="33"/>
      <c r="L49" s="33"/>
      <c r="M49" s="33"/>
      <c r="N49" s="34" t="str">
        <f>IF(ISERROR(VLOOKUP(CONCATENATE($N$34,"_",M49),選手名簿!$A:$E,5,FALSE))=TRUE,"",VLOOKUP(CONCATENATE($N$34,"_",M49),選手名簿!$A:$E,5,FALSE))</f>
        <v/>
      </c>
      <c r="P49" s="29" t="s">
        <v>226</v>
      </c>
      <c r="Q49" s="774" t="s">
        <v>11895</v>
      </c>
      <c r="R49" s="774"/>
      <c r="S49" s="774"/>
      <c r="T49" s="31" t="s">
        <v>196</v>
      </c>
      <c r="U49" s="32" t="str">
        <f>IF(ISERROR(VLOOKUP(CONCATENATE($U$34,"_",V49),選手名簿!$A:$E,5,FALSE))=TRUE,"",VLOOKUP(CONCATENATE($U$34,"_",V49),選手名簿!$A:$E,5,FALSE))</f>
        <v/>
      </c>
      <c r="V49" s="33"/>
      <c r="W49" s="33"/>
      <c r="X49" s="33"/>
      <c r="Y49" s="42"/>
      <c r="Z49" s="33"/>
      <c r="AA49" s="33"/>
      <c r="AB49" s="33"/>
      <c r="AC49" s="34" t="str">
        <f>IF(ISERROR(VLOOKUP(CONCATENATE($AC$34,"_",AB49),選手名簿!$A:$E,5,FALSE))=TRUE,"",VLOOKUP(CONCATENATE($AC$34,"_",AB49),選手名簿!$A:$E,5,FALSE))</f>
        <v/>
      </c>
    </row>
    <row r="50" spans="1:29" ht="26.25" customHeight="1" x14ac:dyDescent="0.45">
      <c r="A50" s="29" t="s">
        <v>227</v>
      </c>
      <c r="B50" s="769" t="str">
        <f>IF(ISERROR(VLOOKUP(B49,審判員!$A:$C,2,FALSE))=TRUE,"",VLOOKUP(B49,審判員!$A:$C,2,FALSE))</f>
        <v>須藤　健二</v>
      </c>
      <c r="C50" s="770"/>
      <c r="D50" s="83" t="str">
        <f>IF(ISERROR(VLOOKUP(B49,審判員!$A:$C,3,FALSE))=TRUE,"",VLOOKUP(B49,審判員!$A:$C,3,FALSE))</f>
        <v>２級</v>
      </c>
      <c r="E50" s="31" t="s">
        <v>196</v>
      </c>
      <c r="F50" s="32" t="str">
        <f>IF(ISERROR(VLOOKUP(CONCATENATE($F$34,"_",G50),選手名簿!$A:$E,5,FALSE))=TRUE,"",VLOOKUP(CONCATENATE($F$34,"_",G50),選手名簿!$A:$E,5,FALSE))</f>
        <v/>
      </c>
      <c r="G50" s="33"/>
      <c r="H50" s="33"/>
      <c r="I50" s="33"/>
      <c r="J50" s="42"/>
      <c r="K50" s="33"/>
      <c r="L50" s="33"/>
      <c r="M50" s="33"/>
      <c r="N50" s="34" t="str">
        <f>IF(ISERROR(VLOOKUP(CONCATENATE($N$34,"_",M50),選手名簿!$A:$E,5,FALSE))=TRUE,"",VLOOKUP(CONCATENATE($N$34,"_",M50),選手名簿!$A:$E,5,FALSE))</f>
        <v/>
      </c>
      <c r="P50" s="29" t="s">
        <v>227</v>
      </c>
      <c r="Q50" s="769" t="str">
        <f>IF(ISERROR(VLOOKUP(Q49,審判員!$A:$C,2,FALSE))=TRUE,"",VLOOKUP(Q49,審判員!$A:$C,2,FALSE))</f>
        <v>真鍋　裕一</v>
      </c>
      <c r="R50" s="770"/>
      <c r="S50" s="83" t="str">
        <f>IF(ISERROR(VLOOKUP(Q49,審判員!$A:$C,3,FALSE))=TRUE,"",VLOOKUP(Q49,審判員!$A:$C,3,FALSE))</f>
        <v>３級</v>
      </c>
      <c r="T50" s="31" t="s">
        <v>196</v>
      </c>
      <c r="U50" s="32" t="str">
        <f>IF(ISERROR(VLOOKUP(CONCATENATE($U$34,"_",V50),選手名簿!$A:$E,5,FALSE))=TRUE,"",VLOOKUP(CONCATENATE($U$34,"_",V50),選手名簿!$A:$E,5,FALSE))</f>
        <v/>
      </c>
      <c r="V50" s="33"/>
      <c r="W50" s="33"/>
      <c r="X50" s="33"/>
      <c r="Y50" s="42"/>
      <c r="Z50" s="33"/>
      <c r="AA50" s="33"/>
      <c r="AB50" s="33"/>
      <c r="AC50" s="34" t="str">
        <f>IF(ISERROR(VLOOKUP(CONCATENATE($AC$34,"_",AB50),選手名簿!$A:$E,5,FALSE))=TRUE,"",VLOOKUP(CONCATENATE($AC$34,"_",AB50),選手名簿!$A:$E,5,FALSE))</f>
        <v/>
      </c>
    </row>
    <row r="51" spans="1:29" ht="26.25" customHeight="1" x14ac:dyDescent="0.45">
      <c r="A51" s="29" t="s">
        <v>226</v>
      </c>
      <c r="B51" s="774" t="s">
        <v>1272</v>
      </c>
      <c r="C51" s="774"/>
      <c r="D51" s="774"/>
      <c r="E51" s="31" t="s">
        <v>196</v>
      </c>
      <c r="F51" s="32" t="str">
        <f>IF(ISERROR(VLOOKUP(CONCATENATE($F$34,"_",G51),選手名簿!$A:$E,5,FALSE))=TRUE,"",VLOOKUP(CONCATENATE($F$34,"_",G51),選手名簿!$A:$E,5,FALSE))</f>
        <v/>
      </c>
      <c r="G51" s="33"/>
      <c r="H51" s="33"/>
      <c r="I51" s="33"/>
      <c r="J51" s="42"/>
      <c r="K51" s="33"/>
      <c r="L51" s="33"/>
      <c r="M51" s="33"/>
      <c r="N51" s="34" t="str">
        <f>IF(ISERROR(VLOOKUP(CONCATENATE($N$34,"_",M51),選手名簿!$A:$E,5,FALSE))=TRUE,"",VLOOKUP(CONCATENATE($N$34,"_",M51),選手名簿!$A:$E,5,FALSE))</f>
        <v/>
      </c>
      <c r="P51" s="29" t="s">
        <v>226</v>
      </c>
      <c r="Q51" s="774" t="s">
        <v>2177</v>
      </c>
      <c r="R51" s="774"/>
      <c r="S51" s="774"/>
      <c r="T51" s="31" t="s">
        <v>196</v>
      </c>
      <c r="U51" s="32" t="str">
        <f>IF(ISERROR(VLOOKUP(CONCATENATE($U$34,"_",V51),選手名簿!$A:$E,5,FALSE))=TRUE,"",VLOOKUP(CONCATENATE($U$34,"_",V51),選手名簿!$A:$E,5,FALSE))</f>
        <v/>
      </c>
      <c r="V51" s="33"/>
      <c r="W51" s="33"/>
      <c r="X51" s="33"/>
      <c r="Y51" s="42"/>
      <c r="Z51" s="33"/>
      <c r="AA51" s="33"/>
      <c r="AB51" s="33"/>
      <c r="AC51" s="34" t="str">
        <f>IF(ISERROR(VLOOKUP(CONCATENATE($AC$34,"_",AB51),選手名簿!$A:$E,5,FALSE))=TRUE,"",VLOOKUP(CONCATENATE($AC$34,"_",AB51),選手名簿!$A:$E,5,FALSE))</f>
        <v/>
      </c>
    </row>
    <row r="52" spans="1:29" ht="26.25" customHeight="1" x14ac:dyDescent="0.45">
      <c r="A52" s="29" t="s">
        <v>219</v>
      </c>
      <c r="B52" s="769" t="str">
        <f>IF(ISERROR(VLOOKUP(B51,審判員!$A:$C,2,FALSE))=TRUE,"",VLOOKUP(B51,審判員!$A:$C,2,FALSE))</f>
        <v>菊地　謙一</v>
      </c>
      <c r="C52" s="770"/>
      <c r="D52" s="83" t="str">
        <f>IF(ISERROR(VLOOKUP(B51,審判員!$A:$C,3,FALSE))=TRUE,"",VLOOKUP(B51,審判員!$A:$C,3,FALSE))</f>
        <v>３級</v>
      </c>
      <c r="E52" s="31" t="s">
        <v>196</v>
      </c>
      <c r="F52" s="32" t="str">
        <f>IF(ISERROR(VLOOKUP(CONCATENATE($F$34,"_",G52),選手名簿!$A:$E,5,FALSE))=TRUE,"",VLOOKUP(CONCATENATE($F$34,"_",G52),選手名簿!$A:$E,5,FALSE))</f>
        <v/>
      </c>
      <c r="G52" s="33"/>
      <c r="H52" s="33"/>
      <c r="I52" s="33"/>
      <c r="J52" s="42"/>
      <c r="K52" s="33"/>
      <c r="L52" s="33"/>
      <c r="M52" s="33"/>
      <c r="N52" s="34" t="str">
        <f>IF(ISERROR(VLOOKUP(CONCATENATE($N$34,"_",M52),選手名簿!$A:$E,5,FALSE))=TRUE,"",VLOOKUP(CONCATENATE($N$34,"_",M52),選手名簿!$A:$E,5,FALSE))</f>
        <v/>
      </c>
      <c r="P52" s="29" t="s">
        <v>219</v>
      </c>
      <c r="Q52" s="769" t="str">
        <f>IF(ISERROR(VLOOKUP(Q51,審判員!$A:$C,2,FALSE))=TRUE,"",VLOOKUP(Q51,審判員!$A:$C,2,FALSE))</f>
        <v>安部　正信</v>
      </c>
      <c r="R52" s="770"/>
      <c r="S52" s="83" t="str">
        <f>IF(ISERROR(VLOOKUP(Q51,審判員!$A:$C,3,FALSE))=TRUE,"",VLOOKUP(Q51,審判員!$A:$C,3,FALSE))</f>
        <v>３級</v>
      </c>
      <c r="T52" s="31" t="s">
        <v>196</v>
      </c>
      <c r="U52" s="32" t="str">
        <f>IF(ISERROR(VLOOKUP(CONCATENATE($U$34,"_",V52),選手名簿!$A:$E,5,FALSE))=TRUE,"",VLOOKUP(CONCATENATE($U$34,"_",V52),選手名簿!$A:$E,5,FALSE))</f>
        <v/>
      </c>
      <c r="V52" s="33"/>
      <c r="W52" s="33"/>
      <c r="X52" s="33"/>
      <c r="Y52" s="42"/>
      <c r="Z52" s="33"/>
      <c r="AA52" s="33"/>
      <c r="AB52" s="33"/>
      <c r="AC52" s="34" t="str">
        <f>IF(ISERROR(VLOOKUP(CONCATENATE($AC$34,"_",AB52),選手名簿!$A:$E,5,FALSE))=TRUE,"",VLOOKUP(CONCATENATE($AC$34,"_",AB52),選手名簿!$A:$E,5,FALSE))</f>
        <v/>
      </c>
    </row>
    <row r="53" spans="1:29" ht="26.25" customHeight="1" x14ac:dyDescent="0.45">
      <c r="A53" s="29" t="s">
        <v>226</v>
      </c>
      <c r="B53" s="774" t="s">
        <v>598</v>
      </c>
      <c r="C53" s="774"/>
      <c r="D53" s="774"/>
      <c r="E53" s="31" t="s">
        <v>196</v>
      </c>
      <c r="F53" s="32" t="str">
        <f>IF(ISERROR(VLOOKUP(CONCATENATE($F$34,"_",G53),選手名簿!$A:$E,5,FALSE))=TRUE,"",VLOOKUP(CONCATENATE($F$34,"_",G53),選手名簿!$A:$E,5,FALSE))</f>
        <v/>
      </c>
      <c r="G53" s="33"/>
      <c r="H53" s="33"/>
      <c r="I53" s="33"/>
      <c r="J53" s="42"/>
      <c r="K53" s="33"/>
      <c r="L53" s="33"/>
      <c r="M53" s="33"/>
      <c r="N53" s="34" t="str">
        <f>IF(ISERROR(VLOOKUP(CONCATENATE($N$34,"_",M53),選手名簿!$A:$E,5,FALSE))=TRUE,"",VLOOKUP(CONCATENATE($N$34,"_",M53),選手名簿!$A:$E,5,FALSE))</f>
        <v/>
      </c>
      <c r="P53" s="29" t="s">
        <v>226</v>
      </c>
      <c r="Q53" s="774" t="s">
        <v>327</v>
      </c>
      <c r="R53" s="774"/>
      <c r="S53" s="774"/>
      <c r="T53" s="31" t="s">
        <v>196</v>
      </c>
      <c r="U53" s="32" t="str">
        <f>IF(ISERROR(VLOOKUP(CONCATENATE($U$34,"_",V53),選手名簿!$A:$E,5,FALSE))=TRUE,"",VLOOKUP(CONCATENATE($U$34,"_",V53),選手名簿!$A:$E,5,FALSE))</f>
        <v/>
      </c>
      <c r="V53" s="33"/>
      <c r="W53" s="33"/>
      <c r="X53" s="33"/>
      <c r="Y53" s="42"/>
      <c r="Z53" s="33"/>
      <c r="AA53" s="33"/>
      <c r="AB53" s="33"/>
      <c r="AC53" s="34" t="str">
        <f>IF(ISERROR(VLOOKUP(CONCATENATE($AC$34,"_",AB53),選手名簿!$A:$E,5,FALSE))=TRUE,"",VLOOKUP(CONCATENATE($AC$34,"_",AB53),選手名簿!$A:$E,5,FALSE))</f>
        <v/>
      </c>
    </row>
    <row r="54" spans="1:29" ht="26.25" customHeight="1" x14ac:dyDescent="0.45">
      <c r="A54" s="29" t="s">
        <v>218</v>
      </c>
      <c r="B54" s="769" t="str">
        <f>IF(ISERROR(VLOOKUP(B53,審判員!$A:$C,2,FALSE))=TRUE,"",VLOOKUP(B53,審判員!$A:$C,2,FALSE))</f>
        <v>白江　直樹</v>
      </c>
      <c r="C54" s="770"/>
      <c r="D54" s="83" t="str">
        <f>IF(ISERROR(VLOOKUP(B53,審判員!$A:$C,3,FALSE))=TRUE,"",VLOOKUP(B53,審判員!$A:$C,3,FALSE))</f>
        <v>３級</v>
      </c>
      <c r="E54" s="31" t="s">
        <v>196</v>
      </c>
      <c r="F54" s="32" t="str">
        <f>IF(ISERROR(VLOOKUP(CONCATENATE($F$34,"_",G54),選手名簿!$A:$E,5,FALSE))=TRUE,"",VLOOKUP(CONCATENATE($F$34,"_",G54),選手名簿!$A:$E,5,FALSE))</f>
        <v/>
      </c>
      <c r="G54" s="33"/>
      <c r="H54" s="33"/>
      <c r="I54" s="33"/>
      <c r="J54" s="42"/>
      <c r="K54" s="33"/>
      <c r="L54" s="33"/>
      <c r="M54" s="33"/>
      <c r="N54" s="34" t="str">
        <f>IF(ISERROR(VLOOKUP(CONCATENATE($N$34,"_",M54),選手名簿!$A:$E,5,FALSE))=TRUE,"",VLOOKUP(CONCATENATE($N$34,"_",M54),選手名簿!$A:$E,5,FALSE))</f>
        <v/>
      </c>
      <c r="P54" s="29" t="s">
        <v>218</v>
      </c>
      <c r="Q54" s="769" t="str">
        <f>IF(ISERROR(VLOOKUP(Q53,審判員!$A:$C,2,FALSE))=TRUE,"",VLOOKUP(Q53,審判員!$A:$C,2,FALSE))</f>
        <v>柳元　哲哉</v>
      </c>
      <c r="R54" s="770"/>
      <c r="S54" s="83" t="str">
        <f>IF(ISERROR(VLOOKUP(Q53,審判員!$A:$C,3,FALSE))=TRUE,"",VLOOKUP(Q53,審判員!$A:$C,3,FALSE))</f>
        <v>３級</v>
      </c>
      <c r="T54" s="31" t="s">
        <v>196</v>
      </c>
      <c r="U54" s="32" t="str">
        <f>IF(ISERROR(VLOOKUP(CONCATENATE($U$34,"_",V54),選手名簿!$A:$E,5,FALSE))=TRUE,"",VLOOKUP(CONCATENATE($U$34,"_",V54),選手名簿!$A:$E,5,FALSE))</f>
        <v/>
      </c>
      <c r="V54" s="33"/>
      <c r="W54" s="33"/>
      <c r="X54" s="33"/>
      <c r="Y54" s="42"/>
      <c r="Z54" s="33"/>
      <c r="AA54" s="33"/>
      <c r="AB54" s="33"/>
      <c r="AC54" s="34" t="str">
        <f>IF(ISERROR(VLOOKUP(CONCATENATE($AC$34,"_",AB54),選手名簿!$A:$E,5,FALSE))=TRUE,"",VLOOKUP(CONCATENATE($AC$34,"_",AB54),選手名簿!$A:$E,5,FALSE))</f>
        <v/>
      </c>
    </row>
    <row r="55" spans="1:29" ht="26.25" customHeight="1" x14ac:dyDescent="0.45">
      <c r="A55" s="29" t="s">
        <v>226</v>
      </c>
      <c r="B55" s="774" t="s">
        <v>1234</v>
      </c>
      <c r="C55" s="774"/>
      <c r="D55" s="774"/>
      <c r="E55" s="31" t="s">
        <v>196</v>
      </c>
      <c r="F55" s="32" t="str">
        <f>IF(ISERROR(VLOOKUP(CONCATENATE($F$34,"_",G55),選手名簿!$A:$E,5,FALSE))=TRUE,"",VLOOKUP(CONCATENATE($F$34,"_",G55),選手名簿!$A:$E,5,FALSE))</f>
        <v/>
      </c>
      <c r="G55" s="33"/>
      <c r="H55" s="33"/>
      <c r="I55" s="33"/>
      <c r="J55" s="42"/>
      <c r="K55" s="33"/>
      <c r="L55" s="33"/>
      <c r="M55" s="33"/>
      <c r="N55" s="34" t="str">
        <f>IF(ISERROR(VLOOKUP(CONCATENATE($N$34,"_",M55),選手名簿!$A:$E,5,FALSE))=TRUE,"",VLOOKUP(CONCATENATE($N$34,"_",M55),選手名簿!$A:$E,5,FALSE))</f>
        <v/>
      </c>
      <c r="P55" s="29" t="s">
        <v>226</v>
      </c>
      <c r="Q55" s="774" t="s">
        <v>575</v>
      </c>
      <c r="R55" s="774"/>
      <c r="S55" s="774"/>
      <c r="T55" s="31" t="s">
        <v>196</v>
      </c>
      <c r="U55" s="32" t="str">
        <f>IF(ISERROR(VLOOKUP(CONCATENATE($U$34,"_",V55),選手名簿!$A:$E,5,FALSE))=TRUE,"",VLOOKUP(CONCATENATE($U$34,"_",V55),選手名簿!$A:$E,5,FALSE))</f>
        <v/>
      </c>
      <c r="V55" s="33"/>
      <c r="W55" s="33"/>
      <c r="X55" s="33"/>
      <c r="Y55" s="42"/>
      <c r="Z55" s="33"/>
      <c r="AA55" s="33"/>
      <c r="AB55" s="33"/>
      <c r="AC55" s="34" t="str">
        <f>IF(ISERROR(VLOOKUP(CONCATENATE($AC$34,"_",AB55),選手名簿!$A:$E,5,FALSE))=TRUE,"",VLOOKUP(CONCATENATE($AC$34,"_",AB55),選手名簿!$A:$E,5,FALSE))</f>
        <v/>
      </c>
    </row>
    <row r="56" spans="1:29" ht="26.25" customHeight="1" thickBot="1" x14ac:dyDescent="0.6">
      <c r="A56" s="29" t="s">
        <v>217</v>
      </c>
      <c r="B56" s="769" t="str">
        <f>IF(ISERROR(VLOOKUP(B55,審判員!$A:$C,2,FALSE))=TRUE,"",VLOOKUP(B55,審判員!$A:$C,2,FALSE))</f>
        <v>小石川　悟</v>
      </c>
      <c r="C56" s="770"/>
      <c r="D56" s="83" t="str">
        <f>IF(ISERROR(VLOOKUP(B55,審判員!$A:$C,3,FALSE))=TRUE,"",VLOOKUP(B55,審判員!$A:$C,3,FALSE))</f>
        <v>３級</v>
      </c>
      <c r="E56" s="35" t="s">
        <v>196</v>
      </c>
      <c r="F56" s="36" t="str">
        <f>IF(ISERROR(VLOOKUP(CONCATENATE($F$34,"_",G56),選手名簿!$A:$E,5,FALSE))=TRUE,"",VLOOKUP(CONCATENATE($F$34,"_",G56),選手名簿!$A:$E,5,FALSE))</f>
        <v/>
      </c>
      <c r="G56" s="37"/>
      <c r="H56" s="37"/>
      <c r="I56" s="37"/>
      <c r="J56" s="49"/>
      <c r="K56" s="37"/>
      <c r="L56" s="37"/>
      <c r="M56" s="37"/>
      <c r="N56" s="38" t="str">
        <f>IF(ISERROR(VLOOKUP(CONCATENATE($N$34,"_",M56),選手名簿!$A:$E,5,FALSE))=TRUE,"",VLOOKUP(CONCATENATE($N$34,"_",M56),選手名簿!$A:$E,5,FALSE))</f>
        <v/>
      </c>
      <c r="P56" s="29" t="s">
        <v>217</v>
      </c>
      <c r="Q56" s="769" t="str">
        <f>IF(ISERROR(VLOOKUP(Q55,審判員!$A:$C,2,FALSE))=TRUE,"",VLOOKUP(Q55,審判員!$A:$C,2,FALSE))</f>
        <v>隅田　哲平</v>
      </c>
      <c r="R56" s="770"/>
      <c r="S56" s="83" t="str">
        <f>IF(ISERROR(VLOOKUP(Q55,審判員!$A:$C,3,FALSE))=TRUE,"",VLOOKUP(Q55,審判員!$A:$C,3,FALSE))</f>
        <v>３級</v>
      </c>
      <c r="T56" s="35" t="s">
        <v>196</v>
      </c>
      <c r="U56" s="36" t="str">
        <f>IF(ISERROR(VLOOKUP(CONCATENATE($U$34,"_",V56),選手名簿!$A:$E,5,FALSE))=TRUE,"",VLOOKUP(CONCATENATE($U$34,"_",V56),選手名簿!$A:$E,5,FALSE))</f>
        <v/>
      </c>
      <c r="V56" s="37"/>
      <c r="W56" s="37"/>
      <c r="X56" s="37"/>
      <c r="Y56" s="49"/>
      <c r="Z56" s="37"/>
      <c r="AA56" s="37"/>
      <c r="AB56" s="37"/>
      <c r="AC56" s="38" t="str">
        <f>IF(ISERROR(VLOOKUP(CONCATENATE($AC$34,"_",AB56),選手名簿!$A:$E,5,FALSE))=TRUE,"",VLOOKUP(CONCATENATE($AC$34,"_",AB56),選手名簿!$A:$E,5,FALSE))</f>
        <v/>
      </c>
    </row>
    <row r="57" spans="1:29" ht="9.9499999999999993" customHeight="1" x14ac:dyDescent="0.45">
      <c r="E57" s="39"/>
      <c r="T57" s="39"/>
    </row>
    <row r="58" spans="1:29" ht="9.9499999999999993" customHeight="1" x14ac:dyDescent="0.45">
      <c r="E58" s="39"/>
      <c r="T58" s="39"/>
    </row>
    <row r="59" spans="1:29" ht="9.9499999999999993" customHeight="1" x14ac:dyDescent="0.45">
      <c r="E59" s="39"/>
      <c r="T59" s="39"/>
    </row>
    <row r="60" spans="1:29" ht="9.9499999999999993" customHeight="1" x14ac:dyDescent="0.45">
      <c r="E60" s="39"/>
      <c r="T60" s="39"/>
    </row>
    <row r="61" spans="1:29" ht="27.4" customHeight="1" thickBot="1" x14ac:dyDescent="0.6">
      <c r="B61" s="9" t="s">
        <v>199</v>
      </c>
      <c r="E61" s="39"/>
      <c r="Q61" s="9" t="s">
        <v>197</v>
      </c>
      <c r="T61" s="39"/>
    </row>
    <row r="62" spans="1:29" ht="27.4" customHeight="1" x14ac:dyDescent="0.45">
      <c r="A62" s="365" t="s">
        <v>3235</v>
      </c>
      <c r="B62" s="789" t="s">
        <v>3921</v>
      </c>
      <c r="C62" s="790"/>
      <c r="D62" s="791"/>
      <c r="E62" s="778">
        <v>0.46527777777777773</v>
      </c>
      <c r="F62" s="887" t="str">
        <f>VLOOKUP(決勝トーナメント!C28,組合せ抽選用!$S:$U,3,FALSE)</f>
        <v>リノスフットボールクラブ　Ｕ－１２</v>
      </c>
      <c r="G62" s="784">
        <f>IF(I62="","",SUM(I62:I63))</f>
        <v>0</v>
      </c>
      <c r="H62" s="793" t="s">
        <v>205</v>
      </c>
      <c r="I62" s="84">
        <v>0</v>
      </c>
      <c r="J62" s="84" t="s">
        <v>116</v>
      </c>
      <c r="K62" s="84">
        <v>0</v>
      </c>
      <c r="L62" s="793" t="s">
        <v>206</v>
      </c>
      <c r="M62" s="784">
        <f>IF(K62="","",SUM(K62:K63))</f>
        <v>2</v>
      </c>
      <c r="N62" s="884" t="str">
        <f>VLOOKUP(決勝トーナメント!G28,組合せ抽選用!$S:$U,3,FALSE)</f>
        <v>玖珠サッカースポーツ少年団</v>
      </c>
      <c r="P62" s="365" t="s">
        <v>3235</v>
      </c>
      <c r="Q62" s="789" t="s">
        <v>8429</v>
      </c>
      <c r="R62" s="790"/>
      <c r="S62" s="791"/>
      <c r="T62" s="778">
        <v>0.46527777777777773</v>
      </c>
      <c r="U62" s="887" t="str">
        <f>VLOOKUP(決勝トーナメント!C21,組合せ抽選用!$S:$U,3,FALSE)</f>
        <v>ブルーウイングフットボールクラブ</v>
      </c>
      <c r="V62" s="784">
        <f>IF(X62="","",SUM(X62:X63))</f>
        <v>6</v>
      </c>
      <c r="W62" s="793" t="s">
        <v>205</v>
      </c>
      <c r="X62" s="84">
        <v>4</v>
      </c>
      <c r="Y62" s="84" t="s">
        <v>116</v>
      </c>
      <c r="Z62" s="84">
        <v>0</v>
      </c>
      <c r="AA62" s="793" t="s">
        <v>206</v>
      </c>
      <c r="AB62" s="784">
        <f>IF(Z62="","",SUM(Z62:Z63))</f>
        <v>1</v>
      </c>
      <c r="AC62" s="884" t="str">
        <f>VLOOKUP(決勝トーナメント!G21,組合せ抽選用!$S:$U,3,FALSE)</f>
        <v>ティエラフットボールクラブＵ－１２</v>
      </c>
    </row>
    <row r="63" spans="1:29" ht="27.4" customHeight="1" x14ac:dyDescent="0.45">
      <c r="A63" s="366" t="s">
        <v>3236</v>
      </c>
      <c r="B63" s="792" t="s">
        <v>3925</v>
      </c>
      <c r="C63" s="792"/>
      <c r="D63" s="789"/>
      <c r="E63" s="779"/>
      <c r="F63" s="888"/>
      <c r="G63" s="785"/>
      <c r="H63" s="794"/>
      <c r="I63" s="9">
        <v>0</v>
      </c>
      <c r="J63" s="9" t="s">
        <v>117</v>
      </c>
      <c r="K63" s="9">
        <v>2</v>
      </c>
      <c r="L63" s="794"/>
      <c r="M63" s="785"/>
      <c r="N63" s="885"/>
      <c r="P63" s="366" t="s">
        <v>3236</v>
      </c>
      <c r="Q63" s="792" t="s">
        <v>1434</v>
      </c>
      <c r="R63" s="792"/>
      <c r="S63" s="789"/>
      <c r="T63" s="779"/>
      <c r="U63" s="888"/>
      <c r="V63" s="785"/>
      <c r="W63" s="794"/>
      <c r="X63" s="9">
        <v>2</v>
      </c>
      <c r="Y63" s="9" t="s">
        <v>117</v>
      </c>
      <c r="Z63" s="9">
        <v>1</v>
      </c>
      <c r="AA63" s="794"/>
      <c r="AB63" s="785"/>
      <c r="AC63" s="885"/>
    </row>
    <row r="64" spans="1:29" ht="27.4" customHeight="1" thickBot="1" x14ac:dyDescent="0.6">
      <c r="A64" s="366" t="s">
        <v>3237</v>
      </c>
      <c r="B64" s="792" t="s">
        <v>282</v>
      </c>
      <c r="C64" s="792"/>
      <c r="D64" s="789"/>
      <c r="E64" s="780"/>
      <c r="F64" s="889"/>
      <c r="G64" s="786"/>
      <c r="H64" s="795"/>
      <c r="I64" s="85"/>
      <c r="J64" s="85" t="s">
        <v>188</v>
      </c>
      <c r="K64" s="85"/>
      <c r="L64" s="795"/>
      <c r="M64" s="786"/>
      <c r="N64" s="886"/>
      <c r="P64" s="366" t="s">
        <v>3237</v>
      </c>
      <c r="Q64" s="792" t="s">
        <v>1412</v>
      </c>
      <c r="R64" s="792"/>
      <c r="S64" s="789"/>
      <c r="T64" s="780"/>
      <c r="U64" s="889"/>
      <c r="V64" s="786"/>
      <c r="W64" s="795"/>
      <c r="X64" s="85"/>
      <c r="Y64" s="85" t="s">
        <v>188</v>
      </c>
      <c r="Z64" s="85"/>
      <c r="AA64" s="795"/>
      <c r="AB64" s="786"/>
      <c r="AC64" s="886"/>
    </row>
    <row r="65" spans="1:29" ht="26.25" hidden="1" customHeight="1" thickTop="1" x14ac:dyDescent="0.45">
      <c r="E65" s="15"/>
      <c r="F65" s="16" t="s">
        <v>190</v>
      </c>
      <c r="G65" s="16" t="s">
        <v>1552</v>
      </c>
      <c r="H65" s="16" t="s">
        <v>145</v>
      </c>
      <c r="I65" s="16"/>
      <c r="J65" s="40"/>
      <c r="K65" s="16"/>
      <c r="L65" s="16" t="s">
        <v>145</v>
      </c>
      <c r="M65" s="16" t="s">
        <v>1552</v>
      </c>
      <c r="N65" s="18" t="s">
        <v>190</v>
      </c>
      <c r="T65" s="15"/>
      <c r="U65" s="16" t="s">
        <v>190</v>
      </c>
      <c r="V65" s="16" t="s">
        <v>1552</v>
      </c>
      <c r="W65" s="16" t="s">
        <v>145</v>
      </c>
      <c r="X65" s="16"/>
      <c r="Y65" s="40"/>
      <c r="Z65" s="16"/>
      <c r="AA65" s="16" t="s">
        <v>145</v>
      </c>
      <c r="AB65" s="16" t="s">
        <v>1552</v>
      </c>
      <c r="AC65" s="18" t="s">
        <v>190</v>
      </c>
    </row>
    <row r="66" spans="1:29" ht="26.25" hidden="1" customHeight="1" x14ac:dyDescent="0.45">
      <c r="E66" s="31" t="s">
        <v>155</v>
      </c>
      <c r="F66" s="41" t="str">
        <f>IF(ISERROR(VLOOKUP(CONCATENATE($F$62,"_",G66),選手名簿!$A:$E,5,FALSE))=TRUE,"",VLOOKUP(CONCATENATE($F$62,"_",G66),選手名簿!$A:$E,5,FALSE))</f>
        <v/>
      </c>
      <c r="G66" s="33"/>
      <c r="H66" s="33"/>
      <c r="I66" s="33"/>
      <c r="J66" s="42"/>
      <c r="K66" s="33"/>
      <c r="L66" s="33"/>
      <c r="M66" s="33"/>
      <c r="N66" s="43" t="str">
        <f>IF(ISERROR(VLOOKUP(CONCATENATE($N$62,"_",M66),選手名簿!$A:$E,5,FALSE))=TRUE,"",VLOOKUP(CONCATENATE($N$62,"_",M66),選手名簿!$A:$E,5,FALSE))</f>
        <v/>
      </c>
      <c r="T66" s="31" t="s">
        <v>155</v>
      </c>
      <c r="U66" s="41" t="str">
        <f>IF(ISERROR(VLOOKUP(CONCATENATE($U$62,"_",V66),選手名簿!$A:$E,5,FALSE))=TRUE,"",VLOOKUP(CONCATENATE($U$62,"_",V66),選手名簿!$A:$E,5,FALSE))</f>
        <v/>
      </c>
      <c r="V66" s="33"/>
      <c r="W66" s="33"/>
      <c r="X66" s="33"/>
      <c r="Y66" s="42"/>
      <c r="Z66" s="33"/>
      <c r="AA66" s="33"/>
      <c r="AB66" s="33"/>
      <c r="AC66" s="43" t="str">
        <f>IF(ISERROR(VLOOKUP(CONCATENATE($AC$62,"_",AB66),選手名簿!$A:$E,5,FALSE))=TRUE,"",VLOOKUP(CONCATENATE($AC$62,"_",AB66),選手名簿!$A:$E,5,FALSE))</f>
        <v/>
      </c>
    </row>
    <row r="67" spans="1:29" ht="26.25" hidden="1" customHeight="1" x14ac:dyDescent="0.45">
      <c r="E67" s="31" t="s">
        <v>155</v>
      </c>
      <c r="F67" s="20" t="str">
        <f>IF(ISERROR(VLOOKUP(CONCATENATE($F$62,"_",G67),選手名簿!$A:$E,5,FALSE))=TRUE,"",VLOOKUP(CONCATENATE($F$62,"_",G67),選手名簿!$A:$E,5,FALSE))</f>
        <v/>
      </c>
      <c r="G67" s="33"/>
      <c r="H67" s="33"/>
      <c r="I67" s="33"/>
      <c r="J67" s="42"/>
      <c r="K67" s="33"/>
      <c r="L67" s="33"/>
      <c r="M67" s="33"/>
      <c r="N67" s="43" t="str">
        <f>IF(ISERROR(VLOOKUP(CONCATENATE($N$62,"_",M67),選手名簿!$A:$E,5,FALSE))=TRUE,"",VLOOKUP(CONCATENATE($N$62,"_",M67),選手名簿!$A:$E,5,FALSE))</f>
        <v/>
      </c>
      <c r="T67" s="31" t="s">
        <v>155</v>
      </c>
      <c r="U67" s="20" t="str">
        <f>IF(ISERROR(VLOOKUP(CONCATENATE($U$62,"_",V67),選手名簿!$A:$E,5,FALSE))=TRUE,"",VLOOKUP(CONCATENATE($U$62,"_",V67),選手名簿!$A:$E,5,FALSE))</f>
        <v/>
      </c>
      <c r="V67" s="33"/>
      <c r="W67" s="33"/>
      <c r="X67" s="33"/>
      <c r="Y67" s="42"/>
      <c r="Z67" s="33"/>
      <c r="AA67" s="33"/>
      <c r="AB67" s="33"/>
      <c r="AC67" s="43" t="str">
        <f>IF(ISERROR(VLOOKUP(CONCATENATE($AC$62,"_",AB67),選手名簿!$A:$E,5,FALSE))=TRUE,"",VLOOKUP(CONCATENATE($AC$62,"_",AB67),選手名簿!$A:$E,5,FALSE))</f>
        <v/>
      </c>
    </row>
    <row r="68" spans="1:29" ht="26.25" hidden="1" customHeight="1" x14ac:dyDescent="0.45">
      <c r="E68" s="31" t="s">
        <v>155</v>
      </c>
      <c r="F68" s="41" t="str">
        <f>IF(ISERROR(VLOOKUP(CONCATENATE($F$62,"_",G68),選手名簿!$A:$E,5,FALSE))=TRUE,"",VLOOKUP(CONCATENATE($F$62,"_",G68),選手名簿!$A:$E,5,FALSE))</f>
        <v/>
      </c>
      <c r="G68" s="33"/>
      <c r="H68" s="33"/>
      <c r="I68" s="33"/>
      <c r="J68" s="42"/>
      <c r="K68" s="33"/>
      <c r="L68" s="33"/>
      <c r="M68" s="33"/>
      <c r="N68" s="43" t="str">
        <f>IF(ISERROR(VLOOKUP(CONCATENATE($N$62,"_",M68),選手名簿!$A:$E,5,FALSE))=TRUE,"",VLOOKUP(CONCATENATE($N$62,"_",M68),選手名簿!$A:$E,5,FALSE))</f>
        <v/>
      </c>
      <c r="T68" s="31" t="s">
        <v>155</v>
      </c>
      <c r="U68" s="41" t="str">
        <f>IF(ISERROR(VLOOKUP(CONCATENATE($U$62,"_",V68),選手名簿!$A:$E,5,FALSE))=TRUE,"",VLOOKUP(CONCATENATE($U$62,"_",V68),選手名簿!$A:$E,5,FALSE))</f>
        <v/>
      </c>
      <c r="V68" s="33"/>
      <c r="W68" s="33"/>
      <c r="X68" s="33"/>
      <c r="Y68" s="42"/>
      <c r="Z68" s="33"/>
      <c r="AA68" s="33"/>
      <c r="AB68" s="33"/>
      <c r="AC68" s="43" t="str">
        <f>IF(ISERROR(VLOOKUP(CONCATENATE($AC$62,"_",AB68),選手名簿!$A:$E,5,FALSE))=TRUE,"",VLOOKUP(CONCATENATE($AC$62,"_",AB68),選手名簿!$A:$E,5,FALSE))</f>
        <v/>
      </c>
    </row>
    <row r="69" spans="1:29" ht="26.25" hidden="1" customHeight="1" x14ac:dyDescent="0.45">
      <c r="E69" s="31" t="s">
        <v>155</v>
      </c>
      <c r="F69" s="20" t="str">
        <f>IF(ISERROR(VLOOKUP(CONCATENATE($F$62,"_",G69),選手名簿!$A:$E,5,FALSE))=TRUE,"",VLOOKUP(CONCATENATE($F$62,"_",G69),選手名簿!$A:$E,5,FALSE))</f>
        <v/>
      </c>
      <c r="G69" s="33"/>
      <c r="H69" s="33"/>
      <c r="I69" s="33"/>
      <c r="J69" s="42"/>
      <c r="K69" s="33"/>
      <c r="L69" s="33"/>
      <c r="M69" s="33"/>
      <c r="N69" s="43" t="str">
        <f>IF(ISERROR(VLOOKUP(CONCATENATE($N$62,"_",M69),選手名簿!$A:$E,5,FALSE))=TRUE,"",VLOOKUP(CONCATENATE($N$62,"_",M69),選手名簿!$A:$E,5,FALSE))</f>
        <v/>
      </c>
      <c r="T69" s="31" t="s">
        <v>155</v>
      </c>
      <c r="U69" s="20" t="str">
        <f>IF(ISERROR(VLOOKUP(CONCATENATE($U$62,"_",V69),選手名簿!$A:$E,5,FALSE))=TRUE,"",VLOOKUP(CONCATENATE($U$62,"_",V69),選手名簿!$A:$E,5,FALSE))</f>
        <v/>
      </c>
      <c r="V69" s="33"/>
      <c r="W69" s="33"/>
      <c r="X69" s="33"/>
      <c r="Y69" s="42"/>
      <c r="Z69" s="33"/>
      <c r="AA69" s="33"/>
      <c r="AB69" s="33"/>
      <c r="AC69" s="43" t="str">
        <f>IF(ISERROR(VLOOKUP(CONCATENATE($AC$62,"_",AB69),選手名簿!$A:$E,5,FALSE))=TRUE,"",VLOOKUP(CONCATENATE($AC$62,"_",AB69),選手名簿!$A:$E,5,FALSE))</f>
        <v/>
      </c>
    </row>
    <row r="70" spans="1:29" ht="26.25" hidden="1" customHeight="1" x14ac:dyDescent="0.45">
      <c r="E70" s="31" t="s">
        <v>155</v>
      </c>
      <c r="F70" s="32" t="str">
        <f>IF(ISERROR(VLOOKUP(CONCATENATE($F$62,"_",G70),選手名簿!$A:$E,5,FALSE))=TRUE,"",VLOOKUP(CONCATENATE($F$62,"_",G70),選手名簿!$A:$E,5,FALSE))</f>
        <v/>
      </c>
      <c r="G70" s="33"/>
      <c r="H70" s="33"/>
      <c r="I70" s="33"/>
      <c r="J70" s="42"/>
      <c r="K70" s="33"/>
      <c r="L70" s="33"/>
      <c r="M70" s="33"/>
      <c r="N70" s="43" t="str">
        <f>IF(ISERROR(VLOOKUP(CONCATENATE($N$62,"_",M70),選手名簿!$A:$E,5,FALSE))=TRUE,"",VLOOKUP(CONCATENATE($N$62,"_",M70),選手名簿!$A:$E,5,FALSE))</f>
        <v/>
      </c>
      <c r="T70" s="31" t="s">
        <v>155</v>
      </c>
      <c r="U70" s="32" t="str">
        <f>IF(ISERROR(VLOOKUP(CONCATENATE($U$62,"_",V70),選手名簿!$A:$E,5,FALSE))=TRUE,"",VLOOKUP(CONCATENATE($U$62,"_",V70),選手名簿!$A:$E,5,FALSE))</f>
        <v/>
      </c>
      <c r="V70" s="33"/>
      <c r="W70" s="33"/>
      <c r="X70" s="33"/>
      <c r="Y70" s="42"/>
      <c r="Z70" s="33"/>
      <c r="AA70" s="33"/>
      <c r="AB70" s="33"/>
      <c r="AC70" s="43" t="str">
        <f>IF(ISERROR(VLOOKUP(CONCATENATE($AC$62,"_",AB70),選手名簿!$A:$E,5,FALSE))=TRUE,"",VLOOKUP(CONCATENATE($AC$62,"_",AB70),選手名簿!$A:$E,5,FALSE))</f>
        <v/>
      </c>
    </row>
    <row r="71" spans="1:29" ht="26.25" hidden="1" customHeight="1" x14ac:dyDescent="0.45">
      <c r="E71" s="31" t="s">
        <v>155</v>
      </c>
      <c r="F71" s="32" t="str">
        <f>IF(ISERROR(VLOOKUP(CONCATENATE($F$62,"_",G71),選手名簿!$A:$E,5,FALSE))=TRUE,"",VLOOKUP(CONCATENATE($F$62,"_",G71),選手名簿!$A:$E,5,FALSE))</f>
        <v/>
      </c>
      <c r="G71" s="33"/>
      <c r="H71" s="33"/>
      <c r="I71" s="33"/>
      <c r="J71" s="42"/>
      <c r="K71" s="33"/>
      <c r="L71" s="33"/>
      <c r="M71" s="33"/>
      <c r="N71" s="43" t="str">
        <f>IF(ISERROR(VLOOKUP(CONCATENATE($N$62,"_",M71),選手名簿!$A:$E,5,FALSE))=TRUE,"",VLOOKUP(CONCATENATE($N$62,"_",M71),選手名簿!$A:$E,5,FALSE))</f>
        <v/>
      </c>
      <c r="T71" s="31" t="s">
        <v>155</v>
      </c>
      <c r="U71" s="32" t="str">
        <f>IF(ISERROR(VLOOKUP(CONCATENATE($U$62,"_",V71),選手名簿!$A:$E,5,FALSE))=TRUE,"",VLOOKUP(CONCATENATE($U$62,"_",V71),選手名簿!$A:$E,5,FALSE))</f>
        <v/>
      </c>
      <c r="V71" s="33"/>
      <c r="W71" s="33"/>
      <c r="X71" s="33"/>
      <c r="Y71" s="42"/>
      <c r="Z71" s="33"/>
      <c r="AA71" s="33"/>
      <c r="AB71" s="33"/>
      <c r="AC71" s="43" t="str">
        <f>IF(ISERROR(VLOOKUP(CONCATENATE($AC$62,"_",AB71),選手名簿!$A:$E,5,FALSE))=TRUE,"",VLOOKUP(CONCATENATE($AC$62,"_",AB71),選手名簿!$A:$E,5,FALSE))</f>
        <v/>
      </c>
    </row>
    <row r="72" spans="1:29" ht="26.25" hidden="1" customHeight="1" x14ac:dyDescent="0.45">
      <c r="E72" s="31" t="s">
        <v>155</v>
      </c>
      <c r="F72" s="32" t="str">
        <f>IF(ISERROR(VLOOKUP(CONCATENATE($F$62,"_",G72),選手名簿!$A:$E,5,FALSE))=TRUE,"",VLOOKUP(CONCATENATE($F$62,"_",G72),選手名簿!$A:$E,5,FALSE))</f>
        <v/>
      </c>
      <c r="G72" s="33"/>
      <c r="H72" s="33"/>
      <c r="I72" s="33"/>
      <c r="J72" s="42"/>
      <c r="K72" s="33"/>
      <c r="L72" s="33"/>
      <c r="M72" s="33"/>
      <c r="N72" s="23" t="str">
        <f>IF(ISERROR(VLOOKUP(CONCATENATE($N$62,"_",M72),選手名簿!$A:$E,5,FALSE))=TRUE,"",VLOOKUP(CONCATENATE($N$62,"_",M72),選手名簿!$A:$E,5,FALSE))</f>
        <v/>
      </c>
      <c r="T72" s="31" t="s">
        <v>155</v>
      </c>
      <c r="U72" s="32" t="str">
        <f>IF(ISERROR(VLOOKUP(CONCATENATE($U$62,"_",V72),選手名簿!$A:$E,5,FALSE))=TRUE,"",VLOOKUP(CONCATENATE($U$62,"_",V72),選手名簿!$A:$E,5,FALSE))</f>
        <v/>
      </c>
      <c r="V72" s="33"/>
      <c r="W72" s="33"/>
      <c r="X72" s="33"/>
      <c r="Y72" s="42"/>
      <c r="Z72" s="33"/>
      <c r="AA72" s="33"/>
      <c r="AB72" s="33"/>
      <c r="AC72" s="23" t="str">
        <f>IF(ISERROR(VLOOKUP(CONCATENATE($AC$62,"_",AB72),選手名簿!$A:$E,5,FALSE))=TRUE,"",VLOOKUP(CONCATENATE($AC$62,"_",AB72),選手名簿!$A:$E,5,FALSE))</f>
        <v/>
      </c>
    </row>
    <row r="73" spans="1:29" ht="26.25" hidden="1" customHeight="1" x14ac:dyDescent="0.45">
      <c r="E73" s="31" t="s">
        <v>155</v>
      </c>
      <c r="F73" s="32" t="str">
        <f>IF(ISERROR(VLOOKUP(CONCATENATE($F$62,"_",G73),選手名簿!$A:$E,5,FALSE))=TRUE,"",VLOOKUP(CONCATENATE($F$62,"_",G73),選手名簿!$A:$E,5,FALSE))</f>
        <v/>
      </c>
      <c r="G73" s="33"/>
      <c r="H73" s="33"/>
      <c r="I73" s="33"/>
      <c r="J73" s="42"/>
      <c r="K73" s="33"/>
      <c r="L73" s="33"/>
      <c r="M73" s="33"/>
      <c r="N73" s="34" t="str">
        <f>IF(ISERROR(VLOOKUP(CONCATENATE($N$62,"_",M73),選手名簿!$A:$E,5,FALSE))=TRUE,"",VLOOKUP(CONCATENATE($N$62,"_",M73),選手名簿!$A:$E,5,FALSE))</f>
        <v/>
      </c>
      <c r="T73" s="31" t="s">
        <v>155</v>
      </c>
      <c r="U73" s="32" t="str">
        <f>IF(ISERROR(VLOOKUP(CONCATENATE($U$62,"_",V73),選手名簿!$A:$E,5,FALSE))=TRUE,"",VLOOKUP(CONCATENATE($U$62,"_",V73),選手名簿!$A:$E,5,FALSE))</f>
        <v/>
      </c>
      <c r="V73" s="33"/>
      <c r="W73" s="33"/>
      <c r="X73" s="33"/>
      <c r="Y73" s="42"/>
      <c r="Z73" s="33"/>
      <c r="AA73" s="33"/>
      <c r="AB73" s="33"/>
      <c r="AC73" s="34" t="str">
        <f>IF(ISERROR(VLOOKUP(CONCATENATE($AC$62,"_",AB73),選手名簿!$A:$E,5,FALSE))=TRUE,"",VLOOKUP(CONCATENATE($AC$62,"_",AB73),選手名簿!$A:$E,5,FALSE))</f>
        <v/>
      </c>
    </row>
    <row r="74" spans="1:29" ht="26.25" hidden="1" customHeight="1" x14ac:dyDescent="0.45">
      <c r="E74" s="31" t="s">
        <v>155</v>
      </c>
      <c r="F74" s="32" t="str">
        <f>IF(ISERROR(VLOOKUP(CONCATENATE($F$62,"_",G74),選手名簿!$A:$E,5,FALSE))=TRUE,"",VLOOKUP(CONCATENATE($F$62,"_",G74),選手名簿!$A:$E,5,FALSE))</f>
        <v/>
      </c>
      <c r="G74" s="33"/>
      <c r="H74" s="33"/>
      <c r="I74" s="33"/>
      <c r="J74" s="42"/>
      <c r="K74" s="33"/>
      <c r="L74" s="33"/>
      <c r="M74" s="33"/>
      <c r="N74" s="34" t="str">
        <f>IF(ISERROR(VLOOKUP(CONCATENATE($N$62,"_",M74),選手名簿!$A:$E,5,FALSE))=TRUE,"",VLOOKUP(CONCATENATE($N$62,"_",M74),選手名簿!$A:$E,5,FALSE))</f>
        <v/>
      </c>
      <c r="T74" s="31" t="s">
        <v>155</v>
      </c>
      <c r="U74" s="32" t="str">
        <f>IF(ISERROR(VLOOKUP(CONCATENATE($U$62,"_",V74),選手名簿!$A:$E,5,FALSE))=TRUE,"",VLOOKUP(CONCATENATE($U$62,"_",V74),選手名簿!$A:$E,5,FALSE))</f>
        <v/>
      </c>
      <c r="V74" s="33"/>
      <c r="W74" s="33"/>
      <c r="X74" s="33"/>
      <c r="Y74" s="42"/>
      <c r="Z74" s="33"/>
      <c r="AA74" s="33"/>
      <c r="AB74" s="33"/>
      <c r="AC74" s="34" t="str">
        <f>IF(ISERROR(VLOOKUP(CONCATENATE($AC$62,"_",AB74),選手名簿!$A:$E,5,FALSE))=TRUE,"",VLOOKUP(CONCATENATE($AC$62,"_",AB74),選手名簿!$A:$E,5,FALSE))</f>
        <v/>
      </c>
    </row>
    <row r="75" spans="1:29" ht="26.25" hidden="1" customHeight="1" x14ac:dyDescent="0.45">
      <c r="E75" s="31" t="s">
        <v>155</v>
      </c>
      <c r="F75" s="32" t="str">
        <f>IF(ISERROR(VLOOKUP(CONCATENATE($F$62,"_",G75),選手名簿!$A:$E,5,FALSE))=TRUE,"",VLOOKUP(CONCATENATE($F$62,"_",G75),選手名簿!$A:$E,5,FALSE))</f>
        <v/>
      </c>
      <c r="G75" s="33"/>
      <c r="H75" s="33"/>
      <c r="I75" s="33"/>
      <c r="J75" s="42"/>
      <c r="K75" s="33"/>
      <c r="L75" s="33"/>
      <c r="M75" s="33"/>
      <c r="N75" s="34" t="str">
        <f>IF(ISERROR(VLOOKUP(CONCATENATE($N$62,"_",M75),選手名簿!$A:$E,5,FALSE))=TRUE,"",VLOOKUP(CONCATENATE($N$62,"_",M75),選手名簿!$A:$E,5,FALSE))</f>
        <v/>
      </c>
      <c r="T75" s="31" t="s">
        <v>155</v>
      </c>
      <c r="U75" s="32" t="str">
        <f>IF(ISERROR(VLOOKUP(CONCATENATE($U$62,"_",V75),選手名簿!$A:$E,5,FALSE))=TRUE,"",VLOOKUP(CONCATENATE($U$62,"_",V75),選手名簿!$A:$E,5,FALSE))</f>
        <v/>
      </c>
      <c r="V75" s="33"/>
      <c r="W75" s="33"/>
      <c r="X75" s="33"/>
      <c r="Y75" s="42"/>
      <c r="Z75" s="33"/>
      <c r="AA75" s="33"/>
      <c r="AB75" s="33"/>
      <c r="AC75" s="34" t="str">
        <f>IF(ISERROR(VLOOKUP(CONCATENATE($AC$62,"_",AB75),選手名簿!$A:$E,5,FALSE))=TRUE,"",VLOOKUP(CONCATENATE($AC$62,"_",AB75),選手名簿!$A:$E,5,FALSE))</f>
        <v/>
      </c>
    </row>
    <row r="76" spans="1:29" ht="26.25" hidden="1" customHeight="1" x14ac:dyDescent="0.45">
      <c r="E76" s="31" t="s">
        <v>155</v>
      </c>
      <c r="F76" s="32" t="str">
        <f>IF(ISERROR(VLOOKUP(CONCATENATE($F$62,"_",G76),選手名簿!$A:$E,5,FALSE))=TRUE,"",VLOOKUP(CONCATENATE($F$62,"_",G76),選手名簿!$A:$E,5,FALSE))</f>
        <v/>
      </c>
      <c r="G76" s="33"/>
      <c r="H76" s="33"/>
      <c r="I76" s="33"/>
      <c r="J76" s="42"/>
      <c r="K76" s="33"/>
      <c r="L76" s="33"/>
      <c r="M76" s="33"/>
      <c r="N76" s="34" t="str">
        <f>IF(ISERROR(VLOOKUP(CONCATENATE($N$62,"_",M76),選手名簿!$A:$E,5,FALSE))=TRUE,"",VLOOKUP(CONCATENATE($N$62,"_",M76),選手名簿!$A:$E,5,FALSE))</f>
        <v/>
      </c>
      <c r="T76" s="31" t="s">
        <v>155</v>
      </c>
      <c r="U76" s="32" t="str">
        <f>IF(ISERROR(VLOOKUP(CONCATENATE($U$62,"_",V76),選手名簿!$A:$E,5,FALSE))=TRUE,"",VLOOKUP(CONCATENATE($U$62,"_",V76),選手名簿!$A:$E,5,FALSE))</f>
        <v/>
      </c>
      <c r="V76" s="33"/>
      <c r="W76" s="33"/>
      <c r="X76" s="33"/>
      <c r="Y76" s="42"/>
      <c r="Z76" s="33"/>
      <c r="AA76" s="33"/>
      <c r="AB76" s="33"/>
      <c r="AC76" s="34" t="str">
        <f>IF(ISERROR(VLOOKUP(CONCATENATE($AC$62,"_",AB76),選手名簿!$A:$E,5,FALSE))=TRUE,"",VLOOKUP(CONCATENATE($AC$62,"_",AB76),選手名簿!$A:$E,5,FALSE))</f>
        <v/>
      </c>
    </row>
    <row r="77" spans="1:29" ht="26.25" hidden="1" customHeight="1" thickBot="1" x14ac:dyDescent="0.6">
      <c r="E77" s="44" t="s">
        <v>155</v>
      </c>
      <c r="F77" s="45" t="str">
        <f>IF(ISERROR(VLOOKUP(CONCATENATE($F$62,"_",G77),選手名簿!$A:$E,5,FALSE))=TRUE,"",VLOOKUP(CONCATENATE($F$62,"_",G77),選手名簿!$A:$E,5,FALSE))</f>
        <v/>
      </c>
      <c r="G77" s="46"/>
      <c r="H77" s="46"/>
      <c r="I77" s="46"/>
      <c r="J77" s="47"/>
      <c r="K77" s="46"/>
      <c r="L77" s="46"/>
      <c r="M77" s="46"/>
      <c r="N77" s="48" t="str">
        <f>IF(ISERROR(VLOOKUP(CONCATENATE($N$62,"_",M77),選手名簿!$A:$E,5,FALSE))=TRUE,"",VLOOKUP(CONCATENATE($N$62,"_",M77),選手名簿!$A:$E,5,FALSE))</f>
        <v/>
      </c>
      <c r="T77" s="44" t="s">
        <v>155</v>
      </c>
      <c r="U77" s="45" t="str">
        <f>IF(ISERROR(VLOOKUP(CONCATENATE($U$62,"_",V77),選手名簿!$A:$E,5,FALSE))=TRUE,"",VLOOKUP(CONCATENATE($U$62,"_",V77),選手名簿!$A:$E,5,FALSE))</f>
        <v/>
      </c>
      <c r="V77" s="46"/>
      <c r="W77" s="46"/>
      <c r="X77" s="46"/>
      <c r="Y77" s="47"/>
      <c r="Z77" s="46"/>
      <c r="AA77" s="46"/>
      <c r="AB77" s="46"/>
      <c r="AC77" s="48" t="str">
        <f>IF(ISERROR(VLOOKUP(CONCATENATE($AC$62,"_",AB77),選手名簿!$A:$E,5,FALSE))=TRUE,"",VLOOKUP(CONCATENATE($AC$62,"_",AB77),選手名簿!$A:$E,5,FALSE))</f>
        <v/>
      </c>
    </row>
    <row r="78" spans="1:29" ht="26.25" customHeight="1" thickTop="1" x14ac:dyDescent="0.45">
      <c r="A78" s="787" t="s">
        <v>1565</v>
      </c>
      <c r="B78" s="787"/>
      <c r="C78" s="787"/>
      <c r="D78" s="788"/>
      <c r="E78" s="15"/>
      <c r="F78" s="16" t="s">
        <v>190</v>
      </c>
      <c r="G78" s="16" t="s">
        <v>1552</v>
      </c>
      <c r="H78" s="16" t="s">
        <v>145</v>
      </c>
      <c r="I78" s="16"/>
      <c r="J78" s="40"/>
      <c r="K78" s="16"/>
      <c r="L78" s="16" t="s">
        <v>145</v>
      </c>
      <c r="M78" s="16" t="s">
        <v>1552</v>
      </c>
      <c r="N78" s="18" t="s">
        <v>190</v>
      </c>
      <c r="P78" s="787" t="s">
        <v>1565</v>
      </c>
      <c r="Q78" s="787"/>
      <c r="R78" s="787"/>
      <c r="S78" s="788"/>
      <c r="T78" s="15"/>
      <c r="U78" s="16" t="s">
        <v>190</v>
      </c>
      <c r="V78" s="16" t="s">
        <v>1552</v>
      </c>
      <c r="W78" s="16" t="s">
        <v>145</v>
      </c>
      <c r="X78" s="16"/>
      <c r="Y78" s="40"/>
      <c r="Z78" s="16"/>
      <c r="AA78" s="16" t="s">
        <v>145</v>
      </c>
      <c r="AB78" s="16" t="s">
        <v>1552</v>
      </c>
      <c r="AC78" s="18" t="s">
        <v>190</v>
      </c>
    </row>
    <row r="79" spans="1:29" ht="26.25" customHeight="1" x14ac:dyDescent="0.45">
      <c r="A79" s="29" t="s">
        <v>226</v>
      </c>
      <c r="B79" s="774" t="s">
        <v>3546</v>
      </c>
      <c r="C79" s="774"/>
      <c r="D79" s="774"/>
      <c r="E79" s="31" t="s">
        <v>196</v>
      </c>
      <c r="F79" s="32" t="str">
        <f>IF(ISERROR(VLOOKUP(CONCATENATE($F$62,"_",G79),選手名簿!$A:$E,5,FALSE))=TRUE,"",VLOOKUP(CONCATENATE($F$62,"_",G79),選手名簿!$A:$E,5,FALSE))</f>
        <v/>
      </c>
      <c r="G79" s="33"/>
      <c r="H79" s="33"/>
      <c r="I79" s="33"/>
      <c r="J79" s="42"/>
      <c r="K79" s="33"/>
      <c r="L79" s="33"/>
      <c r="M79" s="33"/>
      <c r="N79" s="34" t="str">
        <f>IF(ISERROR(VLOOKUP(CONCATENATE($N$62,"_",M79),選手名簿!$A:$E,5,FALSE))=TRUE,"",VLOOKUP(CONCATENATE($N$62,"_",M79),選手名簿!$A:$E,5,FALSE))</f>
        <v/>
      </c>
      <c r="P79" s="29" t="s">
        <v>226</v>
      </c>
      <c r="Q79" s="774" t="s">
        <v>1191</v>
      </c>
      <c r="R79" s="774"/>
      <c r="S79" s="774"/>
      <c r="T79" s="31" t="s">
        <v>196</v>
      </c>
      <c r="U79" s="32" t="str">
        <f>IF(ISERROR(VLOOKUP(CONCATENATE($U$62,"_",V79),選手名簿!$A:$E,5,FALSE))=TRUE,"",VLOOKUP(CONCATENATE($U$62,"_",V79),選手名簿!$A:$E,5,FALSE))</f>
        <v/>
      </c>
      <c r="V79" s="33"/>
      <c r="W79" s="33"/>
      <c r="X79" s="33"/>
      <c r="Y79" s="42"/>
      <c r="Z79" s="33"/>
      <c r="AA79" s="33"/>
      <c r="AB79" s="33"/>
      <c r="AC79" s="34" t="str">
        <f>IF(ISERROR(VLOOKUP(CONCATENATE($AC$62,"_",AB79),選手名簿!$A:$E,5,FALSE))=TRUE,"",VLOOKUP(CONCATENATE($AC$62,"_",AB79),選手名簿!$A:$E,5,FALSE))</f>
        <v/>
      </c>
    </row>
    <row r="80" spans="1:29" ht="26.25" customHeight="1" x14ac:dyDescent="0.45">
      <c r="A80" s="29" t="s">
        <v>227</v>
      </c>
      <c r="B80" s="769" t="str">
        <f>IF(ISERROR(VLOOKUP(B79,審判員!$A:$C,2,FALSE))=TRUE,"",VLOOKUP(B79,審判員!$A:$C,2,FALSE))</f>
        <v>金田　智朗</v>
      </c>
      <c r="C80" s="770"/>
      <c r="D80" s="83" t="str">
        <f>IF(ISERROR(VLOOKUP(B79,審判員!$A:$C,3,FALSE))=TRUE,"",VLOOKUP(B79,審判員!$A:$C,3,FALSE))</f>
        <v>３級</v>
      </c>
      <c r="E80" s="31" t="s">
        <v>196</v>
      </c>
      <c r="F80" s="32" t="str">
        <f>IF(ISERROR(VLOOKUP(CONCATENATE($F$62,"_",G80),選手名簿!$A:$E,5,FALSE))=TRUE,"",VLOOKUP(CONCATENATE($F$62,"_",G80),選手名簿!$A:$E,5,FALSE))</f>
        <v/>
      </c>
      <c r="G80" s="33"/>
      <c r="H80" s="33"/>
      <c r="I80" s="33"/>
      <c r="J80" s="42"/>
      <c r="K80" s="33"/>
      <c r="L80" s="33"/>
      <c r="M80" s="33"/>
      <c r="N80" s="34" t="str">
        <f>IF(ISERROR(VLOOKUP(CONCATENATE($N$62,"_",M80),選手名簿!$A:$E,5,FALSE))=TRUE,"",VLOOKUP(CONCATENATE($N$62,"_",M80),選手名簿!$A:$E,5,FALSE))</f>
        <v/>
      </c>
      <c r="P80" s="29" t="s">
        <v>227</v>
      </c>
      <c r="Q80" s="769" t="str">
        <f>IF(ISERROR(VLOOKUP(Q79,審判員!$A:$C,2,FALSE))=TRUE,"",VLOOKUP(Q79,審判員!$A:$C,2,FALSE))</f>
        <v>佐藤　慎二</v>
      </c>
      <c r="R80" s="770"/>
      <c r="S80" s="83" t="str">
        <f>IF(ISERROR(VLOOKUP(Q79,審判員!$A:$C,3,FALSE))=TRUE,"",VLOOKUP(Q79,審判員!$A:$C,3,FALSE))</f>
        <v>３級</v>
      </c>
      <c r="T80" s="31" t="s">
        <v>196</v>
      </c>
      <c r="U80" s="32" t="str">
        <f>IF(ISERROR(VLOOKUP(CONCATENATE($U$62,"_",V80),選手名簿!$A:$E,5,FALSE))=TRUE,"",VLOOKUP(CONCATENATE($U$62,"_",V80),選手名簿!$A:$E,5,FALSE))</f>
        <v/>
      </c>
      <c r="V80" s="33"/>
      <c r="W80" s="33"/>
      <c r="X80" s="33"/>
      <c r="Y80" s="42"/>
      <c r="Z80" s="33"/>
      <c r="AA80" s="33"/>
      <c r="AB80" s="33"/>
      <c r="AC80" s="34" t="str">
        <f>IF(ISERROR(VLOOKUP(CONCATENATE($AC$62,"_",AB80),選手名簿!$A:$E,5,FALSE))=TRUE,"",VLOOKUP(CONCATENATE($AC$62,"_",AB80),選手名簿!$A:$E,5,FALSE))</f>
        <v/>
      </c>
    </row>
    <row r="81" spans="1:29" ht="26.25" customHeight="1" x14ac:dyDescent="0.45">
      <c r="A81" s="383" t="s">
        <v>226</v>
      </c>
      <c r="B81" s="880"/>
      <c r="C81" s="880"/>
      <c r="D81" s="881"/>
      <c r="E81" s="31" t="s">
        <v>196</v>
      </c>
      <c r="F81" s="32" t="str">
        <f>IF(ISERROR(VLOOKUP(CONCATENATE($F$62,"_",G81),選手名簿!$A:$E,5,FALSE))=TRUE,"",VLOOKUP(CONCATENATE($F$62,"_",G81),選手名簿!$A:$E,5,FALSE))</f>
        <v/>
      </c>
      <c r="G81" s="33"/>
      <c r="H81" s="33"/>
      <c r="I81" s="33"/>
      <c r="J81" s="42"/>
      <c r="K81" s="33"/>
      <c r="L81" s="33"/>
      <c r="M81" s="33"/>
      <c r="N81" s="34" t="str">
        <f>IF(ISERROR(VLOOKUP(CONCATENATE($N$62,"_",M81),選手名簿!$A:$E,5,FALSE))=TRUE,"",VLOOKUP(CONCATENATE($N$62,"_",M81),選手名簿!$A:$E,5,FALSE))</f>
        <v/>
      </c>
      <c r="P81" s="29" t="s">
        <v>226</v>
      </c>
      <c r="Q81" s="774" t="s">
        <v>6915</v>
      </c>
      <c r="R81" s="774"/>
      <c r="S81" s="774"/>
      <c r="T81" s="31" t="s">
        <v>196</v>
      </c>
      <c r="U81" s="32" t="str">
        <f>IF(ISERROR(VLOOKUP(CONCATENATE($U$62,"_",V81),選手名簿!$A:$E,5,FALSE))=TRUE,"",VLOOKUP(CONCATENATE($U$62,"_",V81),選手名簿!$A:$E,5,FALSE))</f>
        <v/>
      </c>
      <c r="V81" s="33"/>
      <c r="W81" s="33"/>
      <c r="X81" s="33"/>
      <c r="Y81" s="42"/>
      <c r="Z81" s="33"/>
      <c r="AA81" s="33"/>
      <c r="AB81" s="33"/>
      <c r="AC81" s="34" t="str">
        <f>IF(ISERROR(VLOOKUP(CONCATENATE($AC$62,"_",AB81),選手名簿!$A:$E,5,FALSE))=TRUE,"",VLOOKUP(CONCATENATE($AC$62,"_",AB81),選手名簿!$A:$E,5,FALSE))</f>
        <v/>
      </c>
    </row>
    <row r="82" spans="1:29" ht="26.25" customHeight="1" x14ac:dyDescent="0.45">
      <c r="A82" s="383" t="s">
        <v>219</v>
      </c>
      <c r="B82" s="882" t="str">
        <f>IF(ISERROR(VLOOKUP(B81,審判員!$A:$C,2,FALSE))=TRUE,"",VLOOKUP(B81,審判員!$A:$C,2,FALSE))</f>
        <v/>
      </c>
      <c r="C82" s="883"/>
      <c r="D82" s="383" t="str">
        <f>IF(ISERROR(VLOOKUP(B81,審判員!$A:$C,3,FALSE))=TRUE,"",VLOOKUP(B81,審判員!$A:$C,3,FALSE))</f>
        <v/>
      </c>
      <c r="E82" s="31" t="s">
        <v>196</v>
      </c>
      <c r="F82" s="32" t="str">
        <f>IF(ISERROR(VLOOKUP(CONCATENATE($F$62,"_",G82),選手名簿!$A:$E,5,FALSE))=TRUE,"",VLOOKUP(CONCATENATE($F$62,"_",G82),選手名簿!$A:$E,5,FALSE))</f>
        <v/>
      </c>
      <c r="G82" s="33"/>
      <c r="H82" s="33"/>
      <c r="I82" s="33"/>
      <c r="J82" s="42"/>
      <c r="K82" s="33"/>
      <c r="L82" s="33"/>
      <c r="M82" s="33"/>
      <c r="N82" s="34" t="str">
        <f>IF(ISERROR(VLOOKUP(CONCATENATE($N$62,"_",M82),選手名簿!$A:$E,5,FALSE))=TRUE,"",VLOOKUP(CONCATENATE($N$62,"_",M82),選手名簿!$A:$E,5,FALSE))</f>
        <v/>
      </c>
      <c r="P82" s="29" t="s">
        <v>219</v>
      </c>
      <c r="Q82" s="769" t="str">
        <f>IF(ISERROR(VLOOKUP(Q81,審判員!$A:$C,2,FALSE))=TRUE,"",VLOOKUP(Q81,審判員!$A:$C,2,FALSE))</f>
        <v>横山　大悟</v>
      </c>
      <c r="R82" s="770"/>
      <c r="S82" s="83" t="str">
        <f>IF(ISERROR(VLOOKUP(Q81,審判員!$A:$C,3,FALSE))=TRUE,"",VLOOKUP(Q81,審判員!$A:$C,3,FALSE))</f>
        <v>３級</v>
      </c>
      <c r="T82" s="31" t="s">
        <v>196</v>
      </c>
      <c r="U82" s="32" t="str">
        <f>IF(ISERROR(VLOOKUP(CONCATENATE($U$62,"_",V82),選手名簿!$A:$E,5,FALSE))=TRUE,"",VLOOKUP(CONCATENATE($U$62,"_",V82),選手名簿!$A:$E,5,FALSE))</f>
        <v/>
      </c>
      <c r="V82" s="33"/>
      <c r="W82" s="33"/>
      <c r="X82" s="33"/>
      <c r="Y82" s="42"/>
      <c r="Z82" s="33"/>
      <c r="AA82" s="33"/>
      <c r="AB82" s="33"/>
      <c r="AC82" s="34" t="str">
        <f>IF(ISERROR(VLOOKUP(CONCATENATE($AC$62,"_",AB82),選手名簿!$A:$E,5,FALSE))=TRUE,"",VLOOKUP(CONCATENATE($AC$62,"_",AB82),選手名簿!$A:$E,5,FALSE))</f>
        <v/>
      </c>
    </row>
    <row r="83" spans="1:29" ht="26.25" customHeight="1" x14ac:dyDescent="0.45">
      <c r="A83" s="383" t="s">
        <v>226</v>
      </c>
      <c r="B83" s="880"/>
      <c r="C83" s="880"/>
      <c r="D83" s="881"/>
      <c r="E83" s="31" t="s">
        <v>196</v>
      </c>
      <c r="F83" s="32" t="str">
        <f>IF(ISERROR(VLOOKUP(CONCATENATE($F$62,"_",G83),選手名簿!$A:$E,5,FALSE))=TRUE,"",VLOOKUP(CONCATENATE($F$62,"_",G83),選手名簿!$A:$E,5,FALSE))</f>
        <v/>
      </c>
      <c r="G83" s="33"/>
      <c r="H83" s="33"/>
      <c r="I83" s="33"/>
      <c r="J83" s="42"/>
      <c r="K83" s="33"/>
      <c r="L83" s="33"/>
      <c r="M83" s="33"/>
      <c r="N83" s="34" t="str">
        <f>IF(ISERROR(VLOOKUP(CONCATENATE($N$62,"_",M83),選手名簿!$A:$E,5,FALSE))=TRUE,"",VLOOKUP(CONCATENATE($N$62,"_",M83),選手名簿!$A:$E,5,FALSE))</f>
        <v/>
      </c>
      <c r="P83" s="29" t="s">
        <v>226</v>
      </c>
      <c r="Q83" s="774" t="s">
        <v>639</v>
      </c>
      <c r="R83" s="774"/>
      <c r="S83" s="774"/>
      <c r="T83" s="31" t="s">
        <v>196</v>
      </c>
      <c r="U83" s="32" t="str">
        <f>IF(ISERROR(VLOOKUP(CONCATENATE($U$62,"_",V83),選手名簿!$A:$E,5,FALSE))=TRUE,"",VLOOKUP(CONCATENATE($U$62,"_",V83),選手名簿!$A:$E,5,FALSE))</f>
        <v/>
      </c>
      <c r="V83" s="33"/>
      <c r="W83" s="33"/>
      <c r="X83" s="33"/>
      <c r="Y83" s="42"/>
      <c r="Z83" s="33"/>
      <c r="AA83" s="33"/>
      <c r="AB83" s="33"/>
      <c r="AC83" s="34" t="str">
        <f>IF(ISERROR(VLOOKUP(CONCATENATE($AC$62,"_",AB83),選手名簿!$A:$E,5,FALSE))=TRUE,"",VLOOKUP(CONCATENATE($AC$62,"_",AB83),選手名簿!$A:$E,5,FALSE))</f>
        <v/>
      </c>
    </row>
    <row r="84" spans="1:29" ht="26.25" customHeight="1" x14ac:dyDescent="0.45">
      <c r="A84" s="383" t="s">
        <v>218</v>
      </c>
      <c r="B84" s="882" t="str">
        <f>IF(ISERROR(VLOOKUP(B83,審判員!$A:$C,2,FALSE))=TRUE,"",VLOOKUP(B83,審判員!$A:$C,2,FALSE))</f>
        <v/>
      </c>
      <c r="C84" s="883"/>
      <c r="D84" s="383" t="str">
        <f>IF(ISERROR(VLOOKUP(B83,審判員!$A:$C,3,FALSE))=TRUE,"",VLOOKUP(B83,審判員!$A:$C,3,FALSE))</f>
        <v/>
      </c>
      <c r="E84" s="31" t="s">
        <v>196</v>
      </c>
      <c r="F84" s="32" t="str">
        <f>IF(ISERROR(VLOOKUP(CONCATENATE($F$62,"_",G84),選手名簿!$A:$E,5,FALSE))=TRUE,"",VLOOKUP(CONCATENATE($F$62,"_",G84),選手名簿!$A:$E,5,FALSE))</f>
        <v/>
      </c>
      <c r="G84" s="33"/>
      <c r="H84" s="33"/>
      <c r="I84" s="33"/>
      <c r="J84" s="42"/>
      <c r="K84" s="33"/>
      <c r="L84" s="33"/>
      <c r="M84" s="33"/>
      <c r="N84" s="34" t="str">
        <f>IF(ISERROR(VLOOKUP(CONCATENATE($N$62,"_",M84),選手名簿!$A:$E,5,FALSE))=TRUE,"",VLOOKUP(CONCATENATE($N$62,"_",M84),選手名簿!$A:$E,5,FALSE))</f>
        <v/>
      </c>
      <c r="P84" s="29" t="s">
        <v>218</v>
      </c>
      <c r="Q84" s="769" t="str">
        <f>IF(ISERROR(VLOOKUP(Q83,審判員!$A:$C,2,FALSE))=TRUE,"",VLOOKUP(Q83,審判員!$A:$C,2,FALSE))</f>
        <v>相良　章成</v>
      </c>
      <c r="R84" s="770"/>
      <c r="S84" s="83" t="str">
        <f>IF(ISERROR(VLOOKUP(Q83,審判員!$A:$C,3,FALSE))=TRUE,"",VLOOKUP(Q83,審判員!$A:$C,3,FALSE))</f>
        <v>３級</v>
      </c>
      <c r="T84" s="31" t="s">
        <v>196</v>
      </c>
      <c r="U84" s="32" t="str">
        <f>IF(ISERROR(VLOOKUP(CONCATENATE($U$62,"_",V84),選手名簿!$A:$E,5,FALSE))=TRUE,"",VLOOKUP(CONCATENATE($U$62,"_",V84),選手名簿!$A:$E,5,FALSE))</f>
        <v/>
      </c>
      <c r="V84" s="33"/>
      <c r="W84" s="33"/>
      <c r="X84" s="33"/>
      <c r="Y84" s="42"/>
      <c r="Z84" s="33"/>
      <c r="AA84" s="33"/>
      <c r="AB84" s="33"/>
      <c r="AC84" s="34" t="str">
        <f>IF(ISERROR(VLOOKUP(CONCATENATE($AC$62,"_",AB84),選手名簿!$A:$E,5,FALSE))=TRUE,"",VLOOKUP(CONCATENATE($AC$62,"_",AB84),選手名簿!$A:$E,5,FALSE))</f>
        <v/>
      </c>
    </row>
    <row r="85" spans="1:29" ht="26.25" customHeight="1" x14ac:dyDescent="0.45">
      <c r="A85" s="29" t="s">
        <v>226</v>
      </c>
      <c r="B85" s="773" t="s">
        <v>1446</v>
      </c>
      <c r="C85" s="773"/>
      <c r="D85" s="773"/>
      <c r="E85" s="31" t="s">
        <v>196</v>
      </c>
      <c r="F85" s="32" t="str">
        <f>IF(ISERROR(VLOOKUP(CONCATENATE($F$62,"_",G85),選手名簿!$A:$E,5,FALSE))=TRUE,"",VLOOKUP(CONCATENATE($F$62,"_",G85),選手名簿!$A:$E,5,FALSE))</f>
        <v/>
      </c>
      <c r="G85" s="33"/>
      <c r="H85" s="33"/>
      <c r="I85" s="33"/>
      <c r="J85" s="42"/>
      <c r="K85" s="33"/>
      <c r="L85" s="33"/>
      <c r="M85" s="33"/>
      <c r="N85" s="34" t="str">
        <f>IF(ISERROR(VLOOKUP(CONCATENATE($N$62,"_",M85),選手名簿!$A:$E,5,FALSE))=TRUE,"",VLOOKUP(CONCATENATE($N$62,"_",M85),選手名簿!$A:$E,5,FALSE))</f>
        <v/>
      </c>
      <c r="P85" s="29" t="s">
        <v>226</v>
      </c>
      <c r="Q85" s="774" t="s">
        <v>795</v>
      </c>
      <c r="R85" s="774"/>
      <c r="S85" s="774"/>
      <c r="T85" s="31" t="s">
        <v>196</v>
      </c>
      <c r="U85" s="32" t="str">
        <f>IF(ISERROR(VLOOKUP(CONCATENATE($U$62,"_",V85),選手名簿!$A:$E,5,FALSE))=TRUE,"",VLOOKUP(CONCATENATE($U$62,"_",V85),選手名簿!$A:$E,5,FALSE))</f>
        <v/>
      </c>
      <c r="V85" s="33"/>
      <c r="W85" s="33"/>
      <c r="X85" s="33"/>
      <c r="Y85" s="42"/>
      <c r="Z85" s="33"/>
      <c r="AA85" s="33"/>
      <c r="AB85" s="33"/>
      <c r="AC85" s="34" t="str">
        <f>IF(ISERROR(VLOOKUP(CONCATENATE($AC$62,"_",AB85),選手名簿!$A:$E,5,FALSE))=TRUE,"",VLOOKUP(CONCATENATE($AC$62,"_",AB85),選手名簿!$A:$E,5,FALSE))</f>
        <v/>
      </c>
    </row>
    <row r="86" spans="1:29" ht="26.25" customHeight="1" thickBot="1" x14ac:dyDescent="0.6">
      <c r="A86" s="29" t="s">
        <v>217</v>
      </c>
      <c r="B86" s="769" t="str">
        <f>IF(ISERROR(VLOOKUP(B85,審判員!$A:$C,2,FALSE))=TRUE,"",VLOOKUP(B85,審判員!$A:$C,2,FALSE))</f>
        <v>阿部　浩之</v>
      </c>
      <c r="C86" s="770"/>
      <c r="D86" s="83" t="str">
        <f>IF(ISERROR(VLOOKUP(B85,審判員!$A:$C,3,FALSE))=TRUE,"",VLOOKUP(B85,審判員!$A:$C,3,FALSE))</f>
        <v>３級</v>
      </c>
      <c r="E86" s="35" t="s">
        <v>196</v>
      </c>
      <c r="F86" s="36" t="str">
        <f>IF(ISERROR(VLOOKUP(CONCATENATE($F$62,"_",G86),選手名簿!$A:$E,5,FALSE))=TRUE,"",VLOOKUP(CONCATENATE($F$62,"_",G86),選手名簿!$A:$E,5,FALSE))</f>
        <v/>
      </c>
      <c r="G86" s="37"/>
      <c r="H86" s="37"/>
      <c r="I86" s="37"/>
      <c r="J86" s="49"/>
      <c r="K86" s="37"/>
      <c r="L86" s="37"/>
      <c r="M86" s="37"/>
      <c r="N86" s="38" t="str">
        <f>IF(ISERROR(VLOOKUP(CONCATENATE($N$62,"_",M86),選手名簿!$A:$E,5,FALSE))=TRUE,"",VLOOKUP(CONCATENATE($N$62,"_",M86),選手名簿!$A:$E,5,FALSE))</f>
        <v/>
      </c>
      <c r="P86" s="29" t="s">
        <v>217</v>
      </c>
      <c r="Q86" s="769" t="str">
        <f>IF(ISERROR(VLOOKUP(Q85,審判員!$A:$C,2,FALSE))=TRUE,"",VLOOKUP(Q85,審判員!$A:$C,2,FALSE))</f>
        <v>宇髙　篤史</v>
      </c>
      <c r="R86" s="770"/>
      <c r="S86" s="83" t="str">
        <f>IF(ISERROR(VLOOKUP(Q85,審判員!$A:$C,3,FALSE))=TRUE,"",VLOOKUP(Q85,審判員!$A:$C,3,FALSE))</f>
        <v>３級</v>
      </c>
      <c r="T86" s="35" t="s">
        <v>196</v>
      </c>
      <c r="U86" s="36" t="str">
        <f>IF(ISERROR(VLOOKUP(CONCATENATE($U$62,"_",V86),選手名簿!$A:$E,5,FALSE))=TRUE,"",VLOOKUP(CONCATENATE($U$62,"_",V86),選手名簿!$A:$E,5,FALSE))</f>
        <v/>
      </c>
      <c r="V86" s="37"/>
      <c r="W86" s="37"/>
      <c r="X86" s="37"/>
      <c r="Y86" s="49"/>
      <c r="Z86" s="37"/>
      <c r="AA86" s="37"/>
      <c r="AB86" s="37"/>
      <c r="AC86" s="38" t="str">
        <f>IF(ISERROR(VLOOKUP(CONCATENATE($AC$62,"_",AB86),選手名簿!$A:$E,5,FALSE))=TRUE,"",VLOOKUP(CONCATENATE($AC$62,"_",AB86),選手名簿!$A:$E,5,FALSE))</f>
        <v/>
      </c>
    </row>
    <row r="87" spans="1:29" ht="9.9499999999999993" customHeight="1" x14ac:dyDescent="0.45">
      <c r="E87" s="39"/>
      <c r="T87" s="39"/>
    </row>
    <row r="88" spans="1:29" ht="9.9499999999999993" customHeight="1" x14ac:dyDescent="0.45">
      <c r="E88" s="39"/>
      <c r="T88" s="39"/>
    </row>
    <row r="89" spans="1:29" ht="9.9499999999999993" customHeight="1" x14ac:dyDescent="0.45">
      <c r="E89" s="39"/>
      <c r="T89" s="39"/>
    </row>
    <row r="90" spans="1:29" ht="9.9499999999999993" customHeight="1" x14ac:dyDescent="0.45">
      <c r="E90" s="39"/>
      <c r="T90" s="39"/>
    </row>
    <row r="91" spans="1:29" ht="27.4" customHeight="1" thickBot="1" x14ac:dyDescent="0.6">
      <c r="B91" s="9" t="s">
        <v>200</v>
      </c>
      <c r="E91" s="39"/>
      <c r="Q91" s="9" t="s">
        <v>198</v>
      </c>
      <c r="T91" s="39"/>
    </row>
    <row r="92" spans="1:29" ht="27.4" customHeight="1" x14ac:dyDescent="0.45">
      <c r="A92" s="365" t="s">
        <v>3235</v>
      </c>
      <c r="B92" s="789" t="s">
        <v>823</v>
      </c>
      <c r="C92" s="790"/>
      <c r="D92" s="791"/>
      <c r="E92" s="778">
        <v>0.5</v>
      </c>
      <c r="F92" s="887" t="str">
        <f>VLOOKUP(決勝トーナメント!K28,組合せ抽選用!$S:$U,3,FALSE)</f>
        <v>スマイス・セレソン</v>
      </c>
      <c r="G92" s="784">
        <f>IF(I92="","",SUM(I92:I93))</f>
        <v>3</v>
      </c>
      <c r="H92" s="793" t="s">
        <v>205</v>
      </c>
      <c r="I92" s="84">
        <v>2</v>
      </c>
      <c r="J92" s="84" t="s">
        <v>116</v>
      </c>
      <c r="K92" s="84">
        <v>3</v>
      </c>
      <c r="L92" s="793" t="s">
        <v>206</v>
      </c>
      <c r="M92" s="784">
        <f>IF(K92="","",SUM(K92:K93))</f>
        <v>4</v>
      </c>
      <c r="N92" s="884" t="str">
        <f>VLOOKUP(決勝トーナメント!O28,組合せ抽選用!$S:$U,3,FALSE)</f>
        <v>鶴居ＳＳＳ</v>
      </c>
      <c r="P92" s="365" t="s">
        <v>3235</v>
      </c>
      <c r="Q92" s="789" t="s">
        <v>3920</v>
      </c>
      <c r="R92" s="790"/>
      <c r="S92" s="791"/>
      <c r="T92" s="778">
        <v>0.5</v>
      </c>
      <c r="U92" s="887" t="str">
        <f>VLOOKUP(決勝トーナメント!K21,組合せ抽選用!$S:$U,3,FALSE)</f>
        <v>ＫＩＮＧＳ　ＦＯＯＴＢＡＬＬＣＬＵＢ　Ｕ－１２</v>
      </c>
      <c r="V92" s="784">
        <f>IF(X92="","",SUM(X92:X93))</f>
        <v>3</v>
      </c>
      <c r="W92" s="793" t="s">
        <v>205</v>
      </c>
      <c r="X92" s="84">
        <v>1</v>
      </c>
      <c r="Y92" s="84" t="s">
        <v>116</v>
      </c>
      <c r="Z92" s="84">
        <v>0</v>
      </c>
      <c r="AA92" s="793" t="s">
        <v>206</v>
      </c>
      <c r="AB92" s="784">
        <f>IF(Z92="","",SUM(Z92:Z93))</f>
        <v>0</v>
      </c>
      <c r="AC92" s="884" t="str">
        <f>VLOOKUP(決勝トーナメント!O21,組合せ抽選用!$S:$U,3,FALSE)</f>
        <v>金池長浜サッカースポーツ少年団</v>
      </c>
    </row>
    <row r="93" spans="1:29" ht="27.4" customHeight="1" x14ac:dyDescent="0.45">
      <c r="A93" s="366" t="s">
        <v>3236</v>
      </c>
      <c r="B93" s="792" t="s">
        <v>3925</v>
      </c>
      <c r="C93" s="792"/>
      <c r="D93" s="789"/>
      <c r="E93" s="779"/>
      <c r="F93" s="888"/>
      <c r="G93" s="785"/>
      <c r="H93" s="794"/>
      <c r="I93" s="9">
        <v>1</v>
      </c>
      <c r="J93" s="9" t="s">
        <v>117</v>
      </c>
      <c r="K93" s="9">
        <v>1</v>
      </c>
      <c r="L93" s="794"/>
      <c r="M93" s="785"/>
      <c r="N93" s="885"/>
      <c r="P93" s="366" t="s">
        <v>3236</v>
      </c>
      <c r="Q93" s="792" t="s">
        <v>3389</v>
      </c>
      <c r="R93" s="792"/>
      <c r="S93" s="789"/>
      <c r="T93" s="779"/>
      <c r="U93" s="888"/>
      <c r="V93" s="785"/>
      <c r="W93" s="794"/>
      <c r="X93" s="9">
        <v>2</v>
      </c>
      <c r="Y93" s="9" t="s">
        <v>117</v>
      </c>
      <c r="Z93" s="9">
        <v>0</v>
      </c>
      <c r="AA93" s="794"/>
      <c r="AB93" s="785"/>
      <c r="AC93" s="885"/>
    </row>
    <row r="94" spans="1:29" ht="27.4" customHeight="1" thickBot="1" x14ac:dyDescent="0.6">
      <c r="A94" s="366" t="s">
        <v>3237</v>
      </c>
      <c r="B94" s="792" t="s">
        <v>10008</v>
      </c>
      <c r="C94" s="792"/>
      <c r="D94" s="789"/>
      <c r="E94" s="780"/>
      <c r="F94" s="889"/>
      <c r="G94" s="786"/>
      <c r="H94" s="795"/>
      <c r="I94" s="85"/>
      <c r="J94" s="85" t="s">
        <v>188</v>
      </c>
      <c r="K94" s="85"/>
      <c r="L94" s="795"/>
      <c r="M94" s="786"/>
      <c r="N94" s="886"/>
      <c r="P94" s="366" t="s">
        <v>3237</v>
      </c>
      <c r="Q94" s="792" t="s">
        <v>11838</v>
      </c>
      <c r="R94" s="792"/>
      <c r="S94" s="789"/>
      <c r="T94" s="780"/>
      <c r="U94" s="889"/>
      <c r="V94" s="786"/>
      <c r="W94" s="795"/>
      <c r="X94" s="85"/>
      <c r="Y94" s="85" t="s">
        <v>188</v>
      </c>
      <c r="Z94" s="85"/>
      <c r="AA94" s="795"/>
      <c r="AB94" s="786"/>
      <c r="AC94" s="886"/>
    </row>
    <row r="95" spans="1:29" ht="26.25" hidden="1" customHeight="1" x14ac:dyDescent="0.45">
      <c r="E95" s="15"/>
      <c r="F95" s="16" t="s">
        <v>190</v>
      </c>
      <c r="G95" s="16" t="s">
        <v>1552</v>
      </c>
      <c r="H95" s="16" t="s">
        <v>145</v>
      </c>
      <c r="I95" s="16"/>
      <c r="J95" s="40"/>
      <c r="K95" s="16"/>
      <c r="L95" s="16" t="s">
        <v>145</v>
      </c>
      <c r="M95" s="16" t="s">
        <v>1552</v>
      </c>
      <c r="N95" s="18" t="s">
        <v>190</v>
      </c>
      <c r="T95" s="15"/>
      <c r="U95" s="16" t="s">
        <v>190</v>
      </c>
      <c r="V95" s="16" t="s">
        <v>1552</v>
      </c>
      <c r="W95" s="16" t="s">
        <v>145</v>
      </c>
      <c r="X95" s="16"/>
      <c r="Y95" s="40"/>
      <c r="Z95" s="16"/>
      <c r="AA95" s="16" t="s">
        <v>145</v>
      </c>
      <c r="AB95" s="16" t="s">
        <v>1552</v>
      </c>
      <c r="AC95" s="18" t="s">
        <v>190</v>
      </c>
    </row>
    <row r="96" spans="1:29" ht="26.25" hidden="1" customHeight="1" x14ac:dyDescent="0.45">
      <c r="E96" s="31" t="s">
        <v>155</v>
      </c>
      <c r="F96" s="41" t="str">
        <f>IF(ISERROR(VLOOKUP(CONCATENATE($F$62,"_",G96),選手名簿!$A:$E,5,FALSE))=TRUE,"",VLOOKUP(CONCATENATE($F$62,"_",G96),選手名簿!$A:$E,5,FALSE))</f>
        <v/>
      </c>
      <c r="G96" s="33"/>
      <c r="H96" s="33"/>
      <c r="I96" s="33"/>
      <c r="J96" s="42"/>
      <c r="K96" s="33"/>
      <c r="L96" s="33"/>
      <c r="M96" s="33"/>
      <c r="N96" s="43" t="str">
        <f>IF(ISERROR(VLOOKUP(CONCATENATE($N$62,"_",M96),選手名簿!$A:$E,5,FALSE))=TRUE,"",VLOOKUP(CONCATENATE($N$62,"_",M96),選手名簿!$A:$E,5,FALSE))</f>
        <v/>
      </c>
      <c r="T96" s="31" t="s">
        <v>155</v>
      </c>
      <c r="U96" s="41" t="str">
        <f>IF(ISERROR(VLOOKUP(CONCATENATE($U$62,"_",V96),選手名簿!$A:$E,5,FALSE))=TRUE,"",VLOOKUP(CONCATENATE($U$62,"_",V96),選手名簿!$A:$E,5,FALSE))</f>
        <v/>
      </c>
      <c r="V96" s="33"/>
      <c r="W96" s="33"/>
      <c r="X96" s="33"/>
      <c r="Y96" s="42"/>
      <c r="Z96" s="33"/>
      <c r="AA96" s="33"/>
      <c r="AB96" s="33"/>
      <c r="AC96" s="43" t="str">
        <f>IF(ISERROR(VLOOKUP(CONCATENATE($AC$62,"_",AB96),選手名簿!$A:$E,5,FALSE))=TRUE,"",VLOOKUP(CONCATENATE($AC$62,"_",AB96),選手名簿!$A:$E,5,FALSE))</f>
        <v/>
      </c>
    </row>
    <row r="97" spans="1:29" ht="26.25" hidden="1" customHeight="1" x14ac:dyDescent="0.45">
      <c r="E97" s="31" t="s">
        <v>155</v>
      </c>
      <c r="F97" s="20" t="str">
        <f>IF(ISERROR(VLOOKUP(CONCATENATE($F$62,"_",G97),選手名簿!$A:$E,5,FALSE))=TRUE,"",VLOOKUP(CONCATENATE($F$62,"_",G97),選手名簿!$A:$E,5,FALSE))</f>
        <v/>
      </c>
      <c r="G97" s="33"/>
      <c r="H97" s="33"/>
      <c r="I97" s="33"/>
      <c r="J97" s="42"/>
      <c r="K97" s="33"/>
      <c r="L97" s="33"/>
      <c r="M97" s="33"/>
      <c r="N97" s="43" t="str">
        <f>IF(ISERROR(VLOOKUP(CONCATENATE($N$62,"_",M97),選手名簿!$A:$E,5,FALSE))=TRUE,"",VLOOKUP(CONCATENATE($N$62,"_",M97),選手名簿!$A:$E,5,FALSE))</f>
        <v/>
      </c>
      <c r="T97" s="31" t="s">
        <v>155</v>
      </c>
      <c r="U97" s="20" t="str">
        <f>IF(ISERROR(VLOOKUP(CONCATENATE($U$62,"_",V97),選手名簿!$A:$E,5,FALSE))=TRUE,"",VLOOKUP(CONCATENATE($U$62,"_",V97),選手名簿!$A:$E,5,FALSE))</f>
        <v/>
      </c>
      <c r="V97" s="33"/>
      <c r="W97" s="33"/>
      <c r="X97" s="33"/>
      <c r="Y97" s="42"/>
      <c r="Z97" s="33"/>
      <c r="AA97" s="33"/>
      <c r="AB97" s="33"/>
      <c r="AC97" s="43" t="str">
        <f>IF(ISERROR(VLOOKUP(CONCATENATE($AC$62,"_",AB97),選手名簿!$A:$E,5,FALSE))=TRUE,"",VLOOKUP(CONCATENATE($AC$62,"_",AB97),選手名簿!$A:$E,5,FALSE))</f>
        <v/>
      </c>
    </row>
    <row r="98" spans="1:29" ht="26.25" hidden="1" customHeight="1" x14ac:dyDescent="0.45">
      <c r="E98" s="31" t="s">
        <v>155</v>
      </c>
      <c r="F98" s="41" t="str">
        <f>IF(ISERROR(VLOOKUP(CONCATENATE($F$62,"_",G98),選手名簿!$A:$E,5,FALSE))=TRUE,"",VLOOKUP(CONCATENATE($F$62,"_",G98),選手名簿!$A:$E,5,FALSE))</f>
        <v/>
      </c>
      <c r="G98" s="33"/>
      <c r="H98" s="33"/>
      <c r="I98" s="33"/>
      <c r="J98" s="42"/>
      <c r="K98" s="33"/>
      <c r="L98" s="33"/>
      <c r="M98" s="33"/>
      <c r="N98" s="43" t="str">
        <f>IF(ISERROR(VLOOKUP(CONCATENATE($N$62,"_",M98),選手名簿!$A:$E,5,FALSE))=TRUE,"",VLOOKUP(CONCATENATE($N$62,"_",M98),選手名簿!$A:$E,5,FALSE))</f>
        <v/>
      </c>
      <c r="T98" s="31" t="s">
        <v>155</v>
      </c>
      <c r="U98" s="41" t="str">
        <f>IF(ISERROR(VLOOKUP(CONCATENATE($U$62,"_",V98),選手名簿!$A:$E,5,FALSE))=TRUE,"",VLOOKUP(CONCATENATE($U$62,"_",V98),選手名簿!$A:$E,5,FALSE))</f>
        <v/>
      </c>
      <c r="V98" s="33"/>
      <c r="W98" s="33"/>
      <c r="X98" s="33"/>
      <c r="Y98" s="42"/>
      <c r="Z98" s="33"/>
      <c r="AA98" s="33"/>
      <c r="AB98" s="33"/>
      <c r="AC98" s="43" t="str">
        <f>IF(ISERROR(VLOOKUP(CONCATENATE($AC$62,"_",AB98),選手名簿!$A:$E,5,FALSE))=TRUE,"",VLOOKUP(CONCATENATE($AC$62,"_",AB98),選手名簿!$A:$E,5,FALSE))</f>
        <v/>
      </c>
    </row>
    <row r="99" spans="1:29" ht="26.25" hidden="1" customHeight="1" x14ac:dyDescent="0.45">
      <c r="E99" s="31" t="s">
        <v>155</v>
      </c>
      <c r="F99" s="20" t="str">
        <f>IF(ISERROR(VLOOKUP(CONCATENATE($F$62,"_",G99),選手名簿!$A:$E,5,FALSE))=TRUE,"",VLOOKUP(CONCATENATE($F$62,"_",G99),選手名簿!$A:$E,5,FALSE))</f>
        <v/>
      </c>
      <c r="G99" s="33"/>
      <c r="H99" s="33"/>
      <c r="I99" s="33"/>
      <c r="J99" s="42"/>
      <c r="K99" s="33"/>
      <c r="L99" s="33"/>
      <c r="M99" s="33"/>
      <c r="N99" s="43" t="str">
        <f>IF(ISERROR(VLOOKUP(CONCATENATE($N$62,"_",M99),選手名簿!$A:$E,5,FALSE))=TRUE,"",VLOOKUP(CONCATENATE($N$62,"_",M99),選手名簿!$A:$E,5,FALSE))</f>
        <v/>
      </c>
      <c r="T99" s="31" t="s">
        <v>155</v>
      </c>
      <c r="U99" s="20" t="str">
        <f>IF(ISERROR(VLOOKUP(CONCATENATE($U$62,"_",V99),選手名簿!$A:$E,5,FALSE))=TRUE,"",VLOOKUP(CONCATENATE($U$62,"_",V99),選手名簿!$A:$E,5,FALSE))</f>
        <v/>
      </c>
      <c r="V99" s="33"/>
      <c r="W99" s="33"/>
      <c r="X99" s="33"/>
      <c r="Y99" s="42"/>
      <c r="Z99" s="33"/>
      <c r="AA99" s="33"/>
      <c r="AB99" s="33"/>
      <c r="AC99" s="43" t="str">
        <f>IF(ISERROR(VLOOKUP(CONCATENATE($AC$62,"_",AB99),選手名簿!$A:$E,5,FALSE))=TRUE,"",VLOOKUP(CONCATENATE($AC$62,"_",AB99),選手名簿!$A:$E,5,FALSE))</f>
        <v/>
      </c>
    </row>
    <row r="100" spans="1:29" ht="26.25" hidden="1" customHeight="1" x14ac:dyDescent="0.45">
      <c r="E100" s="31" t="s">
        <v>155</v>
      </c>
      <c r="F100" s="32" t="str">
        <f>IF(ISERROR(VLOOKUP(CONCATENATE($F$62,"_",G100),選手名簿!$A:$E,5,FALSE))=TRUE,"",VLOOKUP(CONCATENATE($F$62,"_",G100),選手名簿!$A:$E,5,FALSE))</f>
        <v/>
      </c>
      <c r="G100" s="33"/>
      <c r="H100" s="33"/>
      <c r="I100" s="33"/>
      <c r="J100" s="42"/>
      <c r="K100" s="33"/>
      <c r="L100" s="33"/>
      <c r="M100" s="33"/>
      <c r="N100" s="43" t="str">
        <f>IF(ISERROR(VLOOKUP(CONCATENATE($N$62,"_",M100),選手名簿!$A:$E,5,FALSE))=TRUE,"",VLOOKUP(CONCATENATE($N$62,"_",M100),選手名簿!$A:$E,5,FALSE))</f>
        <v/>
      </c>
      <c r="T100" s="31" t="s">
        <v>155</v>
      </c>
      <c r="U100" s="32" t="str">
        <f>IF(ISERROR(VLOOKUP(CONCATENATE($U$62,"_",V100),選手名簿!$A:$E,5,FALSE))=TRUE,"",VLOOKUP(CONCATENATE($U$62,"_",V100),選手名簿!$A:$E,5,FALSE))</f>
        <v/>
      </c>
      <c r="V100" s="33"/>
      <c r="W100" s="33"/>
      <c r="X100" s="33"/>
      <c r="Y100" s="42"/>
      <c r="Z100" s="33"/>
      <c r="AA100" s="33"/>
      <c r="AB100" s="33"/>
      <c r="AC100" s="43" t="str">
        <f>IF(ISERROR(VLOOKUP(CONCATENATE($AC$62,"_",AB100),選手名簿!$A:$E,5,FALSE))=TRUE,"",VLOOKUP(CONCATENATE($AC$62,"_",AB100),選手名簿!$A:$E,5,FALSE))</f>
        <v/>
      </c>
    </row>
    <row r="101" spans="1:29" ht="26.25" hidden="1" customHeight="1" x14ac:dyDescent="0.45">
      <c r="E101" s="31" t="s">
        <v>155</v>
      </c>
      <c r="F101" s="32" t="str">
        <f>IF(ISERROR(VLOOKUP(CONCATENATE($F$62,"_",G101),選手名簿!$A:$E,5,FALSE))=TRUE,"",VLOOKUP(CONCATENATE($F$62,"_",G101),選手名簿!$A:$E,5,FALSE))</f>
        <v/>
      </c>
      <c r="G101" s="33"/>
      <c r="H101" s="33"/>
      <c r="I101" s="33"/>
      <c r="J101" s="42"/>
      <c r="K101" s="33"/>
      <c r="L101" s="33"/>
      <c r="M101" s="33"/>
      <c r="N101" s="43" t="str">
        <f>IF(ISERROR(VLOOKUP(CONCATENATE($N$62,"_",M101),選手名簿!$A:$E,5,FALSE))=TRUE,"",VLOOKUP(CONCATENATE($N$62,"_",M101),選手名簿!$A:$E,5,FALSE))</f>
        <v/>
      </c>
      <c r="T101" s="31" t="s">
        <v>155</v>
      </c>
      <c r="U101" s="32" t="str">
        <f>IF(ISERROR(VLOOKUP(CONCATENATE($U$62,"_",V101),選手名簿!$A:$E,5,FALSE))=TRUE,"",VLOOKUP(CONCATENATE($U$62,"_",V101),選手名簿!$A:$E,5,FALSE))</f>
        <v/>
      </c>
      <c r="V101" s="33"/>
      <c r="W101" s="33"/>
      <c r="X101" s="33"/>
      <c r="Y101" s="42"/>
      <c r="Z101" s="33"/>
      <c r="AA101" s="33"/>
      <c r="AB101" s="33"/>
      <c r="AC101" s="43" t="str">
        <f>IF(ISERROR(VLOOKUP(CONCATENATE($AC$62,"_",AB101),選手名簿!$A:$E,5,FALSE))=TRUE,"",VLOOKUP(CONCATENATE($AC$62,"_",AB101),選手名簿!$A:$E,5,FALSE))</f>
        <v/>
      </c>
    </row>
    <row r="102" spans="1:29" ht="26.25" hidden="1" customHeight="1" x14ac:dyDescent="0.45">
      <c r="E102" s="31" t="s">
        <v>155</v>
      </c>
      <c r="F102" s="32" t="str">
        <f>IF(ISERROR(VLOOKUP(CONCATENATE($F$62,"_",G102),選手名簿!$A:$E,5,FALSE))=TRUE,"",VLOOKUP(CONCATENATE($F$62,"_",G102),選手名簿!$A:$E,5,FALSE))</f>
        <v/>
      </c>
      <c r="G102" s="33"/>
      <c r="H102" s="33"/>
      <c r="I102" s="33"/>
      <c r="J102" s="42"/>
      <c r="K102" s="33"/>
      <c r="L102" s="33"/>
      <c r="M102" s="33"/>
      <c r="N102" s="23" t="str">
        <f>IF(ISERROR(VLOOKUP(CONCATENATE($N$62,"_",M102),選手名簿!$A:$E,5,FALSE))=TRUE,"",VLOOKUP(CONCATENATE($N$62,"_",M102),選手名簿!$A:$E,5,FALSE))</f>
        <v/>
      </c>
      <c r="T102" s="31" t="s">
        <v>155</v>
      </c>
      <c r="U102" s="32" t="str">
        <f>IF(ISERROR(VLOOKUP(CONCATENATE($U$62,"_",V102),選手名簿!$A:$E,5,FALSE))=TRUE,"",VLOOKUP(CONCATENATE($U$62,"_",V102),選手名簿!$A:$E,5,FALSE))</f>
        <v/>
      </c>
      <c r="V102" s="33"/>
      <c r="W102" s="33"/>
      <c r="X102" s="33"/>
      <c r="Y102" s="42"/>
      <c r="Z102" s="33"/>
      <c r="AA102" s="33"/>
      <c r="AB102" s="33"/>
      <c r="AC102" s="23" t="str">
        <f>IF(ISERROR(VLOOKUP(CONCATENATE($AC$62,"_",AB102),選手名簿!$A:$E,5,FALSE))=TRUE,"",VLOOKUP(CONCATENATE($AC$62,"_",AB102),選手名簿!$A:$E,5,FALSE))</f>
        <v/>
      </c>
    </row>
    <row r="103" spans="1:29" ht="26.25" hidden="1" customHeight="1" x14ac:dyDescent="0.45">
      <c r="E103" s="31" t="s">
        <v>155</v>
      </c>
      <c r="F103" s="32" t="str">
        <f>IF(ISERROR(VLOOKUP(CONCATENATE($F$62,"_",G103),選手名簿!$A:$E,5,FALSE))=TRUE,"",VLOOKUP(CONCATENATE($F$62,"_",G103),選手名簿!$A:$E,5,FALSE))</f>
        <v/>
      </c>
      <c r="G103" s="33"/>
      <c r="H103" s="33"/>
      <c r="I103" s="33"/>
      <c r="J103" s="42"/>
      <c r="K103" s="33"/>
      <c r="L103" s="33"/>
      <c r="M103" s="33"/>
      <c r="N103" s="34" t="str">
        <f>IF(ISERROR(VLOOKUP(CONCATENATE($N$62,"_",M103),選手名簿!$A:$E,5,FALSE))=TRUE,"",VLOOKUP(CONCATENATE($N$62,"_",M103),選手名簿!$A:$E,5,FALSE))</f>
        <v/>
      </c>
      <c r="T103" s="31" t="s">
        <v>155</v>
      </c>
      <c r="U103" s="32" t="str">
        <f>IF(ISERROR(VLOOKUP(CONCATENATE($U$62,"_",V103),選手名簿!$A:$E,5,FALSE))=TRUE,"",VLOOKUP(CONCATENATE($U$62,"_",V103),選手名簿!$A:$E,5,FALSE))</f>
        <v/>
      </c>
      <c r="V103" s="33"/>
      <c r="W103" s="33"/>
      <c r="X103" s="33"/>
      <c r="Y103" s="42"/>
      <c r="Z103" s="33"/>
      <c r="AA103" s="33"/>
      <c r="AB103" s="33"/>
      <c r="AC103" s="34" t="str">
        <f>IF(ISERROR(VLOOKUP(CONCATENATE($AC$62,"_",AB103),選手名簿!$A:$E,5,FALSE))=TRUE,"",VLOOKUP(CONCATENATE($AC$62,"_",AB103),選手名簿!$A:$E,5,FALSE))</f>
        <v/>
      </c>
    </row>
    <row r="104" spans="1:29" ht="26.25" hidden="1" customHeight="1" x14ac:dyDescent="0.45">
      <c r="E104" s="31" t="s">
        <v>155</v>
      </c>
      <c r="F104" s="32" t="str">
        <f>IF(ISERROR(VLOOKUP(CONCATENATE($F$62,"_",G104),選手名簿!$A:$E,5,FALSE))=TRUE,"",VLOOKUP(CONCATENATE($F$62,"_",G104),選手名簿!$A:$E,5,FALSE))</f>
        <v/>
      </c>
      <c r="G104" s="33"/>
      <c r="H104" s="33"/>
      <c r="I104" s="33"/>
      <c r="J104" s="42"/>
      <c r="K104" s="33"/>
      <c r="L104" s="33"/>
      <c r="M104" s="33"/>
      <c r="N104" s="34" t="str">
        <f>IF(ISERROR(VLOOKUP(CONCATENATE($N$62,"_",M104),選手名簿!$A:$E,5,FALSE))=TRUE,"",VLOOKUP(CONCATENATE($N$62,"_",M104),選手名簿!$A:$E,5,FALSE))</f>
        <v/>
      </c>
      <c r="T104" s="31" t="s">
        <v>155</v>
      </c>
      <c r="U104" s="32" t="str">
        <f>IF(ISERROR(VLOOKUP(CONCATENATE($U$62,"_",V104),選手名簿!$A:$E,5,FALSE))=TRUE,"",VLOOKUP(CONCATENATE($U$62,"_",V104),選手名簿!$A:$E,5,FALSE))</f>
        <v/>
      </c>
      <c r="V104" s="33"/>
      <c r="W104" s="33"/>
      <c r="X104" s="33"/>
      <c r="Y104" s="42"/>
      <c r="Z104" s="33"/>
      <c r="AA104" s="33"/>
      <c r="AB104" s="33"/>
      <c r="AC104" s="34" t="str">
        <f>IF(ISERROR(VLOOKUP(CONCATENATE($AC$62,"_",AB104),選手名簿!$A:$E,5,FALSE))=TRUE,"",VLOOKUP(CONCATENATE($AC$62,"_",AB104),選手名簿!$A:$E,5,FALSE))</f>
        <v/>
      </c>
    </row>
    <row r="105" spans="1:29" ht="26.25" hidden="1" customHeight="1" x14ac:dyDescent="0.45">
      <c r="E105" s="31" t="s">
        <v>155</v>
      </c>
      <c r="F105" s="32" t="str">
        <f>IF(ISERROR(VLOOKUP(CONCATENATE($F$62,"_",G105),選手名簿!$A:$E,5,FALSE))=TRUE,"",VLOOKUP(CONCATENATE($F$62,"_",G105),選手名簿!$A:$E,5,FALSE))</f>
        <v/>
      </c>
      <c r="G105" s="33"/>
      <c r="H105" s="33"/>
      <c r="I105" s="33"/>
      <c r="J105" s="42"/>
      <c r="K105" s="33"/>
      <c r="L105" s="33"/>
      <c r="M105" s="33"/>
      <c r="N105" s="34" t="str">
        <f>IF(ISERROR(VLOOKUP(CONCATENATE($N$62,"_",M105),選手名簿!$A:$E,5,FALSE))=TRUE,"",VLOOKUP(CONCATENATE($N$62,"_",M105),選手名簿!$A:$E,5,FALSE))</f>
        <v/>
      </c>
      <c r="T105" s="31" t="s">
        <v>155</v>
      </c>
      <c r="U105" s="32" t="str">
        <f>IF(ISERROR(VLOOKUP(CONCATENATE($U$62,"_",V105),選手名簿!$A:$E,5,FALSE))=TRUE,"",VLOOKUP(CONCATENATE($U$62,"_",V105),選手名簿!$A:$E,5,FALSE))</f>
        <v/>
      </c>
      <c r="V105" s="33"/>
      <c r="W105" s="33"/>
      <c r="X105" s="33"/>
      <c r="Y105" s="42"/>
      <c r="Z105" s="33"/>
      <c r="AA105" s="33"/>
      <c r="AB105" s="33"/>
      <c r="AC105" s="34" t="str">
        <f>IF(ISERROR(VLOOKUP(CONCATENATE($AC$62,"_",AB105),選手名簿!$A:$E,5,FALSE))=TRUE,"",VLOOKUP(CONCATENATE($AC$62,"_",AB105),選手名簿!$A:$E,5,FALSE))</f>
        <v/>
      </c>
    </row>
    <row r="106" spans="1:29" ht="26.25" hidden="1" customHeight="1" x14ac:dyDescent="0.45">
      <c r="E106" s="31" t="s">
        <v>155</v>
      </c>
      <c r="F106" s="32" t="str">
        <f>IF(ISERROR(VLOOKUP(CONCATENATE($F$62,"_",G106),選手名簿!$A:$E,5,FALSE))=TRUE,"",VLOOKUP(CONCATENATE($F$62,"_",G106),選手名簿!$A:$E,5,FALSE))</f>
        <v/>
      </c>
      <c r="G106" s="33"/>
      <c r="H106" s="33"/>
      <c r="I106" s="33"/>
      <c r="J106" s="42"/>
      <c r="K106" s="33"/>
      <c r="L106" s="33"/>
      <c r="M106" s="33"/>
      <c r="N106" s="34" t="str">
        <f>IF(ISERROR(VLOOKUP(CONCATENATE($N$62,"_",M106),選手名簿!$A:$E,5,FALSE))=TRUE,"",VLOOKUP(CONCATENATE($N$62,"_",M106),選手名簿!$A:$E,5,FALSE))</f>
        <v/>
      </c>
      <c r="T106" s="31" t="s">
        <v>155</v>
      </c>
      <c r="U106" s="32" t="str">
        <f>IF(ISERROR(VLOOKUP(CONCATENATE($U$62,"_",V106),選手名簿!$A:$E,5,FALSE))=TRUE,"",VLOOKUP(CONCATENATE($U$62,"_",V106),選手名簿!$A:$E,5,FALSE))</f>
        <v/>
      </c>
      <c r="V106" s="33"/>
      <c r="W106" s="33"/>
      <c r="X106" s="33"/>
      <c r="Y106" s="42"/>
      <c r="Z106" s="33"/>
      <c r="AA106" s="33"/>
      <c r="AB106" s="33"/>
      <c r="AC106" s="34" t="str">
        <f>IF(ISERROR(VLOOKUP(CONCATENATE($AC$62,"_",AB106),選手名簿!$A:$E,5,FALSE))=TRUE,"",VLOOKUP(CONCATENATE($AC$62,"_",AB106),選手名簿!$A:$E,5,FALSE))</f>
        <v/>
      </c>
    </row>
    <row r="107" spans="1:29" ht="26.25" hidden="1" customHeight="1" x14ac:dyDescent="0.45">
      <c r="E107" s="44" t="s">
        <v>155</v>
      </c>
      <c r="F107" s="45" t="str">
        <f>IF(ISERROR(VLOOKUP(CONCATENATE($F$62,"_",G107),選手名簿!$A:$E,5,FALSE))=TRUE,"",VLOOKUP(CONCATENATE($F$62,"_",G107),選手名簿!$A:$E,5,FALSE))</f>
        <v/>
      </c>
      <c r="G107" s="46"/>
      <c r="H107" s="46"/>
      <c r="I107" s="46"/>
      <c r="J107" s="47"/>
      <c r="K107" s="46"/>
      <c r="L107" s="46"/>
      <c r="M107" s="46"/>
      <c r="N107" s="48" t="str">
        <f>IF(ISERROR(VLOOKUP(CONCATENATE($N$62,"_",M107),選手名簿!$A:$E,5,FALSE))=TRUE,"",VLOOKUP(CONCATENATE($N$62,"_",M107),選手名簿!$A:$E,5,FALSE))</f>
        <v/>
      </c>
      <c r="T107" s="44" t="s">
        <v>155</v>
      </c>
      <c r="U107" s="45" t="str">
        <f>IF(ISERROR(VLOOKUP(CONCATENATE($U$62,"_",V107),選手名簿!$A:$E,5,FALSE))=TRUE,"",VLOOKUP(CONCATENATE($U$62,"_",V107),選手名簿!$A:$E,5,FALSE))</f>
        <v/>
      </c>
      <c r="V107" s="46"/>
      <c r="W107" s="46"/>
      <c r="X107" s="46"/>
      <c r="Y107" s="47"/>
      <c r="Z107" s="46"/>
      <c r="AA107" s="46"/>
      <c r="AB107" s="46"/>
      <c r="AC107" s="48" t="str">
        <f>IF(ISERROR(VLOOKUP(CONCATENATE($AC$62,"_",AB107),選手名簿!$A:$E,5,FALSE))=TRUE,"",VLOOKUP(CONCATENATE($AC$62,"_",AB107),選手名簿!$A:$E,5,FALSE))</f>
        <v/>
      </c>
    </row>
    <row r="108" spans="1:29" ht="26.25" customHeight="1" thickTop="1" x14ac:dyDescent="0.45">
      <c r="A108" s="787" t="s">
        <v>1565</v>
      </c>
      <c r="B108" s="787"/>
      <c r="C108" s="787"/>
      <c r="D108" s="788"/>
      <c r="E108" s="15"/>
      <c r="F108" s="16" t="s">
        <v>190</v>
      </c>
      <c r="G108" s="16" t="s">
        <v>1552</v>
      </c>
      <c r="H108" s="16" t="s">
        <v>145</v>
      </c>
      <c r="I108" s="16"/>
      <c r="J108" s="40"/>
      <c r="K108" s="16"/>
      <c r="L108" s="16" t="s">
        <v>145</v>
      </c>
      <c r="M108" s="16" t="s">
        <v>1552</v>
      </c>
      <c r="N108" s="18" t="s">
        <v>190</v>
      </c>
      <c r="P108" s="787" t="s">
        <v>1565</v>
      </c>
      <c r="Q108" s="787"/>
      <c r="R108" s="787"/>
      <c r="S108" s="788"/>
      <c r="T108" s="15"/>
      <c r="U108" s="16" t="s">
        <v>190</v>
      </c>
      <c r="V108" s="16" t="s">
        <v>1552</v>
      </c>
      <c r="W108" s="16" t="s">
        <v>145</v>
      </c>
      <c r="X108" s="16"/>
      <c r="Y108" s="40"/>
      <c r="Z108" s="16"/>
      <c r="AA108" s="16" t="s">
        <v>145</v>
      </c>
      <c r="AB108" s="16" t="s">
        <v>1552</v>
      </c>
      <c r="AC108" s="18" t="s">
        <v>190</v>
      </c>
    </row>
    <row r="109" spans="1:29" ht="26.25" customHeight="1" x14ac:dyDescent="0.45">
      <c r="A109" s="29" t="s">
        <v>226</v>
      </c>
      <c r="B109" s="774" t="s">
        <v>2177</v>
      </c>
      <c r="C109" s="774"/>
      <c r="D109" s="774"/>
      <c r="E109" s="31" t="s">
        <v>196</v>
      </c>
      <c r="F109" s="32" t="str">
        <f>IF(ISERROR(VLOOKUP(CONCATENATE($F$92,"_",G109),選手名簿!$A:$E,5,FALSE))=TRUE,"",VLOOKUP(CONCATENATE($F$92,"_",G109),選手名簿!$A:$E,5,FALSE))</f>
        <v/>
      </c>
      <c r="G109" s="33"/>
      <c r="H109" s="33"/>
      <c r="I109" s="33"/>
      <c r="J109" s="42"/>
      <c r="K109" s="33"/>
      <c r="L109" s="33"/>
      <c r="M109" s="33"/>
      <c r="N109" s="34" t="str">
        <f>IF(ISERROR(VLOOKUP(CONCATENATE($N$92,"_",M109),選手名簿!$A:$E,5,FALSE))=TRUE,"",VLOOKUP(CONCATENATE($N$92,"_",M109),選手名簿!$A:$E,5,FALSE))</f>
        <v/>
      </c>
      <c r="P109" s="29" t="s">
        <v>226</v>
      </c>
      <c r="Q109" s="774" t="s">
        <v>1272</v>
      </c>
      <c r="R109" s="774"/>
      <c r="S109" s="774"/>
      <c r="T109" s="31" t="s">
        <v>196</v>
      </c>
      <c r="U109" s="32" t="str">
        <f>IF(ISERROR(VLOOKUP(CONCATENATE($U$92,"_",V109),選手名簿!$A:$E,5,FALSE))=TRUE,"",VLOOKUP(CONCATENATE($U$92,"_",V109),選手名簿!$A:$E,5,FALSE))</f>
        <v/>
      </c>
      <c r="V109" s="33"/>
      <c r="W109" s="33"/>
      <c r="X109" s="33"/>
      <c r="Y109" s="42"/>
      <c r="Z109" s="33"/>
      <c r="AA109" s="33"/>
      <c r="AB109" s="33"/>
      <c r="AC109" s="34" t="str">
        <f>IF(ISERROR(VLOOKUP(CONCATENATE($AC$92,"_",AB109),選手名簿!$A:$E,5,FALSE))=TRUE,"",VLOOKUP(CONCATENATE($AC$92,"_",AB109),選手名簿!$A:$E,5,FALSE))</f>
        <v/>
      </c>
    </row>
    <row r="110" spans="1:29" ht="26.25" customHeight="1" x14ac:dyDescent="0.45">
      <c r="A110" s="29" t="s">
        <v>227</v>
      </c>
      <c r="B110" s="769" t="str">
        <f>IF(ISERROR(VLOOKUP(B109,審判員!$A:$C,2,FALSE))=TRUE,"",VLOOKUP(B109,審判員!$A:$C,2,FALSE))</f>
        <v>安部　正信</v>
      </c>
      <c r="C110" s="770"/>
      <c r="D110" s="83" t="str">
        <f>IF(ISERROR(VLOOKUP(B109,審判員!$A:$C,3,FALSE))=TRUE,"",VLOOKUP(B109,審判員!$A:$C,3,FALSE))</f>
        <v>３級</v>
      </c>
      <c r="E110" s="31" t="s">
        <v>196</v>
      </c>
      <c r="F110" s="32" t="str">
        <f>IF(ISERROR(VLOOKUP(CONCATENATE($F$92,"_",G110),選手名簿!$A:$E,5,FALSE))=TRUE,"",VLOOKUP(CONCATENATE($F$92,"_",G110),選手名簿!$A:$E,5,FALSE))</f>
        <v/>
      </c>
      <c r="G110" s="33"/>
      <c r="H110" s="33"/>
      <c r="I110" s="33"/>
      <c r="J110" s="42"/>
      <c r="K110" s="33"/>
      <c r="L110" s="33"/>
      <c r="M110" s="33"/>
      <c r="N110" s="34" t="str">
        <f>IF(ISERROR(VLOOKUP(CONCATENATE($N$92,"_",M110),選手名簿!$A:$E,5,FALSE))=TRUE,"",VLOOKUP(CONCATENATE($N$92,"_",M110),選手名簿!$A:$E,5,FALSE))</f>
        <v/>
      </c>
      <c r="P110" s="29" t="s">
        <v>227</v>
      </c>
      <c r="Q110" s="769" t="str">
        <f>IF(ISERROR(VLOOKUP(Q109,審判員!$A:$C,2,FALSE))=TRUE,"",VLOOKUP(Q109,審判員!$A:$C,2,FALSE))</f>
        <v>菊地　謙一</v>
      </c>
      <c r="R110" s="770"/>
      <c r="S110" s="83" t="str">
        <f>IF(ISERROR(VLOOKUP(Q109,審判員!$A:$C,3,FALSE))=TRUE,"",VLOOKUP(Q109,審判員!$A:$C,3,FALSE))</f>
        <v>３級</v>
      </c>
      <c r="T110" s="31" t="s">
        <v>196</v>
      </c>
      <c r="U110" s="32" t="str">
        <f>IF(ISERROR(VLOOKUP(CONCATENATE($U$92,"_",V110),選手名簿!$A:$E,5,FALSE))=TRUE,"",VLOOKUP(CONCATENATE($U$92,"_",V110),選手名簿!$A:$E,5,FALSE))</f>
        <v/>
      </c>
      <c r="V110" s="33"/>
      <c r="W110" s="33"/>
      <c r="X110" s="33"/>
      <c r="Y110" s="42"/>
      <c r="Z110" s="33"/>
      <c r="AA110" s="33"/>
      <c r="AB110" s="33"/>
      <c r="AC110" s="34" t="str">
        <f>IF(ISERROR(VLOOKUP(CONCATENATE($AC$92,"_",AB110),選手名簿!$A:$E,5,FALSE))=TRUE,"",VLOOKUP(CONCATENATE($AC$92,"_",AB110),選手名簿!$A:$E,5,FALSE))</f>
        <v/>
      </c>
    </row>
    <row r="111" spans="1:29" ht="26.25" customHeight="1" x14ac:dyDescent="0.45">
      <c r="A111" s="383" t="s">
        <v>226</v>
      </c>
      <c r="B111" s="880"/>
      <c r="C111" s="880"/>
      <c r="D111" s="881"/>
      <c r="E111" s="31" t="s">
        <v>196</v>
      </c>
      <c r="F111" s="32" t="str">
        <f>IF(ISERROR(VLOOKUP(CONCATENATE($F$92,"_",G111),選手名簿!$A:$E,5,FALSE))=TRUE,"",VLOOKUP(CONCATENATE($F$92,"_",G111),選手名簿!$A:$E,5,FALSE))</f>
        <v/>
      </c>
      <c r="G111" s="33"/>
      <c r="H111" s="33"/>
      <c r="I111" s="33"/>
      <c r="J111" s="42"/>
      <c r="K111" s="33"/>
      <c r="L111" s="33"/>
      <c r="M111" s="33"/>
      <c r="N111" s="34" t="str">
        <f>IF(ISERROR(VLOOKUP(CONCATENATE($N$92,"_",M111),選手名簿!$A:$E,5,FALSE))=TRUE,"",VLOOKUP(CONCATENATE($N$92,"_",M111),選手名簿!$A:$E,5,FALSE))</f>
        <v/>
      </c>
      <c r="P111" s="29" t="s">
        <v>226</v>
      </c>
      <c r="Q111" s="774" t="s">
        <v>1234</v>
      </c>
      <c r="R111" s="774"/>
      <c r="S111" s="774"/>
      <c r="T111" s="31" t="s">
        <v>196</v>
      </c>
      <c r="U111" s="32" t="str">
        <f>IF(ISERROR(VLOOKUP(CONCATENATE($U$92,"_",V111),選手名簿!$A:$E,5,FALSE))=TRUE,"",VLOOKUP(CONCATENATE($U$92,"_",V111),選手名簿!$A:$E,5,FALSE))</f>
        <v/>
      </c>
      <c r="V111" s="33"/>
      <c r="W111" s="33"/>
      <c r="X111" s="33"/>
      <c r="Y111" s="42"/>
      <c r="Z111" s="33"/>
      <c r="AA111" s="33"/>
      <c r="AB111" s="33"/>
      <c r="AC111" s="34" t="str">
        <f>IF(ISERROR(VLOOKUP(CONCATENATE($AC$92,"_",AB111),選手名簿!$A:$E,5,FALSE))=TRUE,"",VLOOKUP(CONCATENATE($AC$92,"_",AB111),選手名簿!$A:$E,5,FALSE))</f>
        <v/>
      </c>
    </row>
    <row r="112" spans="1:29" ht="26.25" customHeight="1" x14ac:dyDescent="0.45">
      <c r="A112" s="383" t="s">
        <v>219</v>
      </c>
      <c r="B112" s="882" t="str">
        <f>IF(ISERROR(VLOOKUP(B111,審判員!$A:$C,2,FALSE))=TRUE,"",VLOOKUP(B111,審判員!$A:$C,2,FALSE))</f>
        <v/>
      </c>
      <c r="C112" s="883"/>
      <c r="D112" s="383" t="str">
        <f>IF(ISERROR(VLOOKUP(B111,審判員!$A:$C,3,FALSE))=TRUE,"",VLOOKUP(B111,審判員!$A:$C,3,FALSE))</f>
        <v/>
      </c>
      <c r="E112" s="31" t="s">
        <v>196</v>
      </c>
      <c r="F112" s="32" t="str">
        <f>IF(ISERROR(VLOOKUP(CONCATENATE($F$92,"_",G112),選手名簿!$A:$E,5,FALSE))=TRUE,"",VLOOKUP(CONCATENATE($F$92,"_",G112),選手名簿!$A:$E,5,FALSE))</f>
        <v/>
      </c>
      <c r="G112" s="33"/>
      <c r="H112" s="33"/>
      <c r="I112" s="33"/>
      <c r="J112" s="42"/>
      <c r="K112" s="33"/>
      <c r="L112" s="33"/>
      <c r="M112" s="33"/>
      <c r="N112" s="34" t="str">
        <f>IF(ISERROR(VLOOKUP(CONCATENATE($N$92,"_",M112),選手名簿!$A:$E,5,FALSE))=TRUE,"",VLOOKUP(CONCATENATE($N$92,"_",M112),選手名簿!$A:$E,5,FALSE))</f>
        <v/>
      </c>
      <c r="P112" s="29" t="s">
        <v>219</v>
      </c>
      <c r="Q112" s="769" t="str">
        <f>IF(ISERROR(VLOOKUP(Q111,審判員!$A:$C,2,FALSE))=TRUE,"",VLOOKUP(Q111,審判員!$A:$C,2,FALSE))</f>
        <v>小石川　悟</v>
      </c>
      <c r="R112" s="770"/>
      <c r="S112" s="83" t="str">
        <f>IF(ISERROR(VLOOKUP(Q111,審判員!$A:$C,3,FALSE))=TRUE,"",VLOOKUP(Q111,審判員!$A:$C,3,FALSE))</f>
        <v>３級</v>
      </c>
      <c r="T112" s="31" t="s">
        <v>196</v>
      </c>
      <c r="U112" s="32" t="str">
        <f>IF(ISERROR(VLOOKUP(CONCATENATE($U$92,"_",V112),選手名簿!$A:$E,5,FALSE))=TRUE,"",VLOOKUP(CONCATENATE($U$92,"_",V112),選手名簿!$A:$E,5,FALSE))</f>
        <v/>
      </c>
      <c r="V112" s="33"/>
      <c r="W112" s="33"/>
      <c r="X112" s="33"/>
      <c r="Y112" s="42"/>
      <c r="Z112" s="33"/>
      <c r="AA112" s="33"/>
      <c r="AB112" s="33"/>
      <c r="AC112" s="34" t="str">
        <f>IF(ISERROR(VLOOKUP(CONCATENATE($AC$92,"_",AB112),選手名簿!$A:$E,5,FALSE))=TRUE,"",VLOOKUP(CONCATENATE($AC$92,"_",AB112),選手名簿!$A:$E,5,FALSE))</f>
        <v/>
      </c>
    </row>
    <row r="113" spans="1:29" ht="26.25" customHeight="1" x14ac:dyDescent="0.45">
      <c r="A113" s="383" t="s">
        <v>226</v>
      </c>
      <c r="B113" s="880"/>
      <c r="C113" s="880"/>
      <c r="D113" s="881"/>
      <c r="E113" s="31" t="s">
        <v>196</v>
      </c>
      <c r="F113" s="32" t="str">
        <f>IF(ISERROR(VLOOKUP(CONCATENATE($F$92,"_",G113),選手名簿!$A:$E,5,FALSE))=TRUE,"",VLOOKUP(CONCATENATE($F$92,"_",G113),選手名簿!$A:$E,5,FALSE))</f>
        <v/>
      </c>
      <c r="G113" s="33"/>
      <c r="H113" s="33"/>
      <c r="I113" s="33"/>
      <c r="J113" s="42"/>
      <c r="K113" s="33"/>
      <c r="L113" s="33"/>
      <c r="M113" s="33"/>
      <c r="N113" s="34" t="str">
        <f>IF(ISERROR(VLOOKUP(CONCATENATE($N$92,"_",M113),選手名簿!$A:$E,5,FALSE))=TRUE,"",VLOOKUP(CONCATENATE($N$92,"_",M113),選手名簿!$A:$E,5,FALSE))</f>
        <v/>
      </c>
      <c r="P113" s="29" t="s">
        <v>226</v>
      </c>
      <c r="Q113" s="774" t="s">
        <v>976</v>
      </c>
      <c r="R113" s="774"/>
      <c r="S113" s="774"/>
      <c r="T113" s="31" t="s">
        <v>196</v>
      </c>
      <c r="U113" s="32" t="str">
        <f>IF(ISERROR(VLOOKUP(CONCATENATE($U$92,"_",V113),選手名簿!$A:$E,5,FALSE))=TRUE,"",VLOOKUP(CONCATENATE($U$92,"_",V113),選手名簿!$A:$E,5,FALSE))</f>
        <v/>
      </c>
      <c r="V113" s="33"/>
      <c r="W113" s="33"/>
      <c r="X113" s="33"/>
      <c r="Y113" s="42"/>
      <c r="Z113" s="33"/>
      <c r="AA113" s="33"/>
      <c r="AB113" s="33"/>
      <c r="AC113" s="34" t="str">
        <f>IF(ISERROR(VLOOKUP(CONCATENATE($AC$92,"_",AB113),選手名簿!$A:$E,5,FALSE))=TRUE,"",VLOOKUP(CONCATENATE($AC$92,"_",AB113),選手名簿!$A:$E,5,FALSE))</f>
        <v/>
      </c>
    </row>
    <row r="114" spans="1:29" ht="26.25" customHeight="1" x14ac:dyDescent="0.45">
      <c r="A114" s="383" t="s">
        <v>218</v>
      </c>
      <c r="B114" s="882" t="str">
        <f>IF(ISERROR(VLOOKUP(B113,審判員!$A:$C,2,FALSE))=TRUE,"",VLOOKUP(B113,審判員!$A:$C,2,FALSE))</f>
        <v/>
      </c>
      <c r="C114" s="883"/>
      <c r="D114" s="383" t="str">
        <f>IF(ISERROR(VLOOKUP(B113,審判員!$A:$C,3,FALSE))=TRUE,"",VLOOKUP(B113,審判員!$A:$C,3,FALSE))</f>
        <v/>
      </c>
      <c r="E114" s="31" t="s">
        <v>196</v>
      </c>
      <c r="F114" s="32" t="str">
        <f>IF(ISERROR(VLOOKUP(CONCATENATE($F$92,"_",G114),選手名簿!$A:$E,5,FALSE))=TRUE,"",VLOOKUP(CONCATENATE($F$92,"_",G114),選手名簿!$A:$E,5,FALSE))</f>
        <v/>
      </c>
      <c r="G114" s="33"/>
      <c r="H114" s="33"/>
      <c r="I114" s="33"/>
      <c r="J114" s="42"/>
      <c r="K114" s="33"/>
      <c r="L114" s="33"/>
      <c r="M114" s="33"/>
      <c r="N114" s="34" t="str">
        <f>IF(ISERROR(VLOOKUP(CONCATENATE($N$92,"_",M114),選手名簿!$A:$E,5,FALSE))=TRUE,"",VLOOKUP(CONCATENATE($N$92,"_",M114),選手名簿!$A:$E,5,FALSE))</f>
        <v/>
      </c>
      <c r="P114" s="29" t="s">
        <v>218</v>
      </c>
      <c r="Q114" s="769" t="str">
        <f>IF(ISERROR(VLOOKUP(Q113,審判員!$A:$C,2,FALSE))=TRUE,"",VLOOKUP(Q113,審判員!$A:$C,2,FALSE))</f>
        <v>真鍋　裕一</v>
      </c>
      <c r="R114" s="770"/>
      <c r="S114" s="83" t="str">
        <f>IF(ISERROR(VLOOKUP(Q113,審判員!$A:$C,3,FALSE))=TRUE,"",VLOOKUP(Q113,審判員!$A:$C,3,FALSE))</f>
        <v>３級</v>
      </c>
      <c r="T114" s="31" t="s">
        <v>196</v>
      </c>
      <c r="U114" s="32" t="str">
        <f>IF(ISERROR(VLOOKUP(CONCATENATE($U$92,"_",V114),選手名簿!$A:$E,5,FALSE))=TRUE,"",VLOOKUP(CONCATENATE($U$92,"_",V114),選手名簿!$A:$E,5,FALSE))</f>
        <v/>
      </c>
      <c r="V114" s="33"/>
      <c r="W114" s="33"/>
      <c r="X114" s="33"/>
      <c r="Y114" s="42"/>
      <c r="Z114" s="33"/>
      <c r="AA114" s="33"/>
      <c r="AB114" s="33"/>
      <c r="AC114" s="34" t="str">
        <f>IF(ISERROR(VLOOKUP(CONCATENATE($AC$92,"_",AB114),選手名簿!$A:$E,5,FALSE))=TRUE,"",VLOOKUP(CONCATENATE($AC$92,"_",AB114),選手名簿!$A:$E,5,FALSE))</f>
        <v/>
      </c>
    </row>
    <row r="115" spans="1:29" ht="26.25" customHeight="1" x14ac:dyDescent="0.45">
      <c r="A115" s="29" t="s">
        <v>226</v>
      </c>
      <c r="B115" s="774" t="s">
        <v>327</v>
      </c>
      <c r="C115" s="774"/>
      <c r="D115" s="774"/>
      <c r="E115" s="31" t="s">
        <v>196</v>
      </c>
      <c r="F115" s="32" t="str">
        <f>IF(ISERROR(VLOOKUP(CONCATENATE($F$92,"_",G115),選手名簿!$A:$E,5,FALSE))=TRUE,"",VLOOKUP(CONCATENATE($F$92,"_",G115),選手名簿!$A:$E,5,FALSE))</f>
        <v/>
      </c>
      <c r="G115" s="33"/>
      <c r="H115" s="33"/>
      <c r="I115" s="33"/>
      <c r="J115" s="42"/>
      <c r="K115" s="33"/>
      <c r="L115" s="33"/>
      <c r="M115" s="33"/>
      <c r="N115" s="34" t="str">
        <f>IF(ISERROR(VLOOKUP(CONCATENATE($N$92,"_",M115),選手名簿!$A:$E,5,FALSE))=TRUE,"",VLOOKUP(CONCATENATE($N$92,"_",M115),選手名簿!$A:$E,5,FALSE))</f>
        <v/>
      </c>
      <c r="P115" s="29" t="s">
        <v>226</v>
      </c>
      <c r="Q115" s="774" t="s">
        <v>1497</v>
      </c>
      <c r="R115" s="774"/>
      <c r="S115" s="774"/>
      <c r="T115" s="31" t="s">
        <v>196</v>
      </c>
      <c r="U115" s="32" t="str">
        <f>IF(ISERROR(VLOOKUP(CONCATENATE($U$92,"_",V115),選手名簿!$A:$E,5,FALSE))=TRUE,"",VLOOKUP(CONCATENATE($U$92,"_",V115),選手名簿!$A:$E,5,FALSE))</f>
        <v/>
      </c>
      <c r="V115" s="33"/>
      <c r="W115" s="33"/>
      <c r="X115" s="33"/>
      <c r="Y115" s="42"/>
      <c r="Z115" s="33"/>
      <c r="AA115" s="33"/>
      <c r="AB115" s="33"/>
      <c r="AC115" s="34" t="str">
        <f>IF(ISERROR(VLOOKUP(CONCATENATE($AC$92,"_",AB115),選手名簿!$A:$E,5,FALSE))=TRUE,"",VLOOKUP(CONCATENATE($AC$92,"_",AB115),選手名簿!$A:$E,5,FALSE))</f>
        <v/>
      </c>
    </row>
    <row r="116" spans="1:29" ht="26.25" customHeight="1" thickBot="1" x14ac:dyDescent="0.6">
      <c r="A116" s="29" t="s">
        <v>217</v>
      </c>
      <c r="B116" s="769" t="str">
        <f>IF(ISERROR(VLOOKUP(B115,審判員!$A:$C,2,FALSE))=TRUE,"",VLOOKUP(B115,審判員!$A:$C,2,FALSE))</f>
        <v>柳元　哲哉</v>
      </c>
      <c r="C116" s="770"/>
      <c r="D116" s="83" t="str">
        <f>IF(ISERROR(VLOOKUP(B115,審判員!$A:$C,3,FALSE))=TRUE,"",VLOOKUP(B115,審判員!$A:$C,3,FALSE))</f>
        <v>３級</v>
      </c>
      <c r="E116" s="35" t="s">
        <v>196</v>
      </c>
      <c r="F116" s="36" t="str">
        <f>IF(ISERROR(VLOOKUP(CONCATENATE($F$92,"_",G116),選手名簿!$A:$E,5,FALSE))=TRUE,"",VLOOKUP(CONCATENATE($F$92,"_",G116),選手名簿!$A:$E,5,FALSE))</f>
        <v/>
      </c>
      <c r="G116" s="37"/>
      <c r="H116" s="37"/>
      <c r="I116" s="37"/>
      <c r="J116" s="49"/>
      <c r="K116" s="37"/>
      <c r="L116" s="37"/>
      <c r="M116" s="37"/>
      <c r="N116" s="38" t="str">
        <f>IF(ISERROR(VLOOKUP(CONCATENATE($N$92,"_",M116),選手名簿!$A:$E,5,FALSE))=TRUE,"",VLOOKUP(CONCATENATE($N$92,"_",M116),選手名簿!$A:$E,5,FALSE))</f>
        <v/>
      </c>
      <c r="P116" s="29" t="s">
        <v>217</v>
      </c>
      <c r="Q116" s="769" t="str">
        <f>IF(ISERROR(VLOOKUP(Q115,審判員!$A:$C,2,FALSE))=TRUE,"",VLOOKUP(Q115,審判員!$A:$C,2,FALSE))</f>
        <v>須藤　健二</v>
      </c>
      <c r="R116" s="770"/>
      <c r="S116" s="83" t="str">
        <f>IF(ISERROR(VLOOKUP(Q115,審判員!$A:$C,3,FALSE))=TRUE,"",VLOOKUP(Q115,審判員!$A:$C,3,FALSE))</f>
        <v>２級</v>
      </c>
      <c r="T116" s="35" t="s">
        <v>196</v>
      </c>
      <c r="U116" s="36" t="str">
        <f>IF(ISERROR(VLOOKUP(CONCATENATE($U$92,"_",V116),選手名簿!$A:$E,5,FALSE))=TRUE,"",VLOOKUP(CONCATENATE($U$92,"_",V116),選手名簿!$A:$E,5,FALSE))</f>
        <v/>
      </c>
      <c r="V116" s="37"/>
      <c r="W116" s="37"/>
      <c r="X116" s="37"/>
      <c r="Y116" s="49"/>
      <c r="Z116" s="37"/>
      <c r="AA116" s="37"/>
      <c r="AB116" s="37"/>
      <c r="AC116" s="38" t="str">
        <f>IF(ISERROR(VLOOKUP(CONCATENATE($AC$92,"_",AB116),選手名簿!$A:$E,5,FALSE))=TRUE,"",VLOOKUP(CONCATENATE($AC$92,"_",AB116),選手名簿!$A:$E,5,FALSE))</f>
        <v/>
      </c>
    </row>
  </sheetData>
  <mergeCells count="156">
    <mergeCell ref="Q81:S81"/>
    <mergeCell ref="B81:D81"/>
    <mergeCell ref="E62:E64"/>
    <mergeCell ref="F62:F64"/>
    <mergeCell ref="G62:G64"/>
    <mergeCell ref="B79:D79"/>
    <mergeCell ref="B80:C80"/>
    <mergeCell ref="T62:T64"/>
    <mergeCell ref="U62:U64"/>
    <mergeCell ref="Q80:R80"/>
    <mergeCell ref="V62:V64"/>
    <mergeCell ref="W62:W64"/>
    <mergeCell ref="Q62:S62"/>
    <mergeCell ref="Q63:S63"/>
    <mergeCell ref="Q64:S64"/>
    <mergeCell ref="B62:D62"/>
    <mergeCell ref="B63:D63"/>
    <mergeCell ref="B64:D64"/>
    <mergeCell ref="A78:D78"/>
    <mergeCell ref="H62:H64"/>
    <mergeCell ref="L62:L64"/>
    <mergeCell ref="M62:M64"/>
    <mergeCell ref="N62:N64"/>
    <mergeCell ref="Z1:AC1"/>
    <mergeCell ref="B82:C82"/>
    <mergeCell ref="AA62:AA64"/>
    <mergeCell ref="AB62:AB64"/>
    <mergeCell ref="AC62:AC64"/>
    <mergeCell ref="Q79:S79"/>
    <mergeCell ref="P78:S78"/>
    <mergeCell ref="Q82:R82"/>
    <mergeCell ref="U6:U8"/>
    <mergeCell ref="V6:V8"/>
    <mergeCell ref="AB6:AB8"/>
    <mergeCell ref="AC6:AC8"/>
    <mergeCell ref="W6:W8"/>
    <mergeCell ref="AA6:AA8"/>
    <mergeCell ref="L6:L8"/>
    <mergeCell ref="M6:M8"/>
    <mergeCell ref="N6:N8"/>
    <mergeCell ref="T6:T8"/>
    <mergeCell ref="B25:D25"/>
    <mergeCell ref="Q25:S25"/>
    <mergeCell ref="B26:C26"/>
    <mergeCell ref="Q53:S53"/>
    <mergeCell ref="E34:E36"/>
    <mergeCell ref="F34:F36"/>
    <mergeCell ref="A1:J1"/>
    <mergeCell ref="K1:N1"/>
    <mergeCell ref="P1:Y1"/>
    <mergeCell ref="E6:E8"/>
    <mergeCell ref="F6:F8"/>
    <mergeCell ref="G6:G8"/>
    <mergeCell ref="H6:H8"/>
    <mergeCell ref="Q26:R26"/>
    <mergeCell ref="Q27:S27"/>
    <mergeCell ref="B6:D6"/>
    <mergeCell ref="B7:D7"/>
    <mergeCell ref="B8:D8"/>
    <mergeCell ref="Q6:S6"/>
    <mergeCell ref="Q7:S7"/>
    <mergeCell ref="Q8:S8"/>
    <mergeCell ref="B56:C56"/>
    <mergeCell ref="Q56:R56"/>
    <mergeCell ref="B24:C24"/>
    <mergeCell ref="Q24:R24"/>
    <mergeCell ref="B54:C54"/>
    <mergeCell ref="Q54:R54"/>
    <mergeCell ref="B55:D55"/>
    <mergeCell ref="AC34:AC36"/>
    <mergeCell ref="Q49:S49"/>
    <mergeCell ref="B50:C50"/>
    <mergeCell ref="Q50:R50"/>
    <mergeCell ref="B51:D51"/>
    <mergeCell ref="Q51:S51"/>
    <mergeCell ref="T34:T36"/>
    <mergeCell ref="U34:U36"/>
    <mergeCell ref="V34:V36"/>
    <mergeCell ref="W34:W36"/>
    <mergeCell ref="AA34:AA36"/>
    <mergeCell ref="AB34:AB36"/>
    <mergeCell ref="B49:D49"/>
    <mergeCell ref="G34:G36"/>
    <mergeCell ref="B34:D34"/>
    <mergeCell ref="B35:D35"/>
    <mergeCell ref="B36:D36"/>
    <mergeCell ref="L34:L36"/>
    <mergeCell ref="M34:M36"/>
    <mergeCell ref="N34:N36"/>
    <mergeCell ref="A20:D20"/>
    <mergeCell ref="P20:S20"/>
    <mergeCell ref="A48:D48"/>
    <mergeCell ref="P48:S48"/>
    <mergeCell ref="Q55:S55"/>
    <mergeCell ref="B27:D27"/>
    <mergeCell ref="H34:H36"/>
    <mergeCell ref="B21:D21"/>
    <mergeCell ref="Q21:S21"/>
    <mergeCell ref="B22:C22"/>
    <mergeCell ref="Q22:R22"/>
    <mergeCell ref="B23:D23"/>
    <mergeCell ref="Q23:S23"/>
    <mergeCell ref="Q34:S34"/>
    <mergeCell ref="Q35:S35"/>
    <mergeCell ref="Q36:S36"/>
    <mergeCell ref="B52:C52"/>
    <mergeCell ref="Q52:R52"/>
    <mergeCell ref="B53:D53"/>
    <mergeCell ref="B28:C28"/>
    <mergeCell ref="Q28:R28"/>
    <mergeCell ref="AC92:AC94"/>
    <mergeCell ref="E92:E94"/>
    <mergeCell ref="F92:F94"/>
    <mergeCell ref="G92:G94"/>
    <mergeCell ref="H92:H94"/>
    <mergeCell ref="L92:L94"/>
    <mergeCell ref="T92:T94"/>
    <mergeCell ref="U92:U94"/>
    <mergeCell ref="V92:V94"/>
    <mergeCell ref="W92:W94"/>
    <mergeCell ref="AA92:AA94"/>
    <mergeCell ref="AB92:AB94"/>
    <mergeCell ref="M92:M94"/>
    <mergeCell ref="Q92:S92"/>
    <mergeCell ref="Q93:S93"/>
    <mergeCell ref="Q94:S94"/>
    <mergeCell ref="Q111:S111"/>
    <mergeCell ref="B111:D111"/>
    <mergeCell ref="Q112:R112"/>
    <mergeCell ref="B112:C112"/>
    <mergeCell ref="Q116:R116"/>
    <mergeCell ref="B116:C116"/>
    <mergeCell ref="Q113:S113"/>
    <mergeCell ref="B113:D113"/>
    <mergeCell ref="Q114:R114"/>
    <mergeCell ref="B114:C114"/>
    <mergeCell ref="Q115:S115"/>
    <mergeCell ref="B115:D115"/>
    <mergeCell ref="Q83:S83"/>
    <mergeCell ref="B83:D83"/>
    <mergeCell ref="Q86:R86"/>
    <mergeCell ref="B86:C86"/>
    <mergeCell ref="Q84:R84"/>
    <mergeCell ref="B84:C84"/>
    <mergeCell ref="Q85:S85"/>
    <mergeCell ref="B85:D85"/>
    <mergeCell ref="Q110:R110"/>
    <mergeCell ref="B110:C110"/>
    <mergeCell ref="N92:N94"/>
    <mergeCell ref="P108:S108"/>
    <mergeCell ref="A108:D108"/>
    <mergeCell ref="Q109:S109"/>
    <mergeCell ref="B109:D109"/>
    <mergeCell ref="B92:D92"/>
    <mergeCell ref="B93:D93"/>
    <mergeCell ref="B94:D94"/>
  </mergeCells>
  <phoneticPr fontId="5"/>
  <printOptions horizontalCentered="1" verticalCentered="1"/>
  <pageMargins left="0" right="0" top="0" bottom="0" header="0.51181102362204722" footer="0.51181102362204722"/>
  <pageSetup paperSize="9" orientation="landscape" r:id="rId1"/>
  <headerFooter alignWithMargins="0"/>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0885633-BF83-4F5B-B6B5-0DD2794486D9}">
          <x14:formula1>
            <xm:f>項目!$G$1:$G$33</xm:f>
          </x14:formula1>
          <xm:sqref>B6:D8 B92:D94 Q92:S94 B62:D64 Q62:S64 B34:D36 Q34:S36 Q6:S8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D73"/>
  <sheetViews>
    <sheetView showGridLines="0" zoomScale="70" zoomScaleNormal="70" zoomScaleSheetLayoutView="75" workbookViewId="0">
      <selection activeCell="AO3" sqref="AO3"/>
    </sheetView>
  </sheetViews>
  <sheetFormatPr defaultColWidth="3.86328125" defaultRowHeight="13.25" x14ac:dyDescent="0.45"/>
  <cols>
    <col min="1" max="41" width="3.86328125" style="97" customWidth="1"/>
    <col min="42" max="43" width="8.5" style="99" hidden="1" customWidth="1"/>
    <col min="44" max="44" width="15.6328125" style="99" hidden="1" customWidth="1"/>
    <col min="45" max="46" width="8.5" style="99" hidden="1" customWidth="1"/>
    <col min="47" max="49" width="3.5" style="97" hidden="1" customWidth="1"/>
    <col min="50" max="50" width="8.5" style="97" hidden="1" customWidth="1"/>
    <col min="51" max="51" width="15.6328125" style="99" hidden="1" customWidth="1"/>
    <col min="52" max="53" width="8.5" style="99" hidden="1" customWidth="1"/>
    <col min="54" max="54" width="8.5" style="97" hidden="1" customWidth="1"/>
    <col min="55" max="57" width="8.5" style="97" customWidth="1"/>
    <col min="58" max="256" width="3.86328125" style="97"/>
    <col min="257" max="297" width="3.86328125" style="97" customWidth="1"/>
    <col min="298" max="309" width="0" style="97" hidden="1" customWidth="1"/>
    <col min="310" max="313" width="8.5" style="97" customWidth="1"/>
    <col min="314" max="512" width="3.86328125" style="97"/>
    <col min="513" max="553" width="3.86328125" style="97" customWidth="1"/>
    <col min="554" max="565" width="0" style="97" hidden="1" customWidth="1"/>
    <col min="566" max="569" width="8.5" style="97" customWidth="1"/>
    <col min="570" max="768" width="3.86328125" style="97"/>
    <col min="769" max="809" width="3.86328125" style="97" customWidth="1"/>
    <col min="810" max="821" width="0" style="97" hidden="1" customWidth="1"/>
    <col min="822" max="825" width="8.5" style="97" customWidth="1"/>
    <col min="826" max="1024" width="3.86328125" style="97"/>
    <col min="1025" max="1065" width="3.86328125" style="97" customWidth="1"/>
    <col min="1066" max="1077" width="0" style="97" hidden="1" customWidth="1"/>
    <col min="1078" max="1081" width="8.5" style="97" customWidth="1"/>
    <col min="1082" max="1280" width="3.86328125" style="97"/>
    <col min="1281" max="1321" width="3.86328125" style="97" customWidth="1"/>
    <col min="1322" max="1333" width="0" style="97" hidden="1" customWidth="1"/>
    <col min="1334" max="1337" width="8.5" style="97" customWidth="1"/>
    <col min="1338" max="1536" width="3.86328125" style="97"/>
    <col min="1537" max="1577" width="3.86328125" style="97" customWidth="1"/>
    <col min="1578" max="1589" width="0" style="97" hidden="1" customWidth="1"/>
    <col min="1590" max="1593" width="8.5" style="97" customWidth="1"/>
    <col min="1594" max="1792" width="3.86328125" style="97"/>
    <col min="1793" max="1833" width="3.86328125" style="97" customWidth="1"/>
    <col min="1834" max="1845" width="0" style="97" hidden="1" customWidth="1"/>
    <col min="1846" max="1849" width="8.5" style="97" customWidth="1"/>
    <col min="1850" max="2048" width="3.86328125" style="97"/>
    <col min="2049" max="2089" width="3.86328125" style="97" customWidth="1"/>
    <col min="2090" max="2101" width="0" style="97" hidden="1" customWidth="1"/>
    <col min="2102" max="2105" width="8.5" style="97" customWidth="1"/>
    <col min="2106" max="2304" width="3.86328125" style="97"/>
    <col min="2305" max="2345" width="3.86328125" style="97" customWidth="1"/>
    <col min="2346" max="2357" width="0" style="97" hidden="1" customWidth="1"/>
    <col min="2358" max="2361" width="8.5" style="97" customWidth="1"/>
    <col min="2362" max="2560" width="3.86328125" style="97"/>
    <col min="2561" max="2601" width="3.86328125" style="97" customWidth="1"/>
    <col min="2602" max="2613" width="0" style="97" hidden="1" customWidth="1"/>
    <col min="2614" max="2617" width="8.5" style="97" customWidth="1"/>
    <col min="2618" max="2816" width="3.86328125" style="97"/>
    <col min="2817" max="2857" width="3.86328125" style="97" customWidth="1"/>
    <col min="2858" max="2869" width="0" style="97" hidden="1" customWidth="1"/>
    <col min="2870" max="2873" width="8.5" style="97" customWidth="1"/>
    <col min="2874" max="3072" width="3.86328125" style="97"/>
    <col min="3073" max="3113" width="3.86328125" style="97" customWidth="1"/>
    <col min="3114" max="3125" width="0" style="97" hidden="1" customWidth="1"/>
    <col min="3126" max="3129" width="8.5" style="97" customWidth="1"/>
    <col min="3130" max="3328" width="3.86328125" style="97"/>
    <col min="3329" max="3369" width="3.86328125" style="97" customWidth="1"/>
    <col min="3370" max="3381" width="0" style="97" hidden="1" customWidth="1"/>
    <col min="3382" max="3385" width="8.5" style="97" customWidth="1"/>
    <col min="3386" max="3584" width="3.86328125" style="97"/>
    <col min="3585" max="3625" width="3.86328125" style="97" customWidth="1"/>
    <col min="3626" max="3637" width="0" style="97" hidden="1" customWidth="1"/>
    <col min="3638" max="3641" width="8.5" style="97" customWidth="1"/>
    <col min="3642" max="3840" width="3.86328125" style="97"/>
    <col min="3841" max="3881" width="3.86328125" style="97" customWidth="1"/>
    <col min="3882" max="3893" width="0" style="97" hidden="1" customWidth="1"/>
    <col min="3894" max="3897" width="8.5" style="97" customWidth="1"/>
    <col min="3898" max="4096" width="3.86328125" style="97"/>
    <col min="4097" max="4137" width="3.86328125" style="97" customWidth="1"/>
    <col min="4138" max="4149" width="0" style="97" hidden="1" customWidth="1"/>
    <col min="4150" max="4153" width="8.5" style="97" customWidth="1"/>
    <col min="4154" max="4352" width="3.86328125" style="97"/>
    <col min="4353" max="4393" width="3.86328125" style="97" customWidth="1"/>
    <col min="4394" max="4405" width="0" style="97" hidden="1" customWidth="1"/>
    <col min="4406" max="4409" width="8.5" style="97" customWidth="1"/>
    <col min="4410" max="4608" width="3.86328125" style="97"/>
    <col min="4609" max="4649" width="3.86328125" style="97" customWidth="1"/>
    <col min="4650" max="4661" width="0" style="97" hidden="1" customWidth="1"/>
    <col min="4662" max="4665" width="8.5" style="97" customWidth="1"/>
    <col min="4666" max="4864" width="3.86328125" style="97"/>
    <col min="4865" max="4905" width="3.86328125" style="97" customWidth="1"/>
    <col min="4906" max="4917" width="0" style="97" hidden="1" customWidth="1"/>
    <col min="4918" max="4921" width="8.5" style="97" customWidth="1"/>
    <col min="4922" max="5120" width="3.86328125" style="97"/>
    <col min="5121" max="5161" width="3.86328125" style="97" customWidth="1"/>
    <col min="5162" max="5173" width="0" style="97" hidden="1" customWidth="1"/>
    <col min="5174" max="5177" width="8.5" style="97" customWidth="1"/>
    <col min="5178" max="5376" width="3.86328125" style="97"/>
    <col min="5377" max="5417" width="3.86328125" style="97" customWidth="1"/>
    <col min="5418" max="5429" width="0" style="97" hidden="1" customWidth="1"/>
    <col min="5430" max="5433" width="8.5" style="97" customWidth="1"/>
    <col min="5434" max="5632" width="3.86328125" style="97"/>
    <col min="5633" max="5673" width="3.86328125" style="97" customWidth="1"/>
    <col min="5674" max="5685" width="0" style="97" hidden="1" customWidth="1"/>
    <col min="5686" max="5689" width="8.5" style="97" customWidth="1"/>
    <col min="5690" max="5888" width="3.86328125" style="97"/>
    <col min="5889" max="5929" width="3.86328125" style="97" customWidth="1"/>
    <col min="5930" max="5941" width="0" style="97" hidden="1" customWidth="1"/>
    <col min="5942" max="5945" width="8.5" style="97" customWidth="1"/>
    <col min="5946" max="6144" width="3.86328125" style="97"/>
    <col min="6145" max="6185" width="3.86328125" style="97" customWidth="1"/>
    <col min="6186" max="6197" width="0" style="97" hidden="1" customWidth="1"/>
    <col min="6198" max="6201" width="8.5" style="97" customWidth="1"/>
    <col min="6202" max="6400" width="3.86328125" style="97"/>
    <col min="6401" max="6441" width="3.86328125" style="97" customWidth="1"/>
    <col min="6442" max="6453" width="0" style="97" hidden="1" customWidth="1"/>
    <col min="6454" max="6457" width="8.5" style="97" customWidth="1"/>
    <col min="6458" max="6656" width="3.86328125" style="97"/>
    <col min="6657" max="6697" width="3.86328125" style="97" customWidth="1"/>
    <col min="6698" max="6709" width="0" style="97" hidden="1" customWidth="1"/>
    <col min="6710" max="6713" width="8.5" style="97" customWidth="1"/>
    <col min="6714" max="6912" width="3.86328125" style="97"/>
    <col min="6913" max="6953" width="3.86328125" style="97" customWidth="1"/>
    <col min="6954" max="6965" width="0" style="97" hidden="1" customWidth="1"/>
    <col min="6966" max="6969" width="8.5" style="97" customWidth="1"/>
    <col min="6970" max="7168" width="3.86328125" style="97"/>
    <col min="7169" max="7209" width="3.86328125" style="97" customWidth="1"/>
    <col min="7210" max="7221" width="0" style="97" hidden="1" customWidth="1"/>
    <col min="7222" max="7225" width="8.5" style="97" customWidth="1"/>
    <col min="7226" max="7424" width="3.86328125" style="97"/>
    <col min="7425" max="7465" width="3.86328125" style="97" customWidth="1"/>
    <col min="7466" max="7477" width="0" style="97" hidden="1" customWidth="1"/>
    <col min="7478" max="7481" width="8.5" style="97" customWidth="1"/>
    <col min="7482" max="7680" width="3.86328125" style="97"/>
    <col min="7681" max="7721" width="3.86328125" style="97" customWidth="1"/>
    <col min="7722" max="7733" width="0" style="97" hidden="1" customWidth="1"/>
    <col min="7734" max="7737" width="8.5" style="97" customWidth="1"/>
    <col min="7738" max="7936" width="3.86328125" style="97"/>
    <col min="7937" max="7977" width="3.86328125" style="97" customWidth="1"/>
    <col min="7978" max="7989" width="0" style="97" hidden="1" customWidth="1"/>
    <col min="7990" max="7993" width="8.5" style="97" customWidth="1"/>
    <col min="7994" max="8192" width="3.86328125" style="97"/>
    <col min="8193" max="8233" width="3.86328125" style="97" customWidth="1"/>
    <col min="8234" max="8245" width="0" style="97" hidden="1" customWidth="1"/>
    <col min="8246" max="8249" width="8.5" style="97" customWidth="1"/>
    <col min="8250" max="8448" width="3.86328125" style="97"/>
    <col min="8449" max="8489" width="3.86328125" style="97" customWidth="1"/>
    <col min="8490" max="8501" width="0" style="97" hidden="1" customWidth="1"/>
    <col min="8502" max="8505" width="8.5" style="97" customWidth="1"/>
    <col min="8506" max="8704" width="3.86328125" style="97"/>
    <col min="8705" max="8745" width="3.86328125" style="97" customWidth="1"/>
    <col min="8746" max="8757" width="0" style="97" hidden="1" customWidth="1"/>
    <col min="8758" max="8761" width="8.5" style="97" customWidth="1"/>
    <col min="8762" max="8960" width="3.86328125" style="97"/>
    <col min="8961" max="9001" width="3.86328125" style="97" customWidth="1"/>
    <col min="9002" max="9013" width="0" style="97" hidden="1" customWidth="1"/>
    <col min="9014" max="9017" width="8.5" style="97" customWidth="1"/>
    <col min="9018" max="9216" width="3.86328125" style="97"/>
    <col min="9217" max="9257" width="3.86328125" style="97" customWidth="1"/>
    <col min="9258" max="9269" width="0" style="97" hidden="1" customWidth="1"/>
    <col min="9270" max="9273" width="8.5" style="97" customWidth="1"/>
    <col min="9274" max="9472" width="3.86328125" style="97"/>
    <col min="9473" max="9513" width="3.86328125" style="97" customWidth="1"/>
    <col min="9514" max="9525" width="0" style="97" hidden="1" customWidth="1"/>
    <col min="9526" max="9529" width="8.5" style="97" customWidth="1"/>
    <col min="9530" max="9728" width="3.86328125" style="97"/>
    <col min="9729" max="9769" width="3.86328125" style="97" customWidth="1"/>
    <col min="9770" max="9781" width="0" style="97" hidden="1" customWidth="1"/>
    <col min="9782" max="9785" width="8.5" style="97" customWidth="1"/>
    <col min="9786" max="9984" width="3.86328125" style="97"/>
    <col min="9985" max="10025" width="3.86328125" style="97" customWidth="1"/>
    <col min="10026" max="10037" width="0" style="97" hidden="1" customWidth="1"/>
    <col min="10038" max="10041" width="8.5" style="97" customWidth="1"/>
    <col min="10042" max="10240" width="3.86328125" style="97"/>
    <col min="10241" max="10281" width="3.86328125" style="97" customWidth="1"/>
    <col min="10282" max="10293" width="0" style="97" hidden="1" customWidth="1"/>
    <col min="10294" max="10297" width="8.5" style="97" customWidth="1"/>
    <col min="10298" max="10496" width="3.86328125" style="97"/>
    <col min="10497" max="10537" width="3.86328125" style="97" customWidth="1"/>
    <col min="10538" max="10549" width="0" style="97" hidden="1" customWidth="1"/>
    <col min="10550" max="10553" width="8.5" style="97" customWidth="1"/>
    <col min="10554" max="10752" width="3.86328125" style="97"/>
    <col min="10753" max="10793" width="3.86328125" style="97" customWidth="1"/>
    <col min="10794" max="10805" width="0" style="97" hidden="1" customWidth="1"/>
    <col min="10806" max="10809" width="8.5" style="97" customWidth="1"/>
    <col min="10810" max="11008" width="3.86328125" style="97"/>
    <col min="11009" max="11049" width="3.86328125" style="97" customWidth="1"/>
    <col min="11050" max="11061" width="0" style="97" hidden="1" customWidth="1"/>
    <col min="11062" max="11065" width="8.5" style="97" customWidth="1"/>
    <col min="11066" max="11264" width="3.86328125" style="97"/>
    <col min="11265" max="11305" width="3.86328125" style="97" customWidth="1"/>
    <col min="11306" max="11317" width="0" style="97" hidden="1" customWidth="1"/>
    <col min="11318" max="11321" width="8.5" style="97" customWidth="1"/>
    <col min="11322" max="11520" width="3.86328125" style="97"/>
    <col min="11521" max="11561" width="3.86328125" style="97" customWidth="1"/>
    <col min="11562" max="11573" width="0" style="97" hidden="1" customWidth="1"/>
    <col min="11574" max="11577" width="8.5" style="97" customWidth="1"/>
    <col min="11578" max="11776" width="3.86328125" style="97"/>
    <col min="11777" max="11817" width="3.86328125" style="97" customWidth="1"/>
    <col min="11818" max="11829" width="0" style="97" hidden="1" customWidth="1"/>
    <col min="11830" max="11833" width="8.5" style="97" customWidth="1"/>
    <col min="11834" max="12032" width="3.86328125" style="97"/>
    <col min="12033" max="12073" width="3.86328125" style="97" customWidth="1"/>
    <col min="12074" max="12085" width="0" style="97" hidden="1" customWidth="1"/>
    <col min="12086" max="12089" width="8.5" style="97" customWidth="1"/>
    <col min="12090" max="12288" width="3.86328125" style="97"/>
    <col min="12289" max="12329" width="3.86328125" style="97" customWidth="1"/>
    <col min="12330" max="12341" width="0" style="97" hidden="1" customWidth="1"/>
    <col min="12342" max="12345" width="8.5" style="97" customWidth="1"/>
    <col min="12346" max="12544" width="3.86328125" style="97"/>
    <col min="12545" max="12585" width="3.86328125" style="97" customWidth="1"/>
    <col min="12586" max="12597" width="0" style="97" hidden="1" customWidth="1"/>
    <col min="12598" max="12601" width="8.5" style="97" customWidth="1"/>
    <col min="12602" max="12800" width="3.86328125" style="97"/>
    <col min="12801" max="12841" width="3.86328125" style="97" customWidth="1"/>
    <col min="12842" max="12853" width="0" style="97" hidden="1" customWidth="1"/>
    <col min="12854" max="12857" width="8.5" style="97" customWidth="1"/>
    <col min="12858" max="13056" width="3.86328125" style="97"/>
    <col min="13057" max="13097" width="3.86328125" style="97" customWidth="1"/>
    <col min="13098" max="13109" width="0" style="97" hidden="1" customWidth="1"/>
    <col min="13110" max="13113" width="8.5" style="97" customWidth="1"/>
    <col min="13114" max="13312" width="3.86328125" style="97"/>
    <col min="13313" max="13353" width="3.86328125" style="97" customWidth="1"/>
    <col min="13354" max="13365" width="0" style="97" hidden="1" customWidth="1"/>
    <col min="13366" max="13369" width="8.5" style="97" customWidth="1"/>
    <col min="13370" max="13568" width="3.86328125" style="97"/>
    <col min="13569" max="13609" width="3.86328125" style="97" customWidth="1"/>
    <col min="13610" max="13621" width="0" style="97" hidden="1" customWidth="1"/>
    <col min="13622" max="13625" width="8.5" style="97" customWidth="1"/>
    <col min="13626" max="13824" width="3.86328125" style="97"/>
    <col min="13825" max="13865" width="3.86328125" style="97" customWidth="1"/>
    <col min="13866" max="13877" width="0" style="97" hidden="1" customWidth="1"/>
    <col min="13878" max="13881" width="8.5" style="97" customWidth="1"/>
    <col min="13882" max="14080" width="3.86328125" style="97"/>
    <col min="14081" max="14121" width="3.86328125" style="97" customWidth="1"/>
    <col min="14122" max="14133" width="0" style="97" hidden="1" customWidth="1"/>
    <col min="14134" max="14137" width="8.5" style="97" customWidth="1"/>
    <col min="14138" max="14336" width="3.86328125" style="97"/>
    <col min="14337" max="14377" width="3.86328125" style="97" customWidth="1"/>
    <col min="14378" max="14389" width="0" style="97" hidden="1" customWidth="1"/>
    <col min="14390" max="14393" width="8.5" style="97" customWidth="1"/>
    <col min="14394" max="14592" width="3.86328125" style="97"/>
    <col min="14593" max="14633" width="3.86328125" style="97" customWidth="1"/>
    <col min="14634" max="14645" width="0" style="97" hidden="1" customWidth="1"/>
    <col min="14646" max="14649" width="8.5" style="97" customWidth="1"/>
    <col min="14650" max="14848" width="3.86328125" style="97"/>
    <col min="14849" max="14889" width="3.86328125" style="97" customWidth="1"/>
    <col min="14890" max="14901" width="0" style="97" hidden="1" customWidth="1"/>
    <col min="14902" max="14905" width="8.5" style="97" customWidth="1"/>
    <col min="14906" max="15104" width="3.86328125" style="97"/>
    <col min="15105" max="15145" width="3.86328125" style="97" customWidth="1"/>
    <col min="15146" max="15157" width="0" style="97" hidden="1" customWidth="1"/>
    <col min="15158" max="15161" width="8.5" style="97" customWidth="1"/>
    <col min="15162" max="15360" width="3.86328125" style="97"/>
    <col min="15361" max="15401" width="3.86328125" style="97" customWidth="1"/>
    <col min="15402" max="15413" width="0" style="97" hidden="1" customWidth="1"/>
    <col min="15414" max="15417" width="8.5" style="97" customWidth="1"/>
    <col min="15418" max="15616" width="3.86328125" style="97"/>
    <col min="15617" max="15657" width="3.86328125" style="97" customWidth="1"/>
    <col min="15658" max="15669" width="0" style="97" hidden="1" customWidth="1"/>
    <col min="15670" max="15673" width="8.5" style="97" customWidth="1"/>
    <col min="15674" max="15872" width="3.86328125" style="97"/>
    <col min="15873" max="15913" width="3.86328125" style="97" customWidth="1"/>
    <col min="15914" max="15925" width="0" style="97" hidden="1" customWidth="1"/>
    <col min="15926" max="15929" width="8.5" style="97" customWidth="1"/>
    <col min="15930" max="16128" width="3.86328125" style="97"/>
    <col min="16129" max="16169" width="3.86328125" style="97" customWidth="1"/>
    <col min="16170" max="16181" width="0" style="97" hidden="1" customWidth="1"/>
    <col min="16182" max="16185" width="8.5" style="97" customWidth="1"/>
    <col min="16186" max="16384" width="3.86328125" style="97"/>
  </cols>
  <sheetData>
    <row r="1" spans="1:56" ht="30" customHeight="1" thickBot="1" x14ac:dyDescent="0.6">
      <c r="A1" s="1004" t="s">
        <v>81</v>
      </c>
      <c r="B1" s="1004"/>
      <c r="C1" s="1005"/>
      <c r="D1" s="1005"/>
      <c r="E1" s="1005"/>
      <c r="F1" s="1005"/>
      <c r="G1" s="1006" t="s">
        <v>2011</v>
      </c>
      <c r="H1" s="1006"/>
      <c r="I1" s="1006"/>
      <c r="J1" s="1006"/>
      <c r="K1" s="1007">
        <v>33</v>
      </c>
      <c r="L1" s="1006"/>
      <c r="T1" s="98"/>
      <c r="U1" s="98"/>
      <c r="V1" s="98"/>
      <c r="W1" s="98"/>
      <c r="X1" s="98"/>
      <c r="Y1" s="98"/>
      <c r="AA1" s="98"/>
    </row>
    <row r="2" spans="1:56" ht="20.149999999999999" customHeight="1" x14ac:dyDescent="0.45">
      <c r="A2" s="1008" t="s">
        <v>82</v>
      </c>
      <c r="B2" s="993"/>
      <c r="C2" s="1009" t="s">
        <v>8452</v>
      </c>
      <c r="D2" s="1010"/>
      <c r="E2" s="1010"/>
      <c r="F2" s="1010"/>
      <c r="G2" s="1010"/>
      <c r="H2" s="1010"/>
      <c r="I2" s="1010"/>
      <c r="J2" s="1010"/>
      <c r="K2" s="1010"/>
      <c r="L2" s="1010"/>
      <c r="M2" s="1010"/>
      <c r="N2" s="1011"/>
      <c r="O2" s="50" t="s">
        <v>83</v>
      </c>
      <c r="P2" s="1015">
        <v>2</v>
      </c>
      <c r="Q2" s="1015"/>
      <c r="R2" s="51" t="s">
        <v>211</v>
      </c>
      <c r="S2" s="52"/>
      <c r="T2" s="95"/>
      <c r="U2" s="95"/>
      <c r="V2" s="95"/>
      <c r="W2" s="95"/>
      <c r="X2" s="95"/>
      <c r="Y2" s="95"/>
      <c r="Z2" s="95"/>
      <c r="AA2" s="96"/>
      <c r="AB2" s="53" t="s">
        <v>84</v>
      </c>
      <c r="AC2" s="992" t="s">
        <v>163</v>
      </c>
      <c r="AD2" s="993"/>
      <c r="AE2" s="53" t="s">
        <v>85</v>
      </c>
      <c r="AF2" s="992"/>
      <c r="AG2" s="995"/>
      <c r="AH2" s="995"/>
      <c r="AI2" s="995"/>
      <c r="AJ2" s="996"/>
    </row>
    <row r="3" spans="1:56" ht="20.149999999999999" customHeight="1" x14ac:dyDescent="0.45">
      <c r="A3" s="988" t="s">
        <v>86</v>
      </c>
      <c r="B3" s="997"/>
      <c r="C3" s="999"/>
      <c r="D3" s="1000"/>
      <c r="E3" s="1000"/>
      <c r="F3" s="1000"/>
      <c r="G3" s="1000"/>
      <c r="H3" s="1000"/>
      <c r="I3" s="1000"/>
      <c r="J3" s="1000"/>
      <c r="K3" s="1000"/>
      <c r="L3" s="1000"/>
      <c r="M3" s="1000"/>
      <c r="N3" s="1001"/>
      <c r="O3" s="998" t="s">
        <v>165</v>
      </c>
      <c r="P3" s="976"/>
      <c r="Q3" s="998" t="s">
        <v>166</v>
      </c>
      <c r="R3" s="976"/>
      <c r="S3" s="999" t="s">
        <v>8454</v>
      </c>
      <c r="T3" s="1000"/>
      <c r="U3" s="1000"/>
      <c r="V3" s="1000"/>
      <c r="W3" s="1000"/>
      <c r="X3" s="1000"/>
      <c r="Y3" s="1000"/>
      <c r="Z3" s="1000"/>
      <c r="AA3" s="1001"/>
      <c r="AB3" s="87" t="s">
        <v>87</v>
      </c>
      <c r="AC3" s="994"/>
      <c r="AD3" s="965"/>
      <c r="AE3" s="92" t="s">
        <v>88</v>
      </c>
      <c r="AF3" s="1002" t="s">
        <v>1412</v>
      </c>
      <c r="AG3" s="997"/>
      <c r="AH3" s="997"/>
      <c r="AI3" s="997"/>
      <c r="AJ3" s="1003"/>
    </row>
    <row r="4" spans="1:56" ht="20.149999999999999" customHeight="1" x14ac:dyDescent="0.45">
      <c r="A4" s="964" t="s">
        <v>89</v>
      </c>
      <c r="B4" s="965"/>
      <c r="C4" s="1012"/>
      <c r="D4" s="1013"/>
      <c r="E4" s="1013"/>
      <c r="F4" s="1013"/>
      <c r="G4" s="1013"/>
      <c r="H4" s="1013"/>
      <c r="I4" s="1013"/>
      <c r="J4" s="1013"/>
      <c r="K4" s="1013"/>
      <c r="L4" s="1013"/>
      <c r="M4" s="1013"/>
      <c r="N4" s="1014"/>
      <c r="O4" s="1016" t="s">
        <v>90</v>
      </c>
      <c r="P4" s="965"/>
      <c r="Q4" s="1016" t="s">
        <v>22</v>
      </c>
      <c r="R4" s="965"/>
      <c r="S4" s="1012" t="s">
        <v>3932</v>
      </c>
      <c r="T4" s="1013"/>
      <c r="U4" s="1013"/>
      <c r="V4" s="1013"/>
      <c r="W4" s="1013"/>
      <c r="X4" s="1013"/>
      <c r="Y4" s="1013"/>
      <c r="Z4" s="1013"/>
      <c r="AA4" s="1014"/>
      <c r="AB4" s="87" t="s">
        <v>91</v>
      </c>
      <c r="AC4" s="1017" t="s">
        <v>1567</v>
      </c>
      <c r="AD4" s="1018"/>
      <c r="AE4" s="92" t="s">
        <v>92</v>
      </c>
      <c r="AF4" s="994" t="s">
        <v>11838</v>
      </c>
      <c r="AG4" s="1019"/>
      <c r="AH4" s="1019"/>
      <c r="AI4" s="1019"/>
      <c r="AJ4" s="1020"/>
      <c r="AX4" s="102"/>
      <c r="AY4" s="103"/>
    </row>
    <row r="5" spans="1:56" ht="20.149999999999999" customHeight="1" x14ac:dyDescent="0.45">
      <c r="A5" s="975" t="s">
        <v>86</v>
      </c>
      <c r="B5" s="976"/>
      <c r="C5" s="977" t="s">
        <v>8453</v>
      </c>
      <c r="D5" s="978"/>
      <c r="E5" s="978"/>
      <c r="F5" s="978"/>
      <c r="G5" s="978"/>
      <c r="H5" s="978"/>
      <c r="I5" s="979"/>
      <c r="J5" s="54" t="s">
        <v>93</v>
      </c>
      <c r="K5" s="90" t="s">
        <v>94</v>
      </c>
      <c r="L5" s="966" t="s">
        <v>95</v>
      </c>
      <c r="M5" s="967"/>
      <c r="N5" s="94" t="s">
        <v>96</v>
      </c>
      <c r="O5" s="55" t="s">
        <v>97</v>
      </c>
      <c r="P5" s="56" t="s">
        <v>98</v>
      </c>
      <c r="Q5" s="89" t="s">
        <v>99</v>
      </c>
      <c r="R5" s="54" t="s">
        <v>100</v>
      </c>
      <c r="S5" s="986" t="s">
        <v>101</v>
      </c>
      <c r="T5" s="987"/>
      <c r="U5" s="54" t="s">
        <v>102</v>
      </c>
      <c r="V5" s="91" t="s">
        <v>103</v>
      </c>
      <c r="W5" s="91"/>
      <c r="X5" s="57"/>
      <c r="Y5" s="91"/>
      <c r="Z5" s="58"/>
      <c r="AA5" s="59" t="s">
        <v>34</v>
      </c>
      <c r="AB5" s="91"/>
      <c r="AC5" s="91"/>
      <c r="AD5" s="91"/>
      <c r="AE5" s="58"/>
      <c r="AF5" s="59" t="s">
        <v>164</v>
      </c>
      <c r="AG5" s="91"/>
      <c r="AH5" s="91"/>
      <c r="AI5" s="91"/>
      <c r="AJ5" s="60"/>
      <c r="AX5" s="102"/>
      <c r="AY5" s="103"/>
    </row>
    <row r="6" spans="1:56" ht="20.149999999999999" customHeight="1" x14ac:dyDescent="0.45">
      <c r="A6" s="988"/>
      <c r="B6" s="989"/>
      <c r="C6" s="980"/>
      <c r="D6" s="981"/>
      <c r="E6" s="981"/>
      <c r="F6" s="981"/>
      <c r="G6" s="981"/>
      <c r="H6" s="981"/>
      <c r="I6" s="982"/>
      <c r="J6" s="61"/>
      <c r="K6" s="93" t="s">
        <v>104</v>
      </c>
      <c r="L6" s="966" t="s">
        <v>105</v>
      </c>
      <c r="M6" s="967"/>
      <c r="N6" s="968">
        <v>28</v>
      </c>
      <c r="O6" s="969"/>
      <c r="P6" s="86" t="s">
        <v>1568</v>
      </c>
      <c r="Q6" s="92"/>
      <c r="R6" s="61"/>
      <c r="S6" s="990" t="s">
        <v>106</v>
      </c>
      <c r="T6" s="991"/>
      <c r="U6" s="61"/>
      <c r="V6" s="960" t="s">
        <v>597</v>
      </c>
      <c r="W6" s="961"/>
      <c r="X6" s="961"/>
      <c r="Y6" s="961"/>
      <c r="Z6" s="962"/>
      <c r="AA6" s="960" t="s">
        <v>1190</v>
      </c>
      <c r="AB6" s="961"/>
      <c r="AC6" s="961"/>
      <c r="AD6" s="961"/>
      <c r="AE6" s="962"/>
      <c r="AF6" s="960" t="s">
        <v>574</v>
      </c>
      <c r="AG6" s="961"/>
      <c r="AH6" s="961"/>
      <c r="AI6" s="961"/>
      <c r="AJ6" s="963"/>
      <c r="AR6" s="461"/>
      <c r="AY6" s="461"/>
    </row>
    <row r="7" spans="1:56" ht="20.149999999999999" customHeight="1" x14ac:dyDescent="0.45">
      <c r="A7" s="964" t="s">
        <v>107</v>
      </c>
      <c r="B7" s="965"/>
      <c r="C7" s="983"/>
      <c r="D7" s="984"/>
      <c r="E7" s="984"/>
      <c r="F7" s="984"/>
      <c r="G7" s="984"/>
      <c r="H7" s="984"/>
      <c r="I7" s="985"/>
      <c r="J7" s="62" t="s">
        <v>108</v>
      </c>
      <c r="K7" s="88" t="s">
        <v>109</v>
      </c>
      <c r="L7" s="966" t="s">
        <v>110</v>
      </c>
      <c r="M7" s="967"/>
      <c r="N7" s="968">
        <v>87</v>
      </c>
      <c r="O7" s="969"/>
      <c r="P7" s="86" t="s">
        <v>1569</v>
      </c>
      <c r="Q7" s="87" t="s">
        <v>111</v>
      </c>
      <c r="R7" s="62" t="s">
        <v>112</v>
      </c>
      <c r="S7" s="970" t="s">
        <v>113</v>
      </c>
      <c r="T7" s="971"/>
      <c r="U7" s="62" t="s">
        <v>114</v>
      </c>
      <c r="V7" s="452"/>
      <c r="W7" s="452"/>
      <c r="X7" s="452"/>
      <c r="Y7" s="452"/>
      <c r="Z7" s="453"/>
      <c r="AA7" s="972" t="s">
        <v>638</v>
      </c>
      <c r="AB7" s="973"/>
      <c r="AC7" s="973"/>
      <c r="AD7" s="973"/>
      <c r="AE7" s="974"/>
      <c r="AF7" s="454"/>
      <c r="AG7" s="452"/>
      <c r="AH7" s="452"/>
      <c r="AI7" s="452"/>
      <c r="AJ7" s="455"/>
      <c r="AR7" s="461"/>
      <c r="AY7" s="461"/>
    </row>
    <row r="8" spans="1:56" s="102" customFormat="1" ht="20.149999999999999" customHeight="1" x14ac:dyDescent="0.45">
      <c r="A8" s="925" t="s">
        <v>115</v>
      </c>
      <c r="B8" s="926"/>
      <c r="C8" s="926"/>
      <c r="D8" s="109"/>
      <c r="E8" s="109"/>
      <c r="F8" s="109"/>
      <c r="G8" s="109"/>
      <c r="H8" s="109"/>
      <c r="I8" s="109"/>
      <c r="J8" s="109"/>
      <c r="K8" s="109"/>
      <c r="L8" s="926"/>
      <c r="M8" s="926"/>
      <c r="N8" s="926"/>
      <c r="O8" s="927"/>
      <c r="P8" s="957">
        <v>3</v>
      </c>
      <c r="Q8" s="110">
        <v>1</v>
      </c>
      <c r="R8" s="919" t="s">
        <v>116</v>
      </c>
      <c r="S8" s="920"/>
      <c r="T8" s="110">
        <v>1</v>
      </c>
      <c r="U8" s="957">
        <v>1</v>
      </c>
      <c r="V8" s="942" t="s">
        <v>115</v>
      </c>
      <c r="W8" s="926"/>
      <c r="X8" s="926"/>
      <c r="Y8" s="109"/>
      <c r="Z8" s="109"/>
      <c r="AA8" s="109"/>
      <c r="AE8" s="109"/>
      <c r="AF8" s="109"/>
      <c r="AG8" s="926"/>
      <c r="AH8" s="926"/>
      <c r="AI8" s="926"/>
      <c r="AJ8" s="948"/>
      <c r="AP8" s="103"/>
      <c r="AQ8" s="103"/>
      <c r="AR8" s="103"/>
      <c r="AS8" s="103"/>
      <c r="AT8" s="103"/>
      <c r="AY8" s="103"/>
      <c r="AZ8" s="103"/>
      <c r="BA8" s="103"/>
    </row>
    <row r="9" spans="1:56" s="102" customFormat="1" ht="20.149999999999999" customHeight="1" x14ac:dyDescent="0.45">
      <c r="A9" s="111"/>
      <c r="B9" s="955" t="str">
        <f>AR13</f>
        <v>ブルーウイングフットボールクラブ</v>
      </c>
      <c r="C9" s="955"/>
      <c r="D9" s="955"/>
      <c r="E9" s="955"/>
      <c r="F9" s="955"/>
      <c r="G9" s="955"/>
      <c r="H9" s="955"/>
      <c r="I9" s="955"/>
      <c r="J9" s="955"/>
      <c r="K9" s="955"/>
      <c r="L9" s="929" t="str">
        <f>AR14</f>
        <v>大分　市</v>
      </c>
      <c r="M9" s="929"/>
      <c r="N9" s="929"/>
      <c r="O9" s="930"/>
      <c r="P9" s="958"/>
      <c r="Q9" s="110">
        <v>2</v>
      </c>
      <c r="R9" s="919" t="s">
        <v>117</v>
      </c>
      <c r="S9" s="920"/>
      <c r="T9" s="110">
        <v>0</v>
      </c>
      <c r="U9" s="958"/>
      <c r="V9" s="101"/>
      <c r="W9" s="955" t="str">
        <f>AY13</f>
        <v>ＫＩＮＧＳ　ＦＯＯＴＢＡＬＬＣＬＵＢ　Ｕ－１２</v>
      </c>
      <c r="X9" s="955"/>
      <c r="Y9" s="955"/>
      <c r="Z9" s="955"/>
      <c r="AA9" s="955"/>
      <c r="AB9" s="955"/>
      <c r="AC9" s="955"/>
      <c r="AD9" s="955"/>
      <c r="AE9" s="955"/>
      <c r="AF9" s="955"/>
      <c r="AG9" s="929" t="str">
        <f>AY14</f>
        <v>大分　市</v>
      </c>
      <c r="AH9" s="929"/>
      <c r="AI9" s="929"/>
      <c r="AJ9" s="956"/>
      <c r="AP9" s="103"/>
      <c r="AQ9" s="103"/>
      <c r="AR9" s="103"/>
      <c r="AS9" s="103"/>
      <c r="AT9" s="103"/>
      <c r="AY9" s="103"/>
      <c r="AZ9" s="103"/>
      <c r="BA9" s="103"/>
    </row>
    <row r="10" spans="1:56" s="102" customFormat="1" ht="20.149999999999999" customHeight="1" x14ac:dyDescent="0.45">
      <c r="A10" s="112"/>
      <c r="B10" s="113"/>
      <c r="C10" s="113"/>
      <c r="D10" s="113"/>
      <c r="E10" s="113"/>
      <c r="F10" s="113"/>
      <c r="G10" s="113"/>
      <c r="H10" s="113"/>
      <c r="I10" s="113"/>
      <c r="J10" s="113"/>
      <c r="K10" s="113"/>
      <c r="L10" s="113"/>
      <c r="M10" s="932" t="s">
        <v>2012</v>
      </c>
      <c r="N10" s="932"/>
      <c r="O10" s="933"/>
      <c r="P10" s="958"/>
      <c r="Q10" s="110"/>
      <c r="R10" s="919" t="s">
        <v>118</v>
      </c>
      <c r="S10" s="920"/>
      <c r="T10" s="110"/>
      <c r="U10" s="958"/>
      <c r="V10" s="935" t="s">
        <v>2012</v>
      </c>
      <c r="W10" s="932"/>
      <c r="X10" s="932"/>
      <c r="Y10" s="113"/>
      <c r="Z10" s="113"/>
      <c r="AA10" s="113"/>
      <c r="AB10" s="113"/>
      <c r="AC10" s="113"/>
      <c r="AD10" s="113"/>
      <c r="AE10" s="113"/>
      <c r="AF10" s="113"/>
      <c r="AG10" s="113"/>
      <c r="AH10" s="113"/>
      <c r="AI10" s="113"/>
      <c r="AJ10" s="114"/>
      <c r="AP10" s="103"/>
      <c r="AQ10" s="103"/>
      <c r="AR10" s="103"/>
      <c r="AS10" s="103"/>
      <c r="AT10" s="103"/>
      <c r="AY10" s="103"/>
      <c r="AZ10" s="103"/>
      <c r="BA10" s="103"/>
    </row>
    <row r="11" spans="1:56" s="102" customFormat="1" ht="20.149999999999999" customHeight="1" x14ac:dyDescent="0.45">
      <c r="A11" s="115"/>
      <c r="B11" s="110"/>
      <c r="C11" s="110"/>
      <c r="D11" s="110"/>
      <c r="E11" s="110"/>
      <c r="F11" s="110"/>
      <c r="G11" s="110"/>
      <c r="H11" s="110"/>
      <c r="I11" s="110"/>
      <c r="J11" s="110"/>
      <c r="K11" s="116"/>
      <c r="L11" s="919" t="s">
        <v>2013</v>
      </c>
      <c r="M11" s="920"/>
      <c r="N11" s="923" t="s">
        <v>2014</v>
      </c>
      <c r="O11" s="923"/>
      <c r="P11" s="958"/>
      <c r="Q11" s="110"/>
      <c r="R11" s="919" t="s">
        <v>119</v>
      </c>
      <c r="S11" s="920"/>
      <c r="T11" s="110"/>
      <c r="U11" s="958"/>
      <c r="V11" s="923" t="s">
        <v>2014</v>
      </c>
      <c r="W11" s="923"/>
      <c r="X11" s="919" t="s">
        <v>2013</v>
      </c>
      <c r="Y11" s="920"/>
      <c r="Z11" s="110"/>
      <c r="AA11" s="110"/>
      <c r="AB11" s="110"/>
      <c r="AC11" s="110"/>
      <c r="AD11" s="110"/>
      <c r="AE11" s="110"/>
      <c r="AF11" s="110"/>
      <c r="AG11" s="110"/>
      <c r="AH11" s="110"/>
      <c r="AI11" s="110"/>
      <c r="AJ11" s="117"/>
      <c r="AP11" s="103"/>
      <c r="AQ11" s="103"/>
      <c r="AR11" s="103"/>
      <c r="AS11" s="103"/>
      <c r="AT11" s="103"/>
      <c r="AY11" s="103"/>
      <c r="AZ11" s="103"/>
      <c r="BA11" s="103"/>
    </row>
    <row r="12" spans="1:56" s="102" customFormat="1" ht="20.149999999999999" customHeight="1" x14ac:dyDescent="0.45">
      <c r="A12" s="115"/>
      <c r="B12" s="110"/>
      <c r="C12" s="118"/>
      <c r="D12" s="118"/>
      <c r="E12" s="118"/>
      <c r="F12" s="118"/>
      <c r="G12" s="110"/>
      <c r="H12" s="110"/>
      <c r="I12" s="110"/>
      <c r="J12" s="110"/>
      <c r="K12" s="116"/>
      <c r="L12" s="116" t="s">
        <v>2015</v>
      </c>
      <c r="M12" s="107" t="s">
        <v>2016</v>
      </c>
      <c r="N12" s="116" t="s">
        <v>120</v>
      </c>
      <c r="O12" s="107" t="s">
        <v>121</v>
      </c>
      <c r="P12" s="959"/>
      <c r="Q12" s="110"/>
      <c r="R12" s="919" t="s">
        <v>122</v>
      </c>
      <c r="S12" s="920"/>
      <c r="T12" s="110"/>
      <c r="U12" s="959"/>
      <c r="V12" s="116" t="s">
        <v>120</v>
      </c>
      <c r="W12" s="107" t="s">
        <v>121</v>
      </c>
      <c r="X12" s="116" t="s">
        <v>2015</v>
      </c>
      <c r="Y12" s="107" t="s">
        <v>2016</v>
      </c>
      <c r="Z12" s="110"/>
      <c r="AA12" s="110"/>
      <c r="AB12" s="110"/>
      <c r="AC12" s="110"/>
      <c r="AD12" s="110"/>
      <c r="AE12" s="110"/>
      <c r="AF12" s="110"/>
      <c r="AG12" s="110"/>
      <c r="AH12" s="108"/>
      <c r="AI12" s="110"/>
      <c r="AJ12" s="117"/>
      <c r="AP12" s="103"/>
      <c r="AQ12" s="103"/>
      <c r="AR12" s="103"/>
      <c r="AS12" s="103"/>
      <c r="AT12" s="103"/>
      <c r="AY12" s="103"/>
      <c r="AZ12" s="103"/>
      <c r="BA12" s="103"/>
    </row>
    <row r="13" spans="1:56" s="102" customFormat="1" ht="20.149999999999999" customHeight="1" x14ac:dyDescent="0.45">
      <c r="A13" s="119"/>
      <c r="B13" s="109"/>
      <c r="C13" s="921" t="s">
        <v>123</v>
      </c>
      <c r="D13" s="921"/>
      <c r="E13" s="921"/>
      <c r="F13" s="921"/>
      <c r="G13" s="921"/>
      <c r="H13" s="921"/>
      <c r="I13" s="921"/>
      <c r="J13" s="920"/>
      <c r="K13" s="118" t="s">
        <v>124</v>
      </c>
      <c r="L13" s="105"/>
      <c r="M13" s="109"/>
      <c r="N13" s="109"/>
      <c r="O13" s="109"/>
      <c r="P13" s="104"/>
      <c r="Q13" s="118" t="s">
        <v>130</v>
      </c>
      <c r="R13" s="105"/>
      <c r="S13" s="104"/>
      <c r="T13" s="118" t="s">
        <v>130</v>
      </c>
      <c r="U13" s="105"/>
      <c r="V13" s="109"/>
      <c r="W13" s="109"/>
      <c r="X13" s="109"/>
      <c r="Y13" s="104"/>
      <c r="Z13" s="118" t="s">
        <v>124</v>
      </c>
      <c r="AA13" s="942" t="s">
        <v>123</v>
      </c>
      <c r="AB13" s="926"/>
      <c r="AC13" s="926"/>
      <c r="AD13" s="926"/>
      <c r="AE13" s="926"/>
      <c r="AF13" s="926"/>
      <c r="AG13" s="926"/>
      <c r="AH13" s="926"/>
      <c r="AI13" s="109"/>
      <c r="AJ13" s="120"/>
      <c r="AP13" s="949" t="s">
        <v>4</v>
      </c>
      <c r="AQ13" s="953"/>
      <c r="AR13" s="121" t="s">
        <v>11905</v>
      </c>
      <c r="AS13" s="121"/>
      <c r="AT13" s="122"/>
      <c r="AX13" s="123" t="s">
        <v>4</v>
      </c>
      <c r="AY13" s="124" t="s">
        <v>11912</v>
      </c>
      <c r="AZ13" s="121"/>
      <c r="BA13" s="122"/>
    </row>
    <row r="14" spans="1:56" s="102" customFormat="1" ht="20.149999999999999" customHeight="1" x14ac:dyDescent="0.45">
      <c r="A14" s="925" t="s">
        <v>125</v>
      </c>
      <c r="B14" s="927"/>
      <c r="C14" s="954" t="s">
        <v>126</v>
      </c>
      <c r="D14" s="954"/>
      <c r="E14" s="954" t="s">
        <v>126</v>
      </c>
      <c r="F14" s="954"/>
      <c r="G14" s="942" t="s">
        <v>121</v>
      </c>
      <c r="H14" s="927"/>
      <c r="I14" s="952" t="s">
        <v>127</v>
      </c>
      <c r="J14" s="930"/>
      <c r="K14" s="125"/>
      <c r="L14" s="101"/>
      <c r="M14" s="102" t="s">
        <v>128</v>
      </c>
      <c r="N14" s="102" t="s">
        <v>129</v>
      </c>
      <c r="O14" s="102" t="s">
        <v>89</v>
      </c>
      <c r="P14" s="106"/>
      <c r="Q14" s="125"/>
      <c r="R14" s="952" t="s">
        <v>131</v>
      </c>
      <c r="S14" s="930"/>
      <c r="T14" s="125"/>
      <c r="U14" s="101"/>
      <c r="V14" s="102" t="s">
        <v>128</v>
      </c>
      <c r="W14" s="102" t="s">
        <v>129</v>
      </c>
      <c r="X14" s="102" t="s">
        <v>132</v>
      </c>
      <c r="Y14" s="106"/>
      <c r="Z14" s="125"/>
      <c r="AA14" s="942" t="s">
        <v>127</v>
      </c>
      <c r="AB14" s="927"/>
      <c r="AC14" s="942" t="s">
        <v>121</v>
      </c>
      <c r="AD14" s="927"/>
      <c r="AE14" s="942" t="s">
        <v>126</v>
      </c>
      <c r="AF14" s="927"/>
      <c r="AG14" s="942" t="s">
        <v>126</v>
      </c>
      <c r="AH14" s="927"/>
      <c r="AI14" s="942" t="s">
        <v>125</v>
      </c>
      <c r="AJ14" s="948"/>
      <c r="AP14" s="949" t="s">
        <v>0</v>
      </c>
      <c r="AQ14" s="950"/>
      <c r="AR14" s="126" t="s">
        <v>11906</v>
      </c>
      <c r="AS14" s="127"/>
      <c r="AT14" s="127"/>
      <c r="AX14" s="128" t="s">
        <v>0</v>
      </c>
      <c r="AY14" s="126" t="s">
        <v>11906</v>
      </c>
      <c r="AZ14" s="127"/>
      <c r="BA14" s="127"/>
    </row>
    <row r="15" spans="1:56" s="102" customFormat="1" ht="20.149999999999999" customHeight="1" x14ac:dyDescent="0.45">
      <c r="A15" s="931" t="s">
        <v>133</v>
      </c>
      <c r="B15" s="933"/>
      <c r="C15" s="951" t="s">
        <v>121</v>
      </c>
      <c r="D15" s="951"/>
      <c r="E15" s="951" t="s">
        <v>127</v>
      </c>
      <c r="F15" s="951"/>
      <c r="G15" s="952" t="s">
        <v>134</v>
      </c>
      <c r="H15" s="930"/>
      <c r="I15" s="952" t="s">
        <v>134</v>
      </c>
      <c r="J15" s="930"/>
      <c r="K15" s="129" t="s">
        <v>135</v>
      </c>
      <c r="L15" s="100"/>
      <c r="M15" s="113"/>
      <c r="N15" s="113"/>
      <c r="O15" s="113"/>
      <c r="P15" s="108"/>
      <c r="Q15" s="129" t="s">
        <v>136</v>
      </c>
      <c r="R15" s="100"/>
      <c r="S15" s="108"/>
      <c r="T15" s="129" t="s">
        <v>136</v>
      </c>
      <c r="U15" s="100"/>
      <c r="V15" s="113"/>
      <c r="W15" s="113"/>
      <c r="X15" s="113"/>
      <c r="Y15" s="108"/>
      <c r="Z15" s="129" t="s">
        <v>135</v>
      </c>
      <c r="AA15" s="935" t="s">
        <v>134</v>
      </c>
      <c r="AB15" s="933"/>
      <c r="AC15" s="935" t="s">
        <v>134</v>
      </c>
      <c r="AD15" s="933"/>
      <c r="AE15" s="935" t="s">
        <v>127</v>
      </c>
      <c r="AF15" s="933"/>
      <c r="AG15" s="935" t="s">
        <v>121</v>
      </c>
      <c r="AH15" s="933"/>
      <c r="AI15" s="935" t="s">
        <v>133</v>
      </c>
      <c r="AJ15" s="936"/>
      <c r="AP15" s="99"/>
      <c r="AQ15" s="99"/>
      <c r="AR15" s="99"/>
      <c r="AS15" s="99"/>
      <c r="AT15" s="99"/>
      <c r="AX15" s="97"/>
      <c r="AY15" s="99"/>
      <c r="AZ15" s="99"/>
      <c r="BA15" s="99"/>
      <c r="BB15" s="97"/>
    </row>
    <row r="16" spans="1:56" s="132" customFormat="1" ht="20.149999999999999" customHeight="1" x14ac:dyDescent="0.45">
      <c r="A16" s="130"/>
      <c r="B16" s="131">
        <f t="shared" ref="B16:B23" si="0">SUM(D16,F16,H16,J16)</f>
        <v>0</v>
      </c>
      <c r="C16" s="102"/>
      <c r="E16" s="116"/>
      <c r="F16" s="131"/>
      <c r="G16" s="116"/>
      <c r="H16" s="131"/>
      <c r="I16" s="116"/>
      <c r="J16" s="131"/>
      <c r="K16" s="133">
        <f>IF(ISERROR(VLOOKUP(CONCATENATE($B$9,"_",Q16),選手名簿!$A$1:$G$65536,7,FALSE))=TRUE,"",VLOOKUP(CONCATENATE($B$9,"_",Q16),選手名簿!$A$1:$G$65536,7,FALSE))</f>
        <v>6</v>
      </c>
      <c r="L16" s="944" t="str">
        <f>IF(ISERROR(VLOOKUP(CONCATENATE($B$9,"_",Q16),選手名簿!$A$1:$E$65536,5,FALSE))=TRUE,"",VLOOKUP(CONCATENATE($B$9,"_",Q16),選手名簿!$A$1:$E$65536,5,FALSE))</f>
        <v>田口　椋雅</v>
      </c>
      <c r="M16" s="945"/>
      <c r="N16" s="945"/>
      <c r="O16" s="945"/>
      <c r="P16" s="946"/>
      <c r="Q16" s="157">
        <v>1</v>
      </c>
      <c r="R16" s="134" t="str">
        <f>IF(ISERROR(VLOOKUP(CONCATENATE($B$9,"_",Q16),選手名簿!$A$1:$E$65536,4,FALSE))=TRUE,"",VLOOKUP(CONCATENATE($B$9,"_",Q16),選手名簿!$A$1:$E$65536,4,FALSE))</f>
        <v>GK</v>
      </c>
      <c r="S16" s="135" t="str">
        <f>IF(ISERROR(VLOOKUP(CONCATENATE($W$9,"_",T16),選手名簿!$A$1:$E$65536,4,FALSE))=TRUE,"",VLOOKUP(CONCATENATE($W$9,"_",T16),選手名簿!$A$1:$E$65536,4,FALSE))</f>
        <v>GK</v>
      </c>
      <c r="T16" s="156">
        <v>1</v>
      </c>
      <c r="U16" s="944" t="str">
        <f>IF(ISERROR(VLOOKUP(CONCATENATE($W$9,"_",T16),選手名簿!$A$1:$E$65536,5,FALSE))=TRUE,"",VLOOKUP(CONCATENATE($W$9,"_",T16),選手名簿!$A$1:$E$65536,5,FALSE))</f>
        <v>麻生　明秀</v>
      </c>
      <c r="V16" s="945"/>
      <c r="W16" s="945"/>
      <c r="X16" s="945"/>
      <c r="Y16" s="946"/>
      <c r="Z16" s="133">
        <f>IF(ISERROR(VLOOKUP(CONCATENATE($W$9,"_",T16),選手名簿!$A$1:$G$65536,7,FALSE))=TRUE,"",VLOOKUP(CONCATENATE($W$9,"_",T16),選手名簿!$A$1:$G$65536,7,FALSE))</f>
        <v>6</v>
      </c>
      <c r="AA16" s="116"/>
      <c r="AB16" s="131"/>
      <c r="AC16" s="116"/>
      <c r="AD16" s="131"/>
      <c r="AE16" s="116"/>
      <c r="AF16" s="131"/>
      <c r="AG16" s="116"/>
      <c r="AH16" s="131"/>
      <c r="AI16" s="136"/>
      <c r="AJ16" s="117">
        <f t="shared" ref="AJ16:AJ23" si="1">SUM(AB16,AD16,AF16,AH16)</f>
        <v>0</v>
      </c>
      <c r="AN16" s="97"/>
      <c r="AO16" s="97"/>
      <c r="AP16" s="99"/>
      <c r="AQ16" s="99"/>
      <c r="AR16" s="99"/>
      <c r="AS16" s="99"/>
      <c r="AT16" s="99"/>
      <c r="AU16" s="97"/>
      <c r="AV16" s="97"/>
      <c r="AW16" s="97"/>
      <c r="AX16" s="97"/>
      <c r="AY16" s="99"/>
      <c r="AZ16" s="99"/>
      <c r="BA16" s="99"/>
      <c r="BB16" s="97"/>
      <c r="BC16" s="97"/>
      <c r="BD16" s="97"/>
    </row>
    <row r="17" spans="1:56" s="132" customFormat="1" ht="20.149999999999999" customHeight="1" x14ac:dyDescent="0.45">
      <c r="A17" s="130"/>
      <c r="B17" s="131">
        <f t="shared" si="0"/>
        <v>1</v>
      </c>
      <c r="C17" s="116"/>
      <c r="D17" s="136"/>
      <c r="E17" s="116"/>
      <c r="F17" s="131"/>
      <c r="G17" s="116"/>
      <c r="H17" s="131">
        <v>1</v>
      </c>
      <c r="I17" s="116"/>
      <c r="J17" s="131"/>
      <c r="K17" s="133">
        <f>IF(ISERROR(VLOOKUP(CONCATENATE($B$9,"_",Q17),選手名簿!$A$1:$G$65536,7,FALSE))=TRUE,"",VLOOKUP(CONCATENATE($B$9,"_",Q17),選手名簿!$A$1:$G$65536,7,FALSE))</f>
        <v>6</v>
      </c>
      <c r="L17" s="944" t="str">
        <f>IF(ISERROR(VLOOKUP(CONCATENATE($B$9,"_",Q17),選手名簿!$A$1:$E$65536,5,FALSE))=TRUE,"",VLOOKUP(CONCATENATE($B$9,"_",Q17),選手名簿!$A$1:$E$65536,5,FALSE))</f>
        <v>田羽多　利希亜</v>
      </c>
      <c r="M17" s="945"/>
      <c r="N17" s="945"/>
      <c r="O17" s="945"/>
      <c r="P17" s="946"/>
      <c r="Q17" s="157">
        <v>4</v>
      </c>
      <c r="R17" s="134" t="str">
        <f>IF(ISERROR(VLOOKUP(CONCATENATE($B$9,"_",Q17),選手名簿!$A$1:$E$65536,4,FALSE))=TRUE,"",VLOOKUP(CONCATENATE($B$9,"_",Q17),選手名簿!$A$1:$E$65536,4,FALSE))</f>
        <v>DF</v>
      </c>
      <c r="S17" s="135" t="str">
        <f>IF(ISERROR(VLOOKUP(CONCATENATE($W$9,"_",T17),選手名簿!$A$1:$E$65536,4,FALSE))=TRUE,"",VLOOKUP(CONCATENATE($W$9,"_",T17),選手名簿!$A$1:$E$65536,4,FALSE))</f>
        <v>DF</v>
      </c>
      <c r="T17" s="156">
        <v>3</v>
      </c>
      <c r="U17" s="944" t="str">
        <f>IF(ISERROR(VLOOKUP(CONCATENATE($W$9,"_",T17),選手名簿!$A$1:$E$65536,5,FALSE))=TRUE,"",VLOOKUP(CONCATENATE($W$9,"_",T17),選手名簿!$A$1:$E$65536,5,FALSE))</f>
        <v>岩尾　藍輝</v>
      </c>
      <c r="V17" s="945"/>
      <c r="W17" s="945"/>
      <c r="X17" s="945"/>
      <c r="Y17" s="946"/>
      <c r="Z17" s="133">
        <f>IF(ISERROR(VLOOKUP(CONCATENATE($W$9,"_",T17),選手名簿!$A$1:$G$65536,7,FALSE))=TRUE,"",VLOOKUP(CONCATENATE($W$9,"_",T17),選手名簿!$A$1:$G$65536,7,FALSE))</f>
        <v>6</v>
      </c>
      <c r="AA17" s="116"/>
      <c r="AB17" s="131"/>
      <c r="AC17" s="116"/>
      <c r="AD17" s="131"/>
      <c r="AE17" s="116"/>
      <c r="AF17" s="131"/>
      <c r="AG17" s="116"/>
      <c r="AH17" s="131"/>
      <c r="AI17" s="136"/>
      <c r="AJ17" s="117">
        <f t="shared" si="1"/>
        <v>0</v>
      </c>
      <c r="AP17" s="99"/>
      <c r="AQ17" s="99"/>
      <c r="AR17" s="99"/>
      <c r="AS17" s="99"/>
      <c r="AT17" s="99"/>
      <c r="AX17" s="97"/>
      <c r="AY17" s="99"/>
      <c r="AZ17" s="99"/>
      <c r="BA17" s="99"/>
      <c r="BB17" s="97"/>
    </row>
    <row r="18" spans="1:56" s="132" customFormat="1" ht="20.149999999999999" customHeight="1" x14ac:dyDescent="0.45">
      <c r="A18" s="130"/>
      <c r="B18" s="131">
        <f t="shared" si="0"/>
        <v>0</v>
      </c>
      <c r="C18" s="116"/>
      <c r="E18" s="116"/>
      <c r="F18" s="131"/>
      <c r="G18" s="116"/>
      <c r="H18" s="131"/>
      <c r="I18" s="116"/>
      <c r="J18" s="131"/>
      <c r="K18" s="133">
        <f>IF(ISERROR(VLOOKUP(CONCATENATE($B$9,"_",Q18),選手名簿!$A$1:$G$65536,7,FALSE))=TRUE,"",VLOOKUP(CONCATENATE($B$9,"_",Q18),選手名簿!$A$1:$G$65536,7,FALSE))</f>
        <v>6</v>
      </c>
      <c r="L18" s="944" t="str">
        <f>IF(ISERROR(VLOOKUP(CONCATENATE($B$9,"_",Q18),選手名簿!$A$1:$E$65536,5,FALSE))=TRUE,"",VLOOKUP(CONCATENATE($B$9,"_",Q18),選手名簿!$A$1:$E$65536,5,FALSE))</f>
        <v>秋月　太一</v>
      </c>
      <c r="M18" s="945"/>
      <c r="N18" s="945"/>
      <c r="O18" s="945"/>
      <c r="P18" s="946"/>
      <c r="Q18" s="157">
        <v>5</v>
      </c>
      <c r="R18" s="134" t="str">
        <f>IF(ISERROR(VLOOKUP(CONCATENATE($B$9,"_",Q18),選手名簿!$A$1:$E$65536,4,FALSE))=TRUE,"",VLOOKUP(CONCATENATE($B$9,"_",Q18),選手名簿!$A$1:$E$65536,4,FALSE))</f>
        <v>DF</v>
      </c>
      <c r="S18" s="135" t="str">
        <f>IF(ISERROR(VLOOKUP(CONCATENATE($W$9,"_",T18),選手名簿!$A$1:$E$65536,4,FALSE))=TRUE,"",VLOOKUP(CONCATENATE($W$9,"_",T18),選手名簿!$A$1:$E$65536,4,FALSE))</f>
        <v>DF</v>
      </c>
      <c r="T18" s="156">
        <v>11</v>
      </c>
      <c r="U18" s="944" t="str">
        <f>IF(ISERROR(VLOOKUP(CONCATENATE($W$9,"_",T18),選手名簿!$A$1:$E$65536,5,FALSE))=TRUE,"",VLOOKUP(CONCATENATE($W$9,"_",T18),選手名簿!$A$1:$E$65536,5,FALSE))</f>
        <v>宮田　柊真</v>
      </c>
      <c r="V18" s="945"/>
      <c r="W18" s="945"/>
      <c r="X18" s="945"/>
      <c r="Y18" s="946"/>
      <c r="Z18" s="133">
        <f>IF(ISERROR(VLOOKUP(CONCATENATE($W$9,"_",T18),選手名簿!$A$1:$G$65536,7,FALSE))=TRUE,"",VLOOKUP(CONCATENATE($W$9,"_",T18),選手名簿!$A$1:$G$65536,7,FALSE))</f>
        <v>6</v>
      </c>
      <c r="AA18" s="116"/>
      <c r="AB18" s="131"/>
      <c r="AC18" s="116"/>
      <c r="AD18" s="131"/>
      <c r="AE18" s="116"/>
      <c r="AF18" s="131"/>
      <c r="AG18" s="116"/>
      <c r="AH18" s="131"/>
      <c r="AI18" s="136"/>
      <c r="AJ18" s="117">
        <f t="shared" si="1"/>
        <v>0</v>
      </c>
      <c r="AN18" s="97"/>
      <c r="AO18" s="97"/>
      <c r="AP18" s="99"/>
      <c r="AQ18" s="99"/>
      <c r="AR18" s="99"/>
      <c r="AS18" s="99"/>
      <c r="AT18" s="99"/>
      <c r="AU18" s="97"/>
      <c r="AV18" s="97"/>
      <c r="AW18" s="97"/>
      <c r="AX18" s="97"/>
      <c r="AY18" s="99"/>
      <c r="AZ18" s="99"/>
      <c r="BA18" s="99"/>
      <c r="BB18" s="97"/>
      <c r="BC18" s="97"/>
      <c r="BD18" s="97"/>
    </row>
    <row r="19" spans="1:56" s="132" customFormat="1" ht="20.149999999999999" customHeight="1" x14ac:dyDescent="0.45">
      <c r="A19" s="130"/>
      <c r="B19" s="131">
        <f t="shared" si="0"/>
        <v>1</v>
      </c>
      <c r="C19" s="137"/>
      <c r="D19" s="131"/>
      <c r="E19" s="116"/>
      <c r="F19" s="131"/>
      <c r="G19" s="116"/>
      <c r="H19" s="131">
        <v>1</v>
      </c>
      <c r="I19" s="116"/>
      <c r="J19" s="131"/>
      <c r="K19" s="133">
        <f>IF(ISERROR(VLOOKUP(CONCATENATE($B$9,"_",Q19),選手名簿!$A$1:$G$65536,7,FALSE))=TRUE,"",VLOOKUP(CONCATENATE($B$9,"_",Q19),選手名簿!$A$1:$G$65536,7,FALSE))</f>
        <v>5</v>
      </c>
      <c r="L19" s="944" t="str">
        <f>IF(ISERROR(VLOOKUP(CONCATENATE($B$9,"_",Q19),選手名簿!$A$1:$E$65536,5,FALSE))=TRUE,"",VLOOKUP(CONCATENATE($B$9,"_",Q19),選手名簿!$A$1:$E$65536,5,FALSE))</f>
        <v>篠原　朝來</v>
      </c>
      <c r="M19" s="945"/>
      <c r="N19" s="945"/>
      <c r="O19" s="945"/>
      <c r="P19" s="946"/>
      <c r="Q19" s="157">
        <v>7</v>
      </c>
      <c r="R19" s="134" t="str">
        <f>IF(ISERROR(VLOOKUP(CONCATENATE($B$9,"_",Q19),選手名簿!$A$1:$E$65536,4,FALSE))=TRUE,"",VLOOKUP(CONCATENATE($B$9,"_",Q19),選手名簿!$A$1:$E$65536,4,FALSE))</f>
        <v>MF</v>
      </c>
      <c r="S19" s="135" t="str">
        <f>IF(ISERROR(VLOOKUP(CONCATENATE($W$9,"_",T19),選手名簿!$A$1:$E$65536,4,FALSE))=TRUE,"",VLOOKUP(CONCATENATE($W$9,"_",T19),選手名簿!$A$1:$E$65536,4,FALSE))</f>
        <v>MF</v>
      </c>
      <c r="T19" s="156">
        <v>5</v>
      </c>
      <c r="U19" s="944" t="str">
        <f>IF(ISERROR(VLOOKUP(CONCATENATE($W$9,"_",T19),選手名簿!$A$1:$E$65536,5,FALSE))=TRUE,"",VLOOKUP(CONCATENATE($W$9,"_",T19),選手名簿!$A$1:$E$65536,5,FALSE))</f>
        <v>桑原　匡輝</v>
      </c>
      <c r="V19" s="945"/>
      <c r="W19" s="945"/>
      <c r="X19" s="945"/>
      <c r="Y19" s="946"/>
      <c r="Z19" s="133">
        <f>IF(ISERROR(VLOOKUP(CONCATENATE($W$9,"_",T19),選手名簿!$A$1:$G$65536,7,FALSE))=TRUE,"",VLOOKUP(CONCATENATE($W$9,"_",T19),選手名簿!$A$1:$G$65536,7,FALSE))</f>
        <v>6</v>
      </c>
      <c r="AA19" s="116"/>
      <c r="AB19" s="131"/>
      <c r="AC19" s="116"/>
      <c r="AD19" s="131"/>
      <c r="AE19" s="116"/>
      <c r="AF19" s="131"/>
      <c r="AG19" s="116"/>
      <c r="AH19" s="131"/>
      <c r="AI19" s="136"/>
      <c r="AJ19" s="117">
        <f t="shared" si="1"/>
        <v>0</v>
      </c>
      <c r="AN19" s="97"/>
      <c r="AO19" s="97"/>
      <c r="AP19" s="99"/>
      <c r="AQ19" s="99"/>
      <c r="AR19" s="99"/>
      <c r="AS19" s="99"/>
      <c r="AT19" s="99"/>
      <c r="AU19" s="97"/>
      <c r="AV19" s="97"/>
      <c r="AW19" s="97"/>
      <c r="AX19" s="97"/>
      <c r="AY19" s="99"/>
      <c r="AZ19" s="99"/>
      <c r="BA19" s="99"/>
      <c r="BB19" s="97"/>
      <c r="BC19" s="97"/>
      <c r="BD19" s="97"/>
    </row>
    <row r="20" spans="1:56" s="132" customFormat="1" ht="20.149999999999999" customHeight="1" x14ac:dyDescent="0.45">
      <c r="A20" s="130"/>
      <c r="B20" s="131">
        <f t="shared" si="0"/>
        <v>0</v>
      </c>
      <c r="C20" s="137"/>
      <c r="D20" s="138"/>
      <c r="E20" s="116"/>
      <c r="F20" s="131"/>
      <c r="G20" s="116"/>
      <c r="H20" s="136"/>
      <c r="I20" s="116"/>
      <c r="J20" s="131"/>
      <c r="K20" s="133">
        <f>IF(ISERROR(VLOOKUP(CONCATENATE($B$9,"_",Q20),選手名簿!$A$1:$G$65536,7,FALSE))=TRUE,"",VLOOKUP(CONCATENATE($B$9,"_",Q20),選手名簿!$A$1:$G$65536,7,FALSE))</f>
        <v>4</v>
      </c>
      <c r="L20" s="944" t="str">
        <f>IF(ISERROR(VLOOKUP(CONCATENATE($B$9,"_",Q20),選手名簿!$A$1:$E$65536,5,FALSE))=TRUE,"",VLOOKUP(CONCATENATE($B$9,"_",Q20),選手名簿!$A$1:$E$65536,5,FALSE))</f>
        <v>田邉　結大</v>
      </c>
      <c r="M20" s="945"/>
      <c r="N20" s="945"/>
      <c r="O20" s="945"/>
      <c r="P20" s="946"/>
      <c r="Q20" s="157">
        <v>8</v>
      </c>
      <c r="R20" s="134" t="str">
        <f>IF(ISERROR(VLOOKUP(CONCATENATE($B$9,"_",Q20),選手名簿!$A$1:$E$65536,4,FALSE))=TRUE,"",VLOOKUP(CONCATENATE($B$9,"_",Q20),選手名簿!$A$1:$E$65536,4,FALSE))</f>
        <v>MF</v>
      </c>
      <c r="S20" s="135" t="str">
        <f>IF(ISERROR(VLOOKUP(CONCATENATE($W$9,"_",T20),選手名簿!$A$1:$E$65536,4,FALSE))=TRUE,"",VLOOKUP(CONCATENATE($W$9,"_",T20),選手名簿!$A$1:$E$65536,4,FALSE))</f>
        <v>MF</v>
      </c>
      <c r="T20" s="156">
        <v>6</v>
      </c>
      <c r="U20" s="944" t="str">
        <f>IF(ISERROR(VLOOKUP(CONCATENATE($W$9,"_",T20),選手名簿!$A$1:$E$65536,5,FALSE))=TRUE,"",VLOOKUP(CONCATENATE($W$9,"_",T20),選手名簿!$A$1:$E$65536,5,FALSE))</f>
        <v>平川　雄惺</v>
      </c>
      <c r="V20" s="945"/>
      <c r="W20" s="945"/>
      <c r="X20" s="945"/>
      <c r="Y20" s="946"/>
      <c r="Z20" s="133">
        <f>IF(ISERROR(VLOOKUP(CONCATENATE($W$9,"_",T20),選手名簿!$A$1:$G$65536,7,FALSE))=TRUE,"",VLOOKUP(CONCATENATE($W$9,"_",T20),選手名簿!$A$1:$G$65536,7,FALSE))</f>
        <v>6</v>
      </c>
      <c r="AA20" s="116"/>
      <c r="AB20" s="131"/>
      <c r="AC20" s="116"/>
      <c r="AD20" s="131"/>
      <c r="AE20" s="116"/>
      <c r="AF20" s="131"/>
      <c r="AG20" s="116"/>
      <c r="AH20" s="131"/>
      <c r="AI20" s="136"/>
      <c r="AJ20" s="117">
        <f t="shared" si="1"/>
        <v>0</v>
      </c>
      <c r="AN20" s="97"/>
      <c r="AO20" s="97"/>
      <c r="AP20" s="99"/>
      <c r="AQ20" s="99"/>
      <c r="AR20" s="99"/>
      <c r="AS20" s="99"/>
      <c r="AT20" s="99"/>
      <c r="AU20" s="97"/>
      <c r="AV20" s="97"/>
      <c r="AW20" s="97"/>
      <c r="AX20" s="97"/>
      <c r="AY20" s="99"/>
      <c r="AZ20" s="99"/>
      <c r="BA20" s="99"/>
      <c r="BB20" s="97"/>
      <c r="BC20" s="97"/>
      <c r="BD20" s="97"/>
    </row>
    <row r="21" spans="1:56" s="132" customFormat="1" ht="20.149999999999999" customHeight="1" x14ac:dyDescent="0.45">
      <c r="A21" s="139"/>
      <c r="B21" s="131">
        <f t="shared" si="0"/>
        <v>0</v>
      </c>
      <c r="C21" s="137"/>
      <c r="D21" s="138"/>
      <c r="E21" s="116"/>
      <c r="F21" s="131"/>
      <c r="G21" s="101"/>
      <c r="H21" s="140"/>
      <c r="I21" s="101"/>
      <c r="J21" s="140"/>
      <c r="K21" s="133">
        <f>IF(ISERROR(VLOOKUP(CONCATENATE($B$9,"_",Q21),選手名簿!$A$1:$G$65536,7,FALSE))=TRUE,"",VLOOKUP(CONCATENATE($B$9,"_",Q21),選手名簿!$A$1:$G$65536,7,FALSE))</f>
        <v>6</v>
      </c>
      <c r="L21" s="944" t="str">
        <f>IF(ISERROR(VLOOKUP(CONCATENATE($B$9,"_",Q21),選手名簿!$A$1:$E$65536,5,FALSE))=TRUE,"",VLOOKUP(CONCATENATE($B$9,"_",Q21),選手名簿!$A$1:$E$65536,5,FALSE))</f>
        <v>甲斐　凛太郎</v>
      </c>
      <c r="M21" s="945"/>
      <c r="N21" s="945"/>
      <c r="O21" s="945"/>
      <c r="P21" s="946"/>
      <c r="Q21" s="157">
        <v>14</v>
      </c>
      <c r="R21" s="134" t="str">
        <f>IF(ISERROR(VLOOKUP(CONCATENATE($B$9,"_",Q21),選手名簿!$A$1:$E$65536,4,FALSE))=TRUE,"",VLOOKUP(CONCATENATE($B$9,"_",Q21),選手名簿!$A$1:$E$65536,4,FALSE))</f>
        <v>MF</v>
      </c>
      <c r="S21" s="135" t="str">
        <f>IF(ISERROR(VLOOKUP(CONCATENATE($W$9,"_",T21),選手名簿!$A$1:$E$65536,4,FALSE))=TRUE,"",VLOOKUP(CONCATENATE($W$9,"_",T21),選手名簿!$A$1:$E$65536,4,FALSE))</f>
        <v>MF</v>
      </c>
      <c r="T21" s="156">
        <v>9</v>
      </c>
      <c r="U21" s="944" t="str">
        <f>IF(ISERROR(VLOOKUP(CONCATENATE($W$9,"_",T21),選手名簿!$A$1:$E$65536,5,FALSE))=TRUE,"",VLOOKUP(CONCATENATE($W$9,"_",T21),選手名簿!$A$1:$E$65536,5,FALSE))</f>
        <v>得丸　裕我</v>
      </c>
      <c r="V21" s="945"/>
      <c r="W21" s="945"/>
      <c r="X21" s="945"/>
      <c r="Y21" s="946"/>
      <c r="Z21" s="133">
        <f>IF(ISERROR(VLOOKUP(CONCATENATE($W$9,"_",T21),選手名簿!$A$1:$G$65536,7,FALSE))=TRUE,"",VLOOKUP(CONCATENATE($W$9,"_",T21),選手名簿!$A$1:$G$65536,7,FALSE))</f>
        <v>6</v>
      </c>
      <c r="AA21" s="101"/>
      <c r="AB21" s="140"/>
      <c r="AC21" s="101"/>
      <c r="AD21" s="140">
        <v>1</v>
      </c>
      <c r="AE21" s="116"/>
      <c r="AF21" s="140"/>
      <c r="AG21" s="116"/>
      <c r="AH21" s="140"/>
      <c r="AI21" s="136"/>
      <c r="AJ21" s="117">
        <f t="shared" si="1"/>
        <v>1</v>
      </c>
      <c r="AN21" s="97"/>
      <c r="AO21" s="97"/>
      <c r="AP21" s="99"/>
      <c r="AQ21" s="99"/>
      <c r="AR21" s="99"/>
      <c r="AS21" s="99"/>
      <c r="AT21" s="99"/>
      <c r="AU21" s="97"/>
      <c r="AV21" s="97"/>
      <c r="AW21" s="97"/>
      <c r="AX21" s="97"/>
      <c r="AY21" s="99"/>
      <c r="AZ21" s="99"/>
      <c r="BA21" s="99"/>
      <c r="BB21" s="97"/>
      <c r="BC21" s="97"/>
      <c r="BD21" s="97"/>
    </row>
    <row r="22" spans="1:56" s="132" customFormat="1" ht="20.149999999999999" customHeight="1" x14ac:dyDescent="0.45">
      <c r="A22" s="139"/>
      <c r="B22" s="131">
        <f t="shared" si="0"/>
        <v>2</v>
      </c>
      <c r="C22" s="116"/>
      <c r="D22" s="131"/>
      <c r="E22" s="116"/>
      <c r="F22" s="131"/>
      <c r="G22" s="116" t="s">
        <v>11918</v>
      </c>
      <c r="H22" s="131">
        <v>1</v>
      </c>
      <c r="I22" s="116" t="s">
        <v>11918</v>
      </c>
      <c r="J22" s="131">
        <v>1</v>
      </c>
      <c r="K22" s="133">
        <f>IF(ISERROR(VLOOKUP(CONCATENATE($B$9,"_",Q22),選手名簿!$A$1:$G$65536,7,FALSE))=TRUE,"",VLOOKUP(CONCATENATE($B$9,"_",Q22),選手名簿!$A$1:$G$65536,7,FALSE))</f>
        <v>6</v>
      </c>
      <c r="L22" s="944" t="str">
        <f>IF(ISERROR(VLOOKUP(CONCATENATE($B$9,"_",Q22),選手名簿!$A$1:$E$65536,5,FALSE))=TRUE,"",VLOOKUP(CONCATENATE($B$9,"_",Q22),選手名簿!$A$1:$E$65536,5,FALSE))</f>
        <v>佐々木　陸</v>
      </c>
      <c r="M22" s="945"/>
      <c r="N22" s="945"/>
      <c r="O22" s="945"/>
      <c r="P22" s="946"/>
      <c r="Q22" s="157">
        <v>10</v>
      </c>
      <c r="R22" s="134" t="str">
        <f>IF(ISERROR(VLOOKUP(CONCATENATE($B$9,"_",Q22),選手名簿!$A$1:$E$65536,4,FALSE))=TRUE,"",VLOOKUP(CONCATENATE($B$9,"_",Q22),選手名簿!$A$1:$E$65536,4,FALSE))</f>
        <v>FW</v>
      </c>
      <c r="S22" s="135" t="str">
        <f>IF(ISERROR(VLOOKUP(CONCATENATE($W$9,"_",T22),選手名簿!$A$1:$E$65536,4,FALSE))=TRUE,"",VLOOKUP(CONCATENATE($W$9,"_",T22),選手名簿!$A$1:$E$65536,4,FALSE))</f>
        <v>FW</v>
      </c>
      <c r="T22" s="156">
        <v>7</v>
      </c>
      <c r="U22" s="944" t="str">
        <f>IF(ISERROR(VLOOKUP(CONCATENATE($W$9,"_",T22),選手名簿!$A$1:$E$65536,5,FALSE))=TRUE,"",VLOOKUP(CONCATENATE($W$9,"_",T22),選手名簿!$A$1:$E$65536,5,FALSE))</f>
        <v>下瀬　魁莉</v>
      </c>
      <c r="V22" s="945"/>
      <c r="W22" s="945"/>
      <c r="X22" s="945"/>
      <c r="Y22" s="946"/>
      <c r="Z22" s="133">
        <f>IF(ISERROR(VLOOKUP(CONCATENATE($W$9,"_",T22),選手名簿!$A$1:$G$65536,7,FALSE))=TRUE,"",VLOOKUP(CONCATENATE($W$9,"_",T22),選手名簿!$A$1:$G$65536,7,FALSE))</f>
        <v>6</v>
      </c>
      <c r="AA22" s="116"/>
      <c r="AB22" s="131"/>
      <c r="AC22" s="116"/>
      <c r="AD22" s="131">
        <v>1</v>
      </c>
      <c r="AE22" s="116"/>
      <c r="AF22" s="131"/>
      <c r="AG22" s="116"/>
      <c r="AH22" s="131"/>
      <c r="AI22" s="136"/>
      <c r="AJ22" s="117">
        <f t="shared" si="1"/>
        <v>1</v>
      </c>
      <c r="AN22" s="97"/>
      <c r="AO22" s="97"/>
      <c r="AP22" s="99"/>
      <c r="AQ22" s="99"/>
      <c r="AR22" s="99"/>
      <c r="AS22" s="99"/>
      <c r="AT22" s="99"/>
      <c r="AU22" s="97"/>
      <c r="AV22" s="97"/>
      <c r="AW22" s="97"/>
      <c r="AX22" s="97"/>
      <c r="AY22" s="99"/>
      <c r="AZ22" s="99"/>
      <c r="BA22" s="99"/>
      <c r="BB22" s="97"/>
      <c r="BC22" s="97"/>
      <c r="BD22" s="97"/>
    </row>
    <row r="23" spans="1:56" s="132" customFormat="1" ht="20.149999999999999" customHeight="1" x14ac:dyDescent="0.45">
      <c r="A23" s="130"/>
      <c r="B23" s="131">
        <f t="shared" si="0"/>
        <v>2</v>
      </c>
      <c r="C23" s="116"/>
      <c r="D23" s="131"/>
      <c r="E23" s="116"/>
      <c r="F23" s="131"/>
      <c r="G23" s="116" t="s">
        <v>11918</v>
      </c>
      <c r="H23" s="131">
        <v>1</v>
      </c>
      <c r="I23" s="116"/>
      <c r="J23" s="131">
        <v>1</v>
      </c>
      <c r="K23" s="133">
        <f>IF(ISERROR(VLOOKUP(CONCATENATE($B$9,"_",Q23),選手名簿!$A$1:$G$65536,7,FALSE))=TRUE,"",VLOOKUP(CONCATENATE($B$9,"_",Q23),選手名簿!$A$1:$G$65536,7,FALSE))</f>
        <v>6</v>
      </c>
      <c r="L23" s="944" t="str">
        <f>IF(ISERROR(VLOOKUP(CONCATENATE($B$9,"_",Q23),選手名簿!$A$1:$E$65536,5,FALSE))=TRUE,"",VLOOKUP(CONCATENATE($B$9,"_",Q23),選手名簿!$A$1:$E$65536,5,FALSE))</f>
        <v>横山　成毅</v>
      </c>
      <c r="M23" s="945"/>
      <c r="N23" s="945"/>
      <c r="O23" s="945"/>
      <c r="P23" s="946"/>
      <c r="Q23" s="157">
        <v>11</v>
      </c>
      <c r="R23" s="134" t="str">
        <f>IF(ISERROR(VLOOKUP(CONCATENATE($B$9,"_",Q23),選手名簿!$A$1:$E$65536,4,FALSE))=TRUE,"",VLOOKUP(CONCATENATE($B$9,"_",Q23),選手名簿!$A$1:$E$65536,4,FALSE))</f>
        <v>FW</v>
      </c>
      <c r="S23" s="135" t="str">
        <f>IF(ISERROR(VLOOKUP(CONCATENATE($W$9,"_",T23),選手名簿!$A$1:$E$65536,4,FALSE))=TRUE,"",VLOOKUP(CONCATENATE($W$9,"_",T23),選手名簿!$A$1:$E$65536,4,FALSE))</f>
        <v>FW</v>
      </c>
      <c r="T23" s="156">
        <v>10</v>
      </c>
      <c r="U23" s="944" t="str">
        <f>IF(ISERROR(VLOOKUP(CONCATENATE($W$9,"_",T23),選手名簿!$A$1:$E$65536,5,FALSE))=TRUE,"",VLOOKUP(CONCATENATE($W$9,"_",T23),選手名簿!$A$1:$E$65536,5,FALSE))</f>
        <v>間　隆成</v>
      </c>
      <c r="V23" s="945"/>
      <c r="W23" s="945"/>
      <c r="X23" s="945"/>
      <c r="Y23" s="946"/>
      <c r="Z23" s="133">
        <f>IF(ISERROR(VLOOKUP(CONCATENATE($W$9,"_",T23),選手名簿!$A$1:$G$65536,7,FALSE))=TRUE,"",VLOOKUP(CONCATENATE($W$9,"_",T23),選手名簿!$A$1:$G$65536,7,FALSE))</f>
        <v>6</v>
      </c>
      <c r="AA23" s="116" t="s">
        <v>11918</v>
      </c>
      <c r="AB23" s="131">
        <v>1</v>
      </c>
      <c r="AC23" s="116"/>
      <c r="AD23" s="131"/>
      <c r="AE23" s="116"/>
      <c r="AF23" s="131"/>
      <c r="AG23" s="116"/>
      <c r="AH23" s="131"/>
      <c r="AI23" s="136"/>
      <c r="AJ23" s="117">
        <f t="shared" si="1"/>
        <v>1</v>
      </c>
      <c r="AN23" s="97"/>
      <c r="AO23" s="97"/>
      <c r="AP23" s="99"/>
      <c r="AQ23" s="99"/>
      <c r="AR23" s="99"/>
      <c r="AS23" s="99"/>
      <c r="AT23" s="99"/>
      <c r="AU23" s="97"/>
      <c r="AV23" s="97"/>
      <c r="AW23" s="97"/>
      <c r="AX23" s="97"/>
      <c r="AY23" s="99"/>
      <c r="AZ23" s="99"/>
      <c r="BA23" s="99"/>
      <c r="BB23" s="97"/>
      <c r="BC23" s="97"/>
      <c r="BD23" s="97"/>
    </row>
    <row r="24" spans="1:56" s="132" customFormat="1" ht="20.149999999999999" customHeight="1" x14ac:dyDescent="0.45">
      <c r="A24" s="139"/>
      <c r="B24" s="141"/>
      <c r="C24" s="141"/>
      <c r="D24" s="141"/>
      <c r="E24" s="141"/>
      <c r="F24" s="141"/>
      <c r="G24" s="141"/>
      <c r="H24" s="141"/>
      <c r="I24" s="141"/>
      <c r="J24" s="141"/>
      <c r="K24" s="141"/>
      <c r="L24" s="141"/>
      <c r="M24" s="141"/>
      <c r="N24" s="141"/>
      <c r="O24" s="141"/>
      <c r="P24" s="141"/>
      <c r="Q24" s="947" t="s">
        <v>2017</v>
      </c>
      <c r="R24" s="947"/>
      <c r="S24" s="947"/>
      <c r="T24" s="947"/>
      <c r="U24" s="141"/>
      <c r="V24" s="141"/>
      <c r="W24" s="141"/>
      <c r="X24" s="141"/>
      <c r="Y24" s="141"/>
      <c r="Z24" s="141"/>
      <c r="AA24" s="141"/>
      <c r="AB24" s="141"/>
      <c r="AC24" s="141"/>
      <c r="AD24" s="141"/>
      <c r="AE24" s="141"/>
      <c r="AF24" s="141"/>
      <c r="AG24" s="141"/>
      <c r="AH24" s="141"/>
      <c r="AI24" s="141"/>
      <c r="AJ24" s="142"/>
      <c r="AN24" s="97"/>
      <c r="AO24" s="97"/>
      <c r="AP24" s="99"/>
      <c r="AQ24" s="99"/>
      <c r="AR24" s="99"/>
      <c r="AS24" s="99"/>
      <c r="AT24" s="99"/>
      <c r="AU24" s="97"/>
      <c r="AV24" s="97"/>
      <c r="AW24" s="97"/>
      <c r="AX24" s="97"/>
      <c r="AY24" s="99"/>
      <c r="AZ24" s="99"/>
      <c r="BA24" s="99"/>
      <c r="BB24" s="97"/>
      <c r="BC24" s="97"/>
      <c r="BD24" s="97"/>
    </row>
    <row r="25" spans="1:56" s="132" customFormat="1" ht="20.149999999999999" customHeight="1" x14ac:dyDescent="0.45">
      <c r="A25" s="130"/>
      <c r="B25" s="131">
        <f t="shared" ref="B25:B32" si="2">SUM(D25,F25,H25,J25)</f>
        <v>0</v>
      </c>
      <c r="C25" s="102"/>
      <c r="E25" s="116"/>
      <c r="G25" s="116"/>
      <c r="H25" s="131"/>
      <c r="I25" s="116"/>
      <c r="J25" s="131"/>
      <c r="K25" s="133">
        <f>IF(ISERROR(VLOOKUP(CONCATENATE($B$9,"_",Q25),選手名簿!$A$1:$G$65536,7,FALSE))=TRUE,"",VLOOKUP(CONCATENATE($B$9,"_",Q25),選手名簿!$A$1:$G$65536,7,FALSE))</f>
        <v>6</v>
      </c>
      <c r="L25" s="944" t="str">
        <f>IF(ISERROR(VLOOKUP(CONCATENATE($B$9,"_",Q25),選手名簿!$A$1:$E$65536,5,FALSE))=TRUE,"",VLOOKUP(CONCATENATE($B$9,"_",Q25),選手名簿!$A$1:$E$65536,5,FALSE))</f>
        <v>安元　伊月</v>
      </c>
      <c r="M25" s="945"/>
      <c r="N25" s="945"/>
      <c r="O25" s="945"/>
      <c r="P25" s="946"/>
      <c r="Q25" s="157">
        <v>2</v>
      </c>
      <c r="R25" s="134" t="str">
        <f>IF(ISERROR(VLOOKUP(CONCATENATE($B$9,"_",Q25),選手名簿!$A$1:$E$65536,4,FALSE))=TRUE,"",VLOOKUP(CONCATENATE($B$9,"_",Q25),選手名簿!$A$1:$E$65536,4,FALSE))</f>
        <v>DF</v>
      </c>
      <c r="S25" s="135" t="str">
        <f>IF(ISERROR(VLOOKUP(CONCATENATE($W$9,"_",T25),選手名簿!$A$1:$E$65536,4,FALSE))=TRUE,"",VLOOKUP(CONCATENATE($W$9,"_",T25),選手名簿!$A$1:$E$65536,4,FALSE))</f>
        <v>MF</v>
      </c>
      <c r="T25" s="156">
        <v>2</v>
      </c>
      <c r="U25" s="944" t="str">
        <f>IF(ISERROR(VLOOKUP(CONCATENATE($W$9,"_",T25),選手名簿!$A$1:$E$65536,5,FALSE))=TRUE,"",VLOOKUP(CONCATENATE($W$9,"_",T25),選手名簿!$A$1:$E$65536,5,FALSE))</f>
        <v>安部　恭吾</v>
      </c>
      <c r="V25" s="945"/>
      <c r="W25" s="945"/>
      <c r="X25" s="945"/>
      <c r="Y25" s="946"/>
      <c r="Z25" s="133">
        <f>IF(ISERROR(VLOOKUP(CONCATENATE($W$9,"_",T25),選手名簿!$A$1:$G$65536,7,FALSE))=TRUE,"",VLOOKUP(CONCATENATE($W$9,"_",T25),選手名簿!$A$1:$G$65536,7,FALSE))</f>
        <v>6</v>
      </c>
      <c r="AA25" s="116"/>
      <c r="AB25" s="131"/>
      <c r="AC25" s="116"/>
      <c r="AD25" s="131"/>
      <c r="AE25" s="116"/>
      <c r="AF25" s="131"/>
      <c r="AG25" s="116"/>
      <c r="AH25" s="131"/>
      <c r="AI25" s="136"/>
      <c r="AJ25" s="117">
        <f t="shared" ref="AJ25:AJ32" si="3">SUM(AB25,AD25,AF25,AH25)</f>
        <v>0</v>
      </c>
      <c r="AN25" s="97"/>
      <c r="AO25" s="97"/>
      <c r="AP25" s="99"/>
      <c r="AQ25" s="99"/>
      <c r="AR25" s="99"/>
      <c r="AS25" s="99"/>
      <c r="AT25" s="99"/>
      <c r="AU25" s="97"/>
      <c r="AV25" s="97"/>
      <c r="AW25" s="97"/>
      <c r="AX25" s="97"/>
      <c r="AY25" s="99"/>
      <c r="AZ25" s="99"/>
      <c r="BA25" s="99"/>
      <c r="BB25" s="97"/>
      <c r="BC25" s="97"/>
      <c r="BD25" s="97"/>
    </row>
    <row r="26" spans="1:56" s="132" customFormat="1" ht="20.149999999999999" customHeight="1" x14ac:dyDescent="0.45">
      <c r="A26" s="130"/>
      <c r="B26" s="131">
        <f t="shared" si="2"/>
        <v>0</v>
      </c>
      <c r="C26" s="116"/>
      <c r="D26" s="136"/>
      <c r="E26" s="116"/>
      <c r="F26" s="136"/>
      <c r="G26" s="116"/>
      <c r="H26" s="131"/>
      <c r="I26" s="116"/>
      <c r="J26" s="131"/>
      <c r="K26" s="133">
        <f>IF(ISERROR(VLOOKUP(CONCATENATE($B$9,"_",Q26),選手名簿!$A$1:$G$65536,7,FALSE))=TRUE,"",VLOOKUP(CONCATENATE($B$9,"_",Q26),選手名簿!$A$1:$G$65536,7,FALSE))</f>
        <v>6</v>
      </c>
      <c r="L26" s="944" t="str">
        <f>IF(ISERROR(VLOOKUP(CONCATENATE($B$9,"_",Q26),選手名簿!$A$1:$E$65536,5,FALSE))=TRUE,"",VLOOKUP(CONCATENATE($B$9,"_",Q26),選手名簿!$A$1:$E$65536,5,FALSE))</f>
        <v>竹尾　蓮司</v>
      </c>
      <c r="M26" s="945"/>
      <c r="N26" s="945"/>
      <c r="O26" s="945"/>
      <c r="P26" s="946"/>
      <c r="Q26" s="157">
        <v>3</v>
      </c>
      <c r="R26" s="134" t="str">
        <f>IF(ISERROR(VLOOKUP(CONCATENATE($B$9,"_",Q26),選手名簿!$A$1:$E$65536,4,FALSE))=TRUE,"",VLOOKUP(CONCATENATE($B$9,"_",Q26),選手名簿!$A$1:$E$65536,4,FALSE))</f>
        <v>DF</v>
      </c>
      <c r="S26" s="135" t="str">
        <f>IF(ISERROR(VLOOKUP(CONCATENATE($W$9,"_",T26),選手名簿!$A$1:$E$65536,4,FALSE))=TRUE,"",VLOOKUP(CONCATENATE($W$9,"_",T26),選手名簿!$A$1:$E$65536,4,FALSE))</f>
        <v>FW</v>
      </c>
      <c r="T26" s="156">
        <v>4</v>
      </c>
      <c r="U26" s="944" t="str">
        <f>IF(ISERROR(VLOOKUP(CONCATENATE($W$9,"_",T26),選手名簿!$A$1:$E$65536,5,FALSE))=TRUE,"",VLOOKUP(CONCATENATE($W$9,"_",T26),選手名簿!$A$1:$E$65536,5,FALSE))</f>
        <v>平岡　双志</v>
      </c>
      <c r="V26" s="945"/>
      <c r="W26" s="945"/>
      <c r="X26" s="945"/>
      <c r="Y26" s="946"/>
      <c r="Z26" s="133">
        <f>IF(ISERROR(VLOOKUP(CONCATENATE($W$9,"_",T26),選手名簿!$A$1:$G$65536,7,FALSE))=TRUE,"",VLOOKUP(CONCATENATE($W$9,"_",T26),選手名簿!$A$1:$G$65536,7,FALSE))</f>
        <v>6</v>
      </c>
      <c r="AA26" s="116"/>
      <c r="AB26" s="131"/>
      <c r="AC26" s="116"/>
      <c r="AD26" s="131"/>
      <c r="AE26" s="116"/>
      <c r="AF26" s="131"/>
      <c r="AG26" s="116"/>
      <c r="AH26" s="131"/>
      <c r="AI26" s="136"/>
      <c r="AJ26" s="117">
        <f t="shared" si="3"/>
        <v>0</v>
      </c>
      <c r="AP26" s="99"/>
      <c r="AQ26" s="99"/>
      <c r="AR26" s="99"/>
      <c r="AS26" s="99"/>
      <c r="AT26" s="99"/>
      <c r="AX26" s="97"/>
      <c r="AY26" s="99"/>
      <c r="AZ26" s="99"/>
      <c r="BA26" s="99"/>
      <c r="BB26" s="97"/>
    </row>
    <row r="27" spans="1:56" s="132" customFormat="1" ht="20.149999999999999" customHeight="1" x14ac:dyDescent="0.45">
      <c r="A27" s="130"/>
      <c r="B27" s="131">
        <f t="shared" si="2"/>
        <v>0</v>
      </c>
      <c r="C27" s="116"/>
      <c r="D27" s="136"/>
      <c r="E27" s="116"/>
      <c r="F27" s="136"/>
      <c r="G27" s="116"/>
      <c r="H27" s="131"/>
      <c r="I27" s="116"/>
      <c r="J27" s="131"/>
      <c r="K27" s="133">
        <f>IF(ISERROR(VLOOKUP(CONCATENATE($B$9,"_",Q27),選手名簿!$A$1:$G$65536,7,FALSE))=TRUE,"",VLOOKUP(CONCATENATE($B$9,"_",Q27),選手名簿!$A$1:$G$65536,7,FALSE))</f>
        <v>6</v>
      </c>
      <c r="L27" s="944" t="str">
        <f>IF(ISERROR(VLOOKUP(CONCATENATE($B$9,"_",Q27),選手名簿!$A$1:$E$65536,5,FALSE))=TRUE,"",VLOOKUP(CONCATENATE($B$9,"_",Q27),選手名簿!$A$1:$E$65536,5,FALSE))</f>
        <v>梅尾　俊介</v>
      </c>
      <c r="M27" s="945"/>
      <c r="N27" s="945"/>
      <c r="O27" s="945"/>
      <c r="P27" s="946"/>
      <c r="Q27" s="157">
        <v>6</v>
      </c>
      <c r="R27" s="134" t="str">
        <f>IF(ISERROR(VLOOKUP(CONCATENATE($B$9,"_",Q27),選手名簿!$A$1:$E$65536,4,FALSE))=TRUE,"",VLOOKUP(CONCATENATE($B$9,"_",Q27),選手名簿!$A$1:$E$65536,4,FALSE))</f>
        <v>DF</v>
      </c>
      <c r="S27" s="135" t="str">
        <f>IF(ISERROR(VLOOKUP(CONCATENATE($W$9,"_",T27),選手名簿!$A$1:$E$65536,4,FALSE))=TRUE,"",VLOOKUP(CONCATENATE($W$9,"_",T27),選手名簿!$A$1:$E$65536,4,FALSE))</f>
        <v>MF</v>
      </c>
      <c r="T27" s="156">
        <v>8</v>
      </c>
      <c r="U27" s="944" t="str">
        <f>IF(ISERROR(VLOOKUP(CONCATENATE($W$9,"_",T27),選手名簿!$A$1:$E$65536,5,FALSE))=TRUE,"",VLOOKUP(CONCATENATE($W$9,"_",T27),選手名簿!$A$1:$E$65536,5,FALSE))</f>
        <v>山本　大海</v>
      </c>
      <c r="V27" s="945"/>
      <c r="W27" s="945"/>
      <c r="X27" s="945"/>
      <c r="Y27" s="946"/>
      <c r="Z27" s="133">
        <f>IF(ISERROR(VLOOKUP(CONCATENATE($W$9,"_",T27),選手名簿!$A$1:$G$65536,7,FALSE))=TRUE,"",VLOOKUP(CONCATENATE($W$9,"_",T27),選手名簿!$A$1:$G$65536,7,FALSE))</f>
        <v>6</v>
      </c>
      <c r="AA27" s="116"/>
      <c r="AB27" s="131"/>
      <c r="AC27" s="116"/>
      <c r="AD27" s="131"/>
      <c r="AE27" s="116"/>
      <c r="AF27" s="131"/>
      <c r="AG27" s="116"/>
      <c r="AH27" s="131"/>
      <c r="AI27" s="136"/>
      <c r="AJ27" s="117">
        <f t="shared" si="3"/>
        <v>0</v>
      </c>
      <c r="AN27" s="97"/>
      <c r="AO27" s="97"/>
      <c r="AP27" s="99"/>
      <c r="AQ27" s="99"/>
      <c r="AR27" s="99"/>
      <c r="AS27" s="99"/>
      <c r="AT27" s="99"/>
      <c r="AU27" s="97"/>
      <c r="AV27" s="97"/>
      <c r="AW27" s="97"/>
      <c r="AX27" s="97"/>
      <c r="AY27" s="99"/>
      <c r="AZ27" s="99"/>
      <c r="BA27" s="99"/>
      <c r="BB27" s="97"/>
      <c r="BC27" s="97"/>
      <c r="BD27" s="97"/>
    </row>
    <row r="28" spans="1:56" s="132" customFormat="1" ht="20.149999999999999" customHeight="1" x14ac:dyDescent="0.45">
      <c r="A28" s="130"/>
      <c r="B28" s="131">
        <f t="shared" si="2"/>
        <v>1</v>
      </c>
      <c r="C28" s="116"/>
      <c r="D28" s="136"/>
      <c r="E28" s="116"/>
      <c r="F28" s="136"/>
      <c r="G28" s="116"/>
      <c r="H28" s="131">
        <v>1</v>
      </c>
      <c r="I28" s="116"/>
      <c r="J28" s="131"/>
      <c r="K28" s="133">
        <f>IF(ISERROR(VLOOKUP(CONCATENATE($B$9,"_",Q28),選手名簿!$A$1:$G$65536,7,FALSE))=TRUE,"",VLOOKUP(CONCATENATE($B$9,"_",Q28),選手名簿!$A$1:$G$65536,7,FALSE))</f>
        <v>6</v>
      </c>
      <c r="L28" s="944" t="str">
        <f>IF(ISERROR(VLOOKUP(CONCATENATE($B$9,"_",Q28),選手名簿!$A$1:$E$65536,5,FALSE))=TRUE,"",VLOOKUP(CONCATENATE($B$9,"_",Q28),選手名簿!$A$1:$E$65536,5,FALSE))</f>
        <v>向　一志</v>
      </c>
      <c r="M28" s="945"/>
      <c r="N28" s="945"/>
      <c r="O28" s="945"/>
      <c r="P28" s="946"/>
      <c r="Q28" s="157">
        <v>9</v>
      </c>
      <c r="R28" s="134" t="str">
        <f>IF(ISERROR(VLOOKUP(CONCATENATE($B$9,"_",Q28),選手名簿!$A$1:$E$65536,4,FALSE))=TRUE,"",VLOOKUP(CONCATENATE($B$9,"_",Q28),選手名簿!$A$1:$E$65536,4,FALSE))</f>
        <v>FW</v>
      </c>
      <c r="S28" s="135" t="str">
        <f>IF(ISERROR(VLOOKUP(CONCATENATE($W$9,"_",T28),選手名簿!$A$1:$E$65536,4,FALSE))=TRUE,"",VLOOKUP(CONCATENATE($W$9,"_",T28),選手名簿!$A$1:$E$65536,4,FALSE))</f>
        <v>GK</v>
      </c>
      <c r="T28" s="156">
        <v>12</v>
      </c>
      <c r="U28" s="944" t="str">
        <f>IF(ISERROR(VLOOKUP(CONCATENATE($W$9,"_",T28),選手名簿!$A$1:$E$65536,5,FALSE))=TRUE,"",VLOOKUP(CONCATENATE($W$9,"_",T28),選手名簿!$A$1:$E$65536,5,FALSE))</f>
        <v>亀井　嘉人</v>
      </c>
      <c r="V28" s="945"/>
      <c r="W28" s="945"/>
      <c r="X28" s="945"/>
      <c r="Y28" s="946"/>
      <c r="Z28" s="133">
        <f>IF(ISERROR(VLOOKUP(CONCATENATE($W$9,"_",T28),選手名簿!$A$1:$G$65536,7,FALSE))=TRUE,"",VLOOKUP(CONCATENATE($W$9,"_",T28),選手名簿!$A$1:$G$65536,7,FALSE))</f>
        <v>6</v>
      </c>
      <c r="AA28" s="116"/>
      <c r="AB28" s="131"/>
      <c r="AC28" s="116"/>
      <c r="AD28" s="131"/>
      <c r="AE28" s="116"/>
      <c r="AF28" s="131"/>
      <c r="AG28" s="116"/>
      <c r="AH28" s="131"/>
      <c r="AI28" s="136"/>
      <c r="AJ28" s="117">
        <f t="shared" si="3"/>
        <v>0</v>
      </c>
      <c r="AN28" s="97"/>
      <c r="AO28" s="97"/>
      <c r="AP28" s="99"/>
      <c r="AQ28" s="99"/>
      <c r="AR28" s="99"/>
      <c r="AS28" s="99"/>
      <c r="AT28" s="99"/>
      <c r="AU28" s="97"/>
      <c r="AV28" s="97"/>
      <c r="AW28" s="97"/>
      <c r="AX28" s="97"/>
      <c r="AY28" s="99"/>
      <c r="AZ28" s="99"/>
      <c r="BA28" s="99"/>
      <c r="BB28" s="97"/>
      <c r="BC28" s="97"/>
      <c r="BD28" s="97"/>
    </row>
    <row r="29" spans="1:56" s="132" customFormat="1" ht="20.149999999999999" customHeight="1" x14ac:dyDescent="0.45">
      <c r="A29" s="130"/>
      <c r="B29" s="131">
        <f>SUM(D29,F29,H29,J29)</f>
        <v>0</v>
      </c>
      <c r="C29" s="116"/>
      <c r="D29" s="136"/>
      <c r="E29" s="116"/>
      <c r="F29" s="136"/>
      <c r="G29" s="116"/>
      <c r="H29" s="131"/>
      <c r="I29" s="116"/>
      <c r="J29" s="131"/>
      <c r="K29" s="133">
        <f>IF(ISERROR(VLOOKUP(CONCATENATE($B$9,"_",Q29),選手名簿!$A$1:$G$65536,7,FALSE))=TRUE,"",VLOOKUP(CONCATENATE($B$9,"_",Q29),選手名簿!$A$1:$G$65536,7,FALSE))</f>
        <v>6</v>
      </c>
      <c r="L29" s="944" t="str">
        <f>IF(ISERROR(VLOOKUP(CONCATENATE($B$9,"_",Q29),選手名簿!$A$1:$E$65536,5,FALSE))=TRUE,"",VLOOKUP(CONCATENATE($B$9,"_",Q29),選手名簿!$A$1:$E$65536,5,FALSE))</f>
        <v>岩本　蒼</v>
      </c>
      <c r="M29" s="945"/>
      <c r="N29" s="945"/>
      <c r="O29" s="945"/>
      <c r="P29" s="946"/>
      <c r="Q29" s="157">
        <v>12</v>
      </c>
      <c r="R29" s="134" t="str">
        <f>IF(ISERROR(VLOOKUP(CONCATENATE($B$9,"_",Q29),選手名簿!$A$1:$E$65536,4,FALSE))=TRUE,"",VLOOKUP(CONCATENATE($B$9,"_",Q29),選手名簿!$A$1:$E$65536,4,FALSE))</f>
        <v>DF</v>
      </c>
      <c r="S29" s="135" t="str">
        <f>IF(ISERROR(VLOOKUP(CONCATENATE($W$9,"_",T29),選手名簿!$A$1:$E$65536,4,FALSE))=TRUE,"",VLOOKUP(CONCATENATE($W$9,"_",T29),選手名簿!$A$1:$E$65536,4,FALSE))</f>
        <v>MF</v>
      </c>
      <c r="T29" s="156">
        <v>13</v>
      </c>
      <c r="U29" s="944" t="str">
        <f>IF(ISERROR(VLOOKUP(CONCATENATE($W$9,"_",T29),選手名簿!$A$1:$E$65536,5,FALSE))=TRUE,"",VLOOKUP(CONCATENATE($W$9,"_",T29),選手名簿!$A$1:$E$65536,5,FALSE))</f>
        <v>廣瀬　彩杜</v>
      </c>
      <c r="V29" s="945"/>
      <c r="W29" s="945"/>
      <c r="X29" s="945"/>
      <c r="Y29" s="946"/>
      <c r="Z29" s="133">
        <f>IF(ISERROR(VLOOKUP(CONCATENATE($W$9,"_",T29),選手名簿!$A$1:$G$65536,7,FALSE))=TRUE,"",VLOOKUP(CONCATENATE($W$9,"_",T29),選手名簿!$A$1:$G$65536,7,FALSE))</f>
        <v>5</v>
      </c>
      <c r="AA29" s="116"/>
      <c r="AB29" s="131"/>
      <c r="AC29" s="116"/>
      <c r="AD29" s="131"/>
      <c r="AE29" s="116"/>
      <c r="AF29" s="131"/>
      <c r="AG29" s="116"/>
      <c r="AH29" s="131"/>
      <c r="AI29" s="136"/>
      <c r="AJ29" s="117">
        <f>SUM(AB29,AD29,AF29,AH29)</f>
        <v>0</v>
      </c>
      <c r="AN29" s="97"/>
      <c r="AO29" s="97"/>
      <c r="AP29" s="99"/>
      <c r="AQ29" s="99"/>
      <c r="AR29" s="99"/>
      <c r="AS29" s="99"/>
      <c r="AT29" s="99"/>
      <c r="AU29" s="97"/>
      <c r="AV29" s="97"/>
      <c r="AW29" s="97"/>
      <c r="AX29" s="97"/>
      <c r="AY29" s="99"/>
      <c r="AZ29" s="99"/>
      <c r="BA29" s="99"/>
      <c r="BB29" s="97"/>
      <c r="BC29" s="97"/>
      <c r="BD29" s="97"/>
    </row>
    <row r="30" spans="1:56" s="132" customFormat="1" ht="20.149999999999999" customHeight="1" x14ac:dyDescent="0.45">
      <c r="A30" s="130"/>
      <c r="B30" s="131">
        <f>SUM(D30,F30,H30,J30)</f>
        <v>0</v>
      </c>
      <c r="C30" s="116"/>
      <c r="D30" s="136"/>
      <c r="E30" s="116"/>
      <c r="F30" s="136"/>
      <c r="G30" s="116"/>
      <c r="H30" s="131"/>
      <c r="I30" s="116"/>
      <c r="J30" s="131"/>
      <c r="K30" s="133">
        <f>IF(ISERROR(VLOOKUP(CONCATENATE($B$9,"_",Q30),選手名簿!$A$1:$G$65536,7,FALSE))=TRUE,"",VLOOKUP(CONCATENATE($B$9,"_",Q30),選手名簿!$A$1:$G$65536,7,FALSE))</f>
        <v>6</v>
      </c>
      <c r="L30" s="944" t="str">
        <f>IF(ISERROR(VLOOKUP(CONCATENATE($B$9,"_",Q30),選手名簿!$A$1:$E$65536,5,FALSE))=TRUE,"",VLOOKUP(CONCATENATE($B$9,"_",Q30),選手名簿!$A$1:$E$65536,5,FALSE))</f>
        <v>遠藤　楓牙</v>
      </c>
      <c r="M30" s="945"/>
      <c r="N30" s="945"/>
      <c r="O30" s="945"/>
      <c r="P30" s="946"/>
      <c r="Q30" s="157">
        <v>13</v>
      </c>
      <c r="R30" s="134" t="str">
        <f>IF(ISERROR(VLOOKUP(CONCATENATE($B$9,"_",Q30),選手名簿!$A$1:$E$65536,4,FALSE))=TRUE,"",VLOOKUP(CONCATENATE($B$9,"_",Q30),選手名簿!$A$1:$E$65536,4,FALSE))</f>
        <v>FW</v>
      </c>
      <c r="S30" s="135" t="str">
        <f>IF(ISERROR(VLOOKUP(CONCATENATE($W$9,"_",T30),選手名簿!$A$1:$E$65536,4,FALSE))=TRUE,"",VLOOKUP(CONCATENATE($W$9,"_",T30),選手名簿!$A$1:$E$65536,4,FALSE))</f>
        <v>MF</v>
      </c>
      <c r="T30" s="156">
        <v>14</v>
      </c>
      <c r="U30" s="944" t="str">
        <f>IF(ISERROR(VLOOKUP(CONCATENATE($W$9,"_",T30),選手名簿!$A$1:$E$65536,5,FALSE))=TRUE,"",VLOOKUP(CONCATENATE($W$9,"_",T30),選手名簿!$A$1:$E$65536,5,FALSE))</f>
        <v>宮崎　遼</v>
      </c>
      <c r="V30" s="945"/>
      <c r="W30" s="945"/>
      <c r="X30" s="945"/>
      <c r="Y30" s="946"/>
      <c r="Z30" s="133">
        <f>IF(ISERROR(VLOOKUP(CONCATENATE($W$9,"_",T30),選手名簿!$A$1:$G$65536,7,FALSE))=TRUE,"",VLOOKUP(CONCATENATE($W$9,"_",T30),選手名簿!$A$1:$G$65536,7,FALSE))</f>
        <v>5</v>
      </c>
      <c r="AA30" s="116"/>
      <c r="AB30" s="131"/>
      <c r="AC30" s="116"/>
      <c r="AD30" s="131"/>
      <c r="AE30" s="116"/>
      <c r="AF30" s="131"/>
      <c r="AG30" s="116"/>
      <c r="AH30" s="131"/>
      <c r="AI30" s="136"/>
      <c r="AJ30" s="117">
        <f>SUM(AB30,AD30,AF30,AH30)</f>
        <v>0</v>
      </c>
      <c r="AN30" s="97"/>
      <c r="AO30" s="97"/>
      <c r="AP30" s="99"/>
      <c r="AQ30" s="99"/>
      <c r="AR30" s="99"/>
      <c r="AS30" s="99"/>
      <c r="AT30" s="99"/>
      <c r="AU30" s="97"/>
      <c r="AV30" s="97"/>
      <c r="AW30" s="97"/>
      <c r="AX30" s="97"/>
      <c r="AY30" s="99"/>
      <c r="AZ30" s="99"/>
      <c r="BA30" s="99"/>
      <c r="BB30" s="97"/>
      <c r="BC30" s="97"/>
      <c r="BD30" s="97"/>
    </row>
    <row r="31" spans="1:56" s="132" customFormat="1" ht="20.149999999999999" customHeight="1" x14ac:dyDescent="0.45">
      <c r="A31" s="130"/>
      <c r="B31" s="131">
        <f t="shared" si="2"/>
        <v>0</v>
      </c>
      <c r="C31" s="116"/>
      <c r="D31" s="136"/>
      <c r="E31" s="116"/>
      <c r="F31" s="136"/>
      <c r="G31" s="116"/>
      <c r="H31" s="131"/>
      <c r="I31" s="116"/>
      <c r="J31" s="131"/>
      <c r="K31" s="133">
        <f>IF(ISERROR(VLOOKUP(CONCATENATE($B$9,"_",Q31),選手名簿!$A$1:$G$65536,7,FALSE))=TRUE,"",VLOOKUP(CONCATENATE($B$9,"_",Q31),選手名簿!$A$1:$G$65536,7,FALSE))</f>
        <v>6</v>
      </c>
      <c r="L31" s="944" t="str">
        <f>IF(ISERROR(VLOOKUP(CONCATENATE($B$9,"_",Q31),選手名簿!$A$1:$E$65536,5,FALSE))=TRUE,"",VLOOKUP(CONCATENATE($B$9,"_",Q31),選手名簿!$A$1:$E$65536,5,FALSE))</f>
        <v>小野　琥太郎</v>
      </c>
      <c r="M31" s="945"/>
      <c r="N31" s="945"/>
      <c r="O31" s="945"/>
      <c r="P31" s="946"/>
      <c r="Q31" s="157">
        <v>15</v>
      </c>
      <c r="R31" s="134" t="str">
        <f>IF(ISERROR(VLOOKUP(CONCATENATE($B$9,"_",Q31),選手名簿!$A$1:$E$65536,4,FALSE))=TRUE,"",VLOOKUP(CONCATENATE($B$9,"_",Q31),選手名簿!$A$1:$E$65536,4,FALSE))</f>
        <v>MF</v>
      </c>
      <c r="S31" s="135" t="str">
        <f>IF(ISERROR(VLOOKUP(CONCATENATE($W$9,"_",T31),選手名簿!$A$1:$E$65536,4,FALSE))=TRUE,"",VLOOKUP(CONCATENATE($W$9,"_",T31),選手名簿!$A$1:$E$65536,4,FALSE))</f>
        <v>DF</v>
      </c>
      <c r="T31" s="156">
        <v>15</v>
      </c>
      <c r="U31" s="944" t="str">
        <f>IF(ISERROR(VLOOKUP(CONCATENATE($W$9,"_",T31),選手名簿!$A$1:$E$65536,5,FALSE))=TRUE,"",VLOOKUP(CONCATENATE($W$9,"_",T31),選手名簿!$A$1:$E$65536,5,FALSE))</f>
        <v>塚本　優心</v>
      </c>
      <c r="V31" s="945"/>
      <c r="W31" s="945"/>
      <c r="X31" s="945"/>
      <c r="Y31" s="946"/>
      <c r="Z31" s="133">
        <f>IF(ISERROR(VLOOKUP(CONCATENATE($W$9,"_",T31),選手名簿!$A$1:$G$65536,7,FALSE))=TRUE,"",VLOOKUP(CONCATENATE($W$9,"_",T31),選手名簿!$A$1:$G$65536,7,FALSE))</f>
        <v>5</v>
      </c>
      <c r="AA31" s="116"/>
      <c r="AB31" s="131"/>
      <c r="AC31" s="116"/>
      <c r="AD31" s="131"/>
      <c r="AE31" s="116"/>
      <c r="AF31" s="131"/>
      <c r="AG31" s="116"/>
      <c r="AH31" s="131"/>
      <c r="AI31" s="136"/>
      <c r="AJ31" s="117">
        <f t="shared" si="3"/>
        <v>0</v>
      </c>
      <c r="AN31" s="97"/>
      <c r="AO31" s="97"/>
      <c r="AP31" s="99"/>
      <c r="AQ31" s="99"/>
      <c r="AR31" s="99"/>
      <c r="AS31" s="99"/>
      <c r="AT31" s="99"/>
      <c r="AU31" s="97"/>
      <c r="AV31" s="97"/>
      <c r="AW31" s="97"/>
      <c r="AX31" s="97"/>
      <c r="AY31" s="99"/>
      <c r="AZ31" s="99"/>
      <c r="BA31" s="99"/>
      <c r="BB31" s="97"/>
      <c r="BC31" s="97"/>
      <c r="BD31" s="97"/>
    </row>
    <row r="32" spans="1:56" s="132" customFormat="1" ht="20.149999999999999" customHeight="1" x14ac:dyDescent="0.45">
      <c r="A32" s="130"/>
      <c r="B32" s="131">
        <f t="shared" si="2"/>
        <v>0</v>
      </c>
      <c r="C32" s="116"/>
      <c r="D32" s="136"/>
      <c r="E32" s="116"/>
      <c r="F32" s="136"/>
      <c r="G32" s="116"/>
      <c r="H32" s="131"/>
      <c r="I32" s="116"/>
      <c r="J32" s="131"/>
      <c r="K32" s="133">
        <f>IF(ISERROR(VLOOKUP(CONCATENATE($B$9,"_",Q32),選手名簿!$A$1:$G$65536,7,FALSE))=TRUE,"",VLOOKUP(CONCATENATE($B$9,"_",Q32),選手名簿!$A$1:$G$65536,7,FALSE))</f>
        <v>6</v>
      </c>
      <c r="L32" s="944" t="str">
        <f>IF(ISERROR(VLOOKUP(CONCATENATE($B$9,"_",Q32),選手名簿!$A$1:$E$65536,5,FALSE))=TRUE,"",VLOOKUP(CONCATENATE($B$9,"_",Q32),選手名簿!$A$1:$E$65536,5,FALSE))</f>
        <v>宮本　歩夢</v>
      </c>
      <c r="M32" s="945"/>
      <c r="N32" s="945"/>
      <c r="O32" s="945"/>
      <c r="P32" s="946"/>
      <c r="Q32" s="157">
        <v>16</v>
      </c>
      <c r="R32" s="134" t="str">
        <f>IF(ISERROR(VLOOKUP(CONCATENATE($B$9,"_",Q32),選手名簿!$A$1:$E$65536,4,FALSE))=TRUE,"",VLOOKUP(CONCATENATE($B$9,"_",Q32),選手名簿!$A$1:$E$65536,4,FALSE))</f>
        <v>MF</v>
      </c>
      <c r="S32" s="135" t="str">
        <f>IF(ISERROR(VLOOKUP(CONCATENATE($W$9,"_",T32),選手名簿!$A$1:$E$65536,4,FALSE))=TRUE,"",VLOOKUP(CONCATENATE($W$9,"_",T32),選手名簿!$A$1:$E$65536,4,FALSE))</f>
        <v>FW</v>
      </c>
      <c r="T32" s="156">
        <v>16</v>
      </c>
      <c r="U32" s="944" t="str">
        <f>IF(ISERROR(VLOOKUP(CONCATENATE($W$9,"_",T32),選手名簿!$A$1:$E$65536,5,FALSE))=TRUE,"",VLOOKUP(CONCATENATE($W$9,"_",T32),選手名簿!$A$1:$E$65536,5,FALSE))</f>
        <v>三原　怜己</v>
      </c>
      <c r="V32" s="945"/>
      <c r="W32" s="945"/>
      <c r="X32" s="945"/>
      <c r="Y32" s="946"/>
      <c r="Z32" s="133">
        <f>IF(ISERROR(VLOOKUP(CONCATENATE($W$9,"_",T32),選手名簿!$A$1:$G$65536,7,FALSE))=TRUE,"",VLOOKUP(CONCATENATE($W$9,"_",T32),選手名簿!$A$1:$G$65536,7,FALSE))</f>
        <v>5</v>
      </c>
      <c r="AA32" s="116"/>
      <c r="AB32" s="131"/>
      <c r="AC32" s="116"/>
      <c r="AD32" s="131"/>
      <c r="AE32" s="116"/>
      <c r="AF32" s="131"/>
      <c r="AG32" s="116"/>
      <c r="AH32" s="131"/>
      <c r="AI32" s="136"/>
      <c r="AJ32" s="117">
        <f t="shared" si="3"/>
        <v>0</v>
      </c>
      <c r="AN32" s="97"/>
      <c r="AO32" s="97"/>
      <c r="AP32" s="99"/>
      <c r="AQ32" s="99"/>
      <c r="AR32" s="99"/>
      <c r="AS32" s="99"/>
      <c r="AT32" s="99"/>
      <c r="AU32" s="97"/>
      <c r="AV32" s="97"/>
      <c r="AW32" s="97"/>
      <c r="AX32" s="97"/>
      <c r="AY32" s="99"/>
      <c r="AZ32" s="99"/>
      <c r="BA32" s="99"/>
      <c r="BB32" s="97"/>
      <c r="BC32" s="97"/>
      <c r="BD32" s="97"/>
    </row>
    <row r="33" spans="1:56" s="132" customFormat="1" ht="20.149999999999999" customHeight="1" thickBot="1" x14ac:dyDescent="0.6">
      <c r="A33" s="119"/>
      <c r="B33" s="109">
        <f>SUM(C33:J33)</f>
        <v>7</v>
      </c>
      <c r="C33" s="105"/>
      <c r="D33" s="104">
        <f>SUM(D16:D23,D25:D32)</f>
        <v>0</v>
      </c>
      <c r="E33" s="109"/>
      <c r="F33" s="104">
        <f>SUM(F16:F23,F25:F32)</f>
        <v>0</v>
      </c>
      <c r="G33" s="105"/>
      <c r="H33" s="104">
        <f>SUM(H16:H23,H25:H32)</f>
        <v>5</v>
      </c>
      <c r="I33" s="105"/>
      <c r="J33" s="104">
        <f>SUM(J16:J23,J25:J32)</f>
        <v>2</v>
      </c>
      <c r="K33" s="118" t="s">
        <v>140</v>
      </c>
      <c r="L33" s="942">
        <f>SUM(D33,F33,H33,J33)</f>
        <v>7</v>
      </c>
      <c r="M33" s="926"/>
      <c r="N33" s="926"/>
      <c r="O33" s="926"/>
      <c r="P33" s="927"/>
      <c r="Q33" s="118" t="s">
        <v>141</v>
      </c>
      <c r="R33" s="942" t="s">
        <v>142</v>
      </c>
      <c r="S33" s="927"/>
      <c r="T33" s="118" t="s">
        <v>141</v>
      </c>
      <c r="U33" s="942">
        <f>SUM(AB33,AD33,AF33,AH33)</f>
        <v>3</v>
      </c>
      <c r="V33" s="926"/>
      <c r="W33" s="926"/>
      <c r="X33" s="926"/>
      <c r="Y33" s="927"/>
      <c r="Z33" s="118" t="s">
        <v>140</v>
      </c>
      <c r="AA33" s="105"/>
      <c r="AB33" s="104">
        <f>SUM(AB16:AB23,AB25:AB32)</f>
        <v>1</v>
      </c>
      <c r="AC33" s="105"/>
      <c r="AD33" s="104">
        <f>SUM(AD16:AD23,AD25:AD32)</f>
        <v>2</v>
      </c>
      <c r="AE33" s="105"/>
      <c r="AF33" s="104">
        <f>SUM(AF16:AF23,AF25:AF32)</f>
        <v>0</v>
      </c>
      <c r="AG33" s="105"/>
      <c r="AH33" s="104">
        <f>SUM(AH16:AH23,AH25:AH32)</f>
        <v>0</v>
      </c>
      <c r="AI33" s="109"/>
      <c r="AJ33" s="120">
        <f>SUM(AA33:AH33)</f>
        <v>3</v>
      </c>
      <c r="AN33" s="97"/>
      <c r="AO33" s="97"/>
      <c r="AP33" s="99"/>
      <c r="AQ33" s="99"/>
      <c r="AR33" s="99"/>
      <c r="AS33" s="99"/>
      <c r="AT33" s="99"/>
      <c r="AU33" s="97"/>
      <c r="AV33" s="97"/>
      <c r="AW33" s="97"/>
      <c r="AX33" s="97"/>
      <c r="AY33" s="99"/>
      <c r="AZ33" s="99"/>
      <c r="BA33" s="99"/>
      <c r="BB33" s="97"/>
      <c r="BC33" s="97"/>
      <c r="BD33" s="97"/>
    </row>
    <row r="34" spans="1:56" s="102" customFormat="1" ht="20.149999999999999" customHeight="1" x14ac:dyDescent="0.45">
      <c r="A34" s="143"/>
      <c r="B34" s="144"/>
      <c r="C34" s="939" t="s">
        <v>2018</v>
      </c>
      <c r="D34" s="939"/>
      <c r="E34" s="939"/>
      <c r="F34" s="939"/>
      <c r="G34" s="939"/>
      <c r="H34" s="939"/>
      <c r="I34" s="939"/>
      <c r="J34" s="939" t="s">
        <v>2019</v>
      </c>
      <c r="K34" s="939" t="s">
        <v>2020</v>
      </c>
      <c r="L34" s="939"/>
      <c r="M34" s="939"/>
      <c r="N34" s="939"/>
      <c r="O34" s="939"/>
      <c r="P34" s="939"/>
      <c r="Q34" s="939"/>
      <c r="R34" s="943" t="s">
        <v>143</v>
      </c>
      <c r="S34" s="943"/>
      <c r="T34" s="144"/>
      <c r="U34" s="939" t="s">
        <v>2018</v>
      </c>
      <c r="V34" s="939"/>
      <c r="W34" s="939"/>
      <c r="X34" s="939"/>
      <c r="Y34" s="939"/>
      <c r="Z34" s="939"/>
      <c r="AA34" s="939"/>
      <c r="AB34" s="939" t="s">
        <v>2019</v>
      </c>
      <c r="AC34" s="939" t="s">
        <v>2020</v>
      </c>
      <c r="AD34" s="939"/>
      <c r="AE34" s="939"/>
      <c r="AF34" s="939"/>
      <c r="AG34" s="939"/>
      <c r="AH34" s="939"/>
      <c r="AI34" s="939"/>
      <c r="AJ34" s="145"/>
      <c r="AN34" s="97"/>
      <c r="AO34" s="97"/>
      <c r="AP34" s="99"/>
      <c r="AQ34" s="99"/>
      <c r="AR34" s="99"/>
      <c r="AS34" s="99"/>
      <c r="AT34" s="99"/>
      <c r="AU34" s="97"/>
      <c r="AV34" s="97"/>
      <c r="AW34" s="97"/>
      <c r="AX34" s="97"/>
      <c r="AY34" s="99"/>
      <c r="AZ34" s="99"/>
      <c r="BA34" s="99"/>
      <c r="BB34" s="97"/>
      <c r="BC34" s="97"/>
      <c r="BD34" s="97"/>
    </row>
    <row r="35" spans="1:56" s="102" customFormat="1" ht="20.149999999999999" customHeight="1" thickBot="1" x14ac:dyDescent="0.6">
      <c r="A35" s="146"/>
      <c r="B35" s="147"/>
      <c r="C35" s="934"/>
      <c r="D35" s="934"/>
      <c r="E35" s="934"/>
      <c r="F35" s="934"/>
      <c r="G35" s="934"/>
      <c r="H35" s="934"/>
      <c r="I35" s="934"/>
      <c r="J35" s="934"/>
      <c r="K35" s="934"/>
      <c r="L35" s="934"/>
      <c r="M35" s="934"/>
      <c r="N35" s="934"/>
      <c r="O35" s="934"/>
      <c r="P35" s="934"/>
      <c r="Q35" s="934"/>
      <c r="R35" s="940" t="s">
        <v>144</v>
      </c>
      <c r="S35" s="941"/>
      <c r="U35" s="929"/>
      <c r="V35" s="929"/>
      <c r="W35" s="929"/>
      <c r="X35" s="929"/>
      <c r="Y35" s="929"/>
      <c r="Z35" s="929"/>
      <c r="AA35" s="929"/>
      <c r="AB35" s="929"/>
      <c r="AC35" s="929"/>
      <c r="AD35" s="929"/>
      <c r="AE35" s="929"/>
      <c r="AF35" s="929"/>
      <c r="AG35" s="929"/>
      <c r="AH35" s="929"/>
      <c r="AI35" s="929"/>
      <c r="AJ35" s="148"/>
      <c r="AN35" s="97"/>
      <c r="AO35" s="97"/>
      <c r="AP35" s="99"/>
      <c r="AQ35" s="99"/>
      <c r="AR35" s="99"/>
      <c r="AS35" s="99"/>
      <c r="AT35" s="99"/>
      <c r="AU35" s="97"/>
      <c r="AV35" s="97"/>
      <c r="AW35" s="97"/>
      <c r="AX35" s="97"/>
      <c r="AY35" s="99"/>
      <c r="AZ35" s="99"/>
      <c r="BA35" s="99"/>
      <c r="BB35" s="97"/>
      <c r="BC35" s="97"/>
      <c r="BD35" s="97"/>
    </row>
    <row r="36" spans="1:56" s="132" customFormat="1" ht="20.149999999999999" customHeight="1" x14ac:dyDescent="0.45">
      <c r="A36" s="111" t="s">
        <v>11919</v>
      </c>
      <c r="B36" s="102" t="s">
        <v>2007</v>
      </c>
      <c r="C36" s="102">
        <v>8</v>
      </c>
      <c r="D36" s="102" t="s">
        <v>2021</v>
      </c>
      <c r="E36" s="939" t="str">
        <f>IF(ISERROR(VLOOKUP(CONCATENATE($B$9,"_",C36),選手名簿!$A$1:$E$65536,5,FALSE))=TRUE,"",VLOOKUP(CONCATENATE($B$9,"_",C36),選手名簿!$A$1:$E$65536,5,FALSE))</f>
        <v>田邉　結大</v>
      </c>
      <c r="F36" s="939"/>
      <c r="G36" s="939"/>
      <c r="H36" s="939"/>
      <c r="I36" s="939"/>
      <c r="J36" s="102" t="s">
        <v>2022</v>
      </c>
      <c r="K36" s="102">
        <v>6</v>
      </c>
      <c r="L36" s="102" t="s">
        <v>2021</v>
      </c>
      <c r="M36" s="939" t="str">
        <f>IF(ISERROR(VLOOKUP(CONCATENATE($B$9,"_",K36),選手名簿!$A$1:$E$65536,5,FALSE))=TRUE,"",VLOOKUP(CONCATENATE($B$9,"_",K36),選手名簿!$A$1:$E$65536,5,FALSE))</f>
        <v>梅尾　俊介</v>
      </c>
      <c r="N36" s="939"/>
      <c r="O36" s="939"/>
      <c r="P36" s="939"/>
      <c r="Q36" s="939"/>
      <c r="R36" s="102"/>
      <c r="S36" s="143">
        <v>24</v>
      </c>
      <c r="T36" s="144" t="s">
        <v>2007</v>
      </c>
      <c r="U36" s="144">
        <v>1</v>
      </c>
      <c r="V36" s="144" t="s">
        <v>2021</v>
      </c>
      <c r="W36" s="939" t="str">
        <f>IF(ISERROR(VLOOKUP(CONCATENATE($W$9,"_",U36),選手名簿!$A$1:$E$65536,5,FALSE))=TRUE,"",VLOOKUP(CONCATENATE($W$9,"_",U36),選手名簿!$A$1:$E$65536,5,FALSE))</f>
        <v>麻生　明秀</v>
      </c>
      <c r="X36" s="939"/>
      <c r="Y36" s="939"/>
      <c r="Z36" s="939"/>
      <c r="AA36" s="939"/>
      <c r="AB36" s="144" t="s">
        <v>2022</v>
      </c>
      <c r="AC36" s="144">
        <v>12</v>
      </c>
      <c r="AD36" s="144" t="s">
        <v>2021</v>
      </c>
      <c r="AE36" s="939" t="str">
        <f>IF(ISERROR(VLOOKUP(CONCATENATE($W$9,"_",AC36),選手名簿!$A$1:$E$65536,5,FALSE))=TRUE,"",VLOOKUP(CONCATENATE($W$9,"_",AC36),選手名簿!$A$1:$E$65536,5,FALSE))</f>
        <v>亀井　嘉人</v>
      </c>
      <c r="AF36" s="939"/>
      <c r="AG36" s="939"/>
      <c r="AH36" s="939"/>
      <c r="AI36" s="939"/>
      <c r="AJ36" s="149"/>
      <c r="AK36" s="102"/>
      <c r="AL36" s="102"/>
      <c r="AN36" s="97"/>
      <c r="AO36" s="97"/>
      <c r="AP36" s="99"/>
      <c r="AQ36" s="99"/>
      <c r="AR36" s="99"/>
      <c r="AS36" s="99"/>
      <c r="AT36" s="99"/>
      <c r="AU36" s="97"/>
      <c r="AV36" s="97"/>
      <c r="AW36" s="97"/>
      <c r="AX36" s="97"/>
      <c r="AY36" s="99"/>
      <c r="AZ36" s="99"/>
      <c r="BA36" s="99"/>
      <c r="BB36" s="97"/>
      <c r="BC36" s="97"/>
      <c r="BD36" s="97"/>
    </row>
    <row r="37" spans="1:56" s="132" customFormat="1" ht="19.5" customHeight="1" x14ac:dyDescent="0.45">
      <c r="A37" s="111">
        <v>24</v>
      </c>
      <c r="B37" s="102" t="s">
        <v>2007</v>
      </c>
      <c r="C37" s="102">
        <v>7</v>
      </c>
      <c r="D37" s="102" t="s">
        <v>2021</v>
      </c>
      <c r="E37" s="929" t="str">
        <f>IF(ISERROR(VLOOKUP(CONCATENATE($B$9,"_",C37),選手名簿!$A$1:$E$65536,5,FALSE))=TRUE,"",VLOOKUP(CONCATENATE($B$9,"_",C37),選手名簿!$A$1:$E$65536,5,FALSE))</f>
        <v>篠原　朝來</v>
      </c>
      <c r="F37" s="929"/>
      <c r="G37" s="929"/>
      <c r="H37" s="929"/>
      <c r="I37" s="929"/>
      <c r="J37" s="102" t="s">
        <v>2022</v>
      </c>
      <c r="K37" s="102">
        <v>9</v>
      </c>
      <c r="L37" s="102" t="s">
        <v>2021</v>
      </c>
      <c r="M37" s="929" t="str">
        <f>IF(ISERROR(VLOOKUP(CONCATENATE($B$9,"_",K37),選手名簿!$A$1:$E$65536,5,FALSE))=TRUE,"",VLOOKUP(CONCATENATE($B$9,"_",K37),選手名簿!$A$1:$E$65536,5,FALSE))</f>
        <v>向　一志</v>
      </c>
      <c r="N37" s="929"/>
      <c r="O37" s="929"/>
      <c r="P37" s="929"/>
      <c r="Q37" s="929"/>
      <c r="R37" s="102"/>
      <c r="S37" s="111">
        <v>25</v>
      </c>
      <c r="T37" s="102" t="s">
        <v>2007</v>
      </c>
      <c r="U37" s="102">
        <v>9</v>
      </c>
      <c r="V37" s="102" t="s">
        <v>2021</v>
      </c>
      <c r="W37" s="929" t="str">
        <f>IF(ISERROR(VLOOKUP(CONCATENATE($W$9,"_",U37),選手名簿!$A$1:$E$65536,5,FALSE))=TRUE,"",VLOOKUP(CONCATENATE($W$9,"_",U37),選手名簿!$A$1:$E$65536,5,FALSE))</f>
        <v>得丸　裕我</v>
      </c>
      <c r="X37" s="929"/>
      <c r="Y37" s="929"/>
      <c r="Z37" s="929"/>
      <c r="AA37" s="929"/>
      <c r="AB37" s="102" t="s">
        <v>2022</v>
      </c>
      <c r="AC37" s="102">
        <v>13</v>
      </c>
      <c r="AD37" s="102" t="s">
        <v>2021</v>
      </c>
      <c r="AE37" s="929" t="str">
        <f>IF(ISERROR(VLOOKUP(CONCATENATE($W$9,"_",AC37),選手名簿!$A$1:$E$65536,5,FALSE))=TRUE,"",VLOOKUP(CONCATENATE($W$9,"_",AC37),選手名簿!$A$1:$E$65536,5,FALSE))</f>
        <v>廣瀬　彩杜</v>
      </c>
      <c r="AF37" s="929"/>
      <c r="AG37" s="929"/>
      <c r="AH37" s="929"/>
      <c r="AI37" s="929"/>
      <c r="AJ37" s="150"/>
      <c r="AK37" s="102"/>
      <c r="AL37" s="102"/>
      <c r="AN37" s="97"/>
      <c r="AO37" s="97"/>
      <c r="AP37" s="99"/>
      <c r="AQ37" s="99"/>
      <c r="AR37" s="99"/>
      <c r="AS37" s="99"/>
      <c r="AT37" s="99"/>
      <c r="AU37" s="97"/>
      <c r="AV37" s="97"/>
      <c r="AW37" s="97"/>
      <c r="AX37" s="97"/>
      <c r="AY37" s="99"/>
      <c r="AZ37" s="99"/>
      <c r="BA37" s="99"/>
      <c r="BB37" s="97"/>
      <c r="BC37" s="97"/>
      <c r="BD37" s="97"/>
    </row>
    <row r="38" spans="1:56" s="132" customFormat="1" ht="20.149999999999999" customHeight="1" x14ac:dyDescent="0.45">
      <c r="A38" s="111">
        <v>26</v>
      </c>
      <c r="B38" s="102" t="s">
        <v>2007</v>
      </c>
      <c r="C38" s="102">
        <v>11</v>
      </c>
      <c r="D38" s="102" t="s">
        <v>2021</v>
      </c>
      <c r="E38" s="929" t="str">
        <f>IF(ISERROR(VLOOKUP(CONCATENATE($B$9,"_",C38),選手名簿!$A$1:$E$65536,5,FALSE))=TRUE,"",VLOOKUP(CONCATENATE($B$9,"_",C38),選手名簿!$A$1:$E$65536,5,FALSE))</f>
        <v>横山　成毅</v>
      </c>
      <c r="F38" s="929"/>
      <c r="G38" s="929"/>
      <c r="H38" s="929"/>
      <c r="I38" s="929"/>
      <c r="J38" s="102" t="s">
        <v>2022</v>
      </c>
      <c r="K38" s="102">
        <v>13</v>
      </c>
      <c r="L38" s="102" t="s">
        <v>2021</v>
      </c>
      <c r="M38" s="929" t="str">
        <f>IF(ISERROR(VLOOKUP(CONCATENATE($B$9,"_",K38),選手名簿!$A$1:$E$65536,5,FALSE))=TRUE,"",VLOOKUP(CONCATENATE($B$9,"_",K38),選手名簿!$A$1:$E$65536,5,FALSE))</f>
        <v>遠藤　楓牙</v>
      </c>
      <c r="N38" s="929"/>
      <c r="O38" s="929"/>
      <c r="P38" s="929"/>
      <c r="Q38" s="929"/>
      <c r="R38" s="102"/>
      <c r="S38" s="111"/>
      <c r="T38" s="102" t="s">
        <v>2007</v>
      </c>
      <c r="U38" s="102"/>
      <c r="V38" s="102" t="s">
        <v>2021</v>
      </c>
      <c r="W38" s="929" t="str">
        <f>IF(ISERROR(VLOOKUP(CONCATENATE($W$9,"_",U38),選手名簿!$A$1:$E$65536,5,FALSE))=TRUE,"",VLOOKUP(CONCATENATE($W$9,"_",U38),選手名簿!$A$1:$E$65536,5,FALSE))</f>
        <v/>
      </c>
      <c r="X38" s="929"/>
      <c r="Y38" s="929"/>
      <c r="Z38" s="929"/>
      <c r="AA38" s="929"/>
      <c r="AB38" s="102" t="s">
        <v>2022</v>
      </c>
      <c r="AC38" s="102"/>
      <c r="AD38" s="102" t="s">
        <v>2021</v>
      </c>
      <c r="AE38" s="929" t="str">
        <f>IF(ISERROR(VLOOKUP(CONCATENATE($W$9,"_",AC38),選手名簿!$A$1:$E$65536,5,FALSE))=TRUE,"",VLOOKUP(CONCATENATE($W$9,"_",AC38),選手名簿!$A$1:$E$65536,5,FALSE))</f>
        <v/>
      </c>
      <c r="AF38" s="929"/>
      <c r="AG38" s="929"/>
      <c r="AH38" s="929"/>
      <c r="AI38" s="929"/>
      <c r="AJ38" s="150"/>
      <c r="AK38" s="102"/>
      <c r="AL38" s="102"/>
      <c r="AN38" s="97"/>
      <c r="AO38" s="97"/>
      <c r="AP38" s="99"/>
      <c r="AQ38" s="99"/>
      <c r="AR38" s="99"/>
      <c r="AS38" s="99"/>
      <c r="AT38" s="99"/>
      <c r="AU38" s="97"/>
      <c r="AV38" s="97"/>
      <c r="AW38" s="97"/>
      <c r="AX38" s="97"/>
      <c r="AY38" s="99"/>
      <c r="AZ38" s="99"/>
      <c r="BA38" s="99"/>
      <c r="BB38" s="97"/>
      <c r="BC38" s="97"/>
      <c r="BD38" s="97"/>
    </row>
    <row r="39" spans="1:56" s="132" customFormat="1" ht="20.149999999999999" customHeight="1" x14ac:dyDescent="0.45">
      <c r="A39" s="111">
        <v>30</v>
      </c>
      <c r="B39" s="102" t="s">
        <v>2007</v>
      </c>
      <c r="C39" s="102">
        <v>10</v>
      </c>
      <c r="D39" s="102" t="s">
        <v>2021</v>
      </c>
      <c r="E39" s="929" t="str">
        <f>IF(ISERROR(VLOOKUP(CONCATENATE($B$9,"_",C39),選手名簿!$A$1:$E$65536,5,FALSE))=TRUE,"",VLOOKUP(CONCATENATE($B$9,"_",C39),選手名簿!$A$1:$E$65536,5,FALSE))</f>
        <v>佐々木　陸</v>
      </c>
      <c r="F39" s="929"/>
      <c r="G39" s="929"/>
      <c r="H39" s="929"/>
      <c r="I39" s="929"/>
      <c r="J39" s="102" t="s">
        <v>2022</v>
      </c>
      <c r="K39" s="102">
        <v>8</v>
      </c>
      <c r="L39" s="102" t="s">
        <v>2021</v>
      </c>
      <c r="M39" s="929" t="str">
        <f>IF(ISERROR(VLOOKUP(CONCATENATE($B$9,"_",K39),選手名簿!$A$1:$E$65536,5,FALSE))=TRUE,"",VLOOKUP(CONCATENATE($B$9,"_",K39),選手名簿!$A$1:$E$65536,5,FALSE))</f>
        <v>田邉　結大</v>
      </c>
      <c r="N39" s="929"/>
      <c r="O39" s="929"/>
      <c r="P39" s="929"/>
      <c r="Q39" s="929"/>
      <c r="R39" s="102"/>
      <c r="S39" s="111"/>
      <c r="T39" s="102" t="s">
        <v>2007</v>
      </c>
      <c r="U39" s="102"/>
      <c r="V39" s="102" t="s">
        <v>2021</v>
      </c>
      <c r="W39" s="929" t="str">
        <f>IF(ISERROR(VLOOKUP(CONCATENATE($W$9,"_",U39),選手名簿!$A$1:$E$65536,5,FALSE))=TRUE,"",VLOOKUP(CONCATENATE($W$9,"_",U39),選手名簿!$A$1:$E$65536,5,FALSE))</f>
        <v/>
      </c>
      <c r="X39" s="929"/>
      <c r="Y39" s="929"/>
      <c r="Z39" s="929"/>
      <c r="AA39" s="929"/>
      <c r="AB39" s="102" t="s">
        <v>2022</v>
      </c>
      <c r="AC39" s="102"/>
      <c r="AD39" s="102" t="s">
        <v>2021</v>
      </c>
      <c r="AE39" s="929" t="str">
        <f>IF(ISERROR(VLOOKUP(CONCATENATE($W$9,"_",AC39),選手名簿!$A$1:$E$65536,5,FALSE))=TRUE,"",VLOOKUP(CONCATENATE($W$9,"_",AC39),選手名簿!$A$1:$E$65536,5,FALSE))</f>
        <v/>
      </c>
      <c r="AF39" s="929"/>
      <c r="AG39" s="929"/>
      <c r="AH39" s="929"/>
      <c r="AI39" s="929"/>
      <c r="AJ39" s="150"/>
      <c r="AK39" s="102"/>
      <c r="AL39" s="102"/>
      <c r="AN39" s="97"/>
      <c r="AO39" s="97"/>
      <c r="AP39" s="99"/>
      <c r="AQ39" s="99"/>
      <c r="AR39" s="99"/>
      <c r="AS39" s="99"/>
      <c r="AT39" s="99"/>
      <c r="AU39" s="97"/>
      <c r="AV39" s="97"/>
      <c r="AW39" s="97"/>
      <c r="AX39" s="97"/>
      <c r="AY39" s="99"/>
      <c r="AZ39" s="99"/>
      <c r="BA39" s="99"/>
      <c r="BB39" s="97"/>
      <c r="BC39" s="97"/>
      <c r="BD39" s="97"/>
    </row>
    <row r="40" spans="1:56" s="132" customFormat="1" ht="20.149999999999999" customHeight="1" x14ac:dyDescent="0.45">
      <c r="A40" s="111"/>
      <c r="B40" s="102" t="s">
        <v>2007</v>
      </c>
      <c r="C40" s="102"/>
      <c r="D40" s="102" t="s">
        <v>2021</v>
      </c>
      <c r="E40" s="929" t="str">
        <f>IF(ISERROR(VLOOKUP(CONCATENATE($B$9,"_",C40),選手名簿!$A$1:$E$65536,5,FALSE))=TRUE,"",VLOOKUP(CONCATENATE($B$9,"_",C40),選手名簿!$A$1:$E$65536,5,FALSE))</f>
        <v/>
      </c>
      <c r="F40" s="929"/>
      <c r="G40" s="929"/>
      <c r="H40" s="929"/>
      <c r="I40" s="929"/>
      <c r="J40" s="102" t="s">
        <v>2022</v>
      </c>
      <c r="K40" s="102"/>
      <c r="L40" s="102" t="s">
        <v>2021</v>
      </c>
      <c r="M40" s="929" t="str">
        <f>IF(ISERROR(VLOOKUP(CONCATENATE($B$9,"_",K40),選手名簿!$A$1:$E$65536,5,FALSE))=TRUE,"",VLOOKUP(CONCATENATE($B$9,"_",K40),選手名簿!$A$1:$E$65536,5,FALSE))</f>
        <v/>
      </c>
      <c r="N40" s="929"/>
      <c r="O40" s="929"/>
      <c r="P40" s="929"/>
      <c r="Q40" s="929"/>
      <c r="R40" s="102"/>
      <c r="S40" s="111"/>
      <c r="T40" s="102" t="s">
        <v>2007</v>
      </c>
      <c r="U40" s="102"/>
      <c r="V40" s="102" t="s">
        <v>2021</v>
      </c>
      <c r="W40" s="929" t="str">
        <f>IF(ISERROR(VLOOKUP(CONCATENATE($W$9,"_",U40),選手名簿!$A$1:$E$65536,5,FALSE))=TRUE,"",VLOOKUP(CONCATENATE($W$9,"_",U40),選手名簿!$A$1:$E$65536,5,FALSE))</f>
        <v/>
      </c>
      <c r="X40" s="929"/>
      <c r="Y40" s="929"/>
      <c r="Z40" s="929"/>
      <c r="AA40" s="929"/>
      <c r="AB40" s="102" t="s">
        <v>2022</v>
      </c>
      <c r="AC40" s="102"/>
      <c r="AD40" s="102" t="s">
        <v>2021</v>
      </c>
      <c r="AE40" s="929" t="str">
        <f>IF(ISERROR(VLOOKUP(CONCATENATE($W$9,"_",AC40),選手名簿!$A$1:$E$65536,5,FALSE))=TRUE,"",VLOOKUP(CONCATENATE($W$9,"_",AC40),選手名簿!$A$1:$E$65536,5,FALSE))</f>
        <v/>
      </c>
      <c r="AF40" s="929"/>
      <c r="AG40" s="929"/>
      <c r="AH40" s="929"/>
      <c r="AI40" s="929"/>
      <c r="AJ40" s="150"/>
      <c r="AK40" s="102"/>
      <c r="AL40" s="102"/>
      <c r="AN40" s="97"/>
      <c r="AO40" s="97"/>
      <c r="AP40" s="99"/>
      <c r="AQ40" s="99"/>
      <c r="AR40" s="99"/>
      <c r="AS40" s="99"/>
      <c r="AT40" s="99"/>
      <c r="AU40" s="97"/>
      <c r="AV40" s="97"/>
      <c r="AW40" s="97"/>
      <c r="AX40" s="97"/>
      <c r="AY40" s="99"/>
      <c r="AZ40" s="99"/>
      <c r="BA40" s="99"/>
      <c r="BB40" s="97"/>
      <c r="BC40" s="97"/>
      <c r="BD40" s="97"/>
    </row>
    <row r="41" spans="1:56" s="132" customFormat="1" ht="20.149999999999999" customHeight="1" x14ac:dyDescent="0.45">
      <c r="A41" s="111"/>
      <c r="B41" s="102" t="s">
        <v>2007</v>
      </c>
      <c r="C41" s="102"/>
      <c r="D41" s="102" t="s">
        <v>2021</v>
      </c>
      <c r="E41" s="929" t="str">
        <f>IF(ISERROR(VLOOKUP(CONCATENATE($B$9,"_",C41),選手名簿!$A$1:$E$65536,5,FALSE))=TRUE,"",VLOOKUP(CONCATENATE($B$9,"_",C41),選手名簿!$A$1:$E$65536,5,FALSE))</f>
        <v/>
      </c>
      <c r="F41" s="929"/>
      <c r="G41" s="929"/>
      <c r="H41" s="929"/>
      <c r="I41" s="929"/>
      <c r="J41" s="102" t="s">
        <v>2022</v>
      </c>
      <c r="K41" s="102"/>
      <c r="L41" s="102" t="s">
        <v>2021</v>
      </c>
      <c r="M41" s="929" t="str">
        <f>IF(ISERROR(VLOOKUP(CONCATENATE($B$9,"_",K41),選手名簿!$A$1:$E$65536,5,FALSE))=TRUE,"",VLOOKUP(CONCATENATE($B$9,"_",K41),選手名簿!$A$1:$E$65536,5,FALSE))</f>
        <v/>
      </c>
      <c r="N41" s="929"/>
      <c r="O41" s="929"/>
      <c r="P41" s="929"/>
      <c r="Q41" s="929"/>
      <c r="R41" s="102"/>
      <c r="S41" s="111"/>
      <c r="T41" s="102" t="s">
        <v>2007</v>
      </c>
      <c r="U41" s="102"/>
      <c r="V41" s="102" t="s">
        <v>2021</v>
      </c>
      <c r="W41" s="929" t="str">
        <f>IF(ISERROR(VLOOKUP(CONCATENATE($W$9,"_",U41),選手名簿!$A$1:$E$65536,5,FALSE))=TRUE,"",VLOOKUP(CONCATENATE($W$9,"_",U41),選手名簿!$A$1:$E$65536,5,FALSE))</f>
        <v/>
      </c>
      <c r="X41" s="929"/>
      <c r="Y41" s="929"/>
      <c r="Z41" s="929"/>
      <c r="AA41" s="929"/>
      <c r="AB41" s="102" t="s">
        <v>2022</v>
      </c>
      <c r="AC41" s="102"/>
      <c r="AD41" s="102" t="s">
        <v>2021</v>
      </c>
      <c r="AE41" s="929" t="str">
        <f>IF(ISERROR(VLOOKUP(CONCATENATE($W$9,"_",AC41),選手名簿!$A$1:$E$65536,5,FALSE))=TRUE,"",VLOOKUP(CONCATENATE($W$9,"_",AC41),選手名簿!$A$1:$E$65536,5,FALSE))</f>
        <v/>
      </c>
      <c r="AF41" s="929"/>
      <c r="AG41" s="929"/>
      <c r="AH41" s="929"/>
      <c r="AI41" s="929"/>
      <c r="AJ41" s="150"/>
      <c r="AK41" s="102"/>
      <c r="AL41" s="102"/>
      <c r="AN41" s="97"/>
      <c r="AO41" s="97"/>
      <c r="AP41" s="99"/>
      <c r="AQ41" s="99"/>
      <c r="AR41" s="99"/>
      <c r="AS41" s="99"/>
      <c r="AT41" s="99"/>
      <c r="AU41" s="97"/>
      <c r="AV41" s="97"/>
      <c r="AW41" s="97"/>
      <c r="AX41" s="97"/>
      <c r="AY41" s="99"/>
      <c r="AZ41" s="99"/>
      <c r="BA41" s="99"/>
      <c r="BB41" s="97"/>
      <c r="BC41" s="97"/>
      <c r="BD41" s="97"/>
    </row>
    <row r="42" spans="1:56" s="132" customFormat="1" ht="20.149999999999999" customHeight="1" x14ac:dyDescent="0.45">
      <c r="A42" s="111"/>
      <c r="B42" s="102" t="s">
        <v>2007</v>
      </c>
      <c r="C42" s="102"/>
      <c r="D42" s="102" t="s">
        <v>2021</v>
      </c>
      <c r="E42" s="929" t="str">
        <f>IF(ISERROR(VLOOKUP(CONCATENATE($B$9,"_",C42),選手名簿!$A$1:$E$65536,5,FALSE))=TRUE,"",VLOOKUP(CONCATENATE($B$9,"_",C42),選手名簿!$A$1:$E$65536,5,FALSE))</f>
        <v/>
      </c>
      <c r="F42" s="929"/>
      <c r="G42" s="929"/>
      <c r="H42" s="929"/>
      <c r="I42" s="929"/>
      <c r="J42" s="102" t="s">
        <v>2022</v>
      </c>
      <c r="K42" s="102"/>
      <c r="L42" s="102" t="s">
        <v>2021</v>
      </c>
      <c r="M42" s="929" t="str">
        <f>IF(ISERROR(VLOOKUP(CONCATENATE($B$9,"_",K42),選手名簿!$A$1:$E$65536,5,FALSE))=TRUE,"",VLOOKUP(CONCATENATE($B$9,"_",K42),選手名簿!$A$1:$E$65536,5,FALSE))</f>
        <v/>
      </c>
      <c r="N42" s="929"/>
      <c r="O42" s="929"/>
      <c r="P42" s="929"/>
      <c r="Q42" s="929"/>
      <c r="R42" s="102"/>
      <c r="S42" s="111"/>
      <c r="T42" s="102" t="s">
        <v>2007</v>
      </c>
      <c r="U42" s="102"/>
      <c r="V42" s="102" t="s">
        <v>2021</v>
      </c>
      <c r="W42" s="929" t="str">
        <f>IF(ISERROR(VLOOKUP(CONCATENATE($W$9,"_",U42),選手名簿!$A$1:$E$65536,5,FALSE))=TRUE,"",VLOOKUP(CONCATENATE($W$9,"_",U42),選手名簿!$A$1:$E$65536,5,FALSE))</f>
        <v/>
      </c>
      <c r="X42" s="929"/>
      <c r="Y42" s="929"/>
      <c r="Z42" s="929"/>
      <c r="AA42" s="929"/>
      <c r="AB42" s="102" t="s">
        <v>2022</v>
      </c>
      <c r="AC42" s="102"/>
      <c r="AD42" s="102" t="s">
        <v>2021</v>
      </c>
      <c r="AE42" s="929" t="str">
        <f>IF(ISERROR(VLOOKUP(CONCATENATE($W$9,"_",AC42),選手名簿!$A$1:$E$65536,5,FALSE))=TRUE,"",VLOOKUP(CONCATENATE($W$9,"_",AC42),選手名簿!$A$1:$E$65536,5,FALSE))</f>
        <v/>
      </c>
      <c r="AF42" s="929"/>
      <c r="AG42" s="929"/>
      <c r="AH42" s="929"/>
      <c r="AI42" s="929"/>
      <c r="AJ42" s="150"/>
      <c r="AK42" s="102"/>
      <c r="AL42" s="102"/>
      <c r="AN42" s="97"/>
      <c r="AO42" s="97"/>
      <c r="AP42" s="99"/>
      <c r="AQ42" s="99"/>
      <c r="AR42" s="99"/>
      <c r="AS42" s="99"/>
      <c r="AT42" s="99"/>
      <c r="AU42" s="97"/>
      <c r="AV42" s="97"/>
      <c r="AW42" s="97"/>
      <c r="AX42" s="97"/>
      <c r="AY42" s="99"/>
      <c r="AZ42" s="99"/>
      <c r="BA42" s="99"/>
      <c r="BB42" s="97"/>
      <c r="BC42" s="97"/>
      <c r="BD42" s="97"/>
    </row>
    <row r="43" spans="1:56" s="132" customFormat="1" ht="20.149999999999999" customHeight="1" thickBot="1" x14ac:dyDescent="0.6">
      <c r="A43" s="146"/>
      <c r="B43" s="147" t="s">
        <v>2007</v>
      </c>
      <c r="C43" s="147"/>
      <c r="D43" s="147" t="s">
        <v>2021</v>
      </c>
      <c r="E43" s="934" t="str">
        <f>IF(ISERROR(VLOOKUP(CONCATENATE($B$9,"_",C43),選手名簿!$A$1:$E$65536,5,FALSE))=TRUE,"",VLOOKUP(CONCATENATE($B$9,"_",C43),選手名簿!$A$1:$E$65536,5,FALSE))</f>
        <v/>
      </c>
      <c r="F43" s="934"/>
      <c r="G43" s="934"/>
      <c r="H43" s="934"/>
      <c r="I43" s="934"/>
      <c r="J43" s="147" t="s">
        <v>2022</v>
      </c>
      <c r="K43" s="147"/>
      <c r="L43" s="147" t="s">
        <v>2021</v>
      </c>
      <c r="M43" s="934" t="str">
        <f>IF(ISERROR(VLOOKUP(CONCATENATE($B$9,"_",K43),選手名簿!$A$1:$E$65536,5,FALSE))=TRUE,"",VLOOKUP(CONCATENATE($B$9,"_",K43),選手名簿!$A$1:$E$65536,5,FALSE))</f>
        <v/>
      </c>
      <c r="N43" s="934"/>
      <c r="O43" s="934"/>
      <c r="P43" s="934"/>
      <c r="Q43" s="934"/>
      <c r="R43" s="147"/>
      <c r="S43" s="146"/>
      <c r="T43" s="147" t="s">
        <v>2007</v>
      </c>
      <c r="U43" s="147"/>
      <c r="V43" s="147" t="s">
        <v>2021</v>
      </c>
      <c r="W43" s="934" t="str">
        <f>IF(ISERROR(VLOOKUP(CONCATENATE($W$9,"_",U43),選手名簿!$A$1:$E$65536,5,FALSE))=TRUE,"",VLOOKUP(CONCATENATE($W$9,"_",U43),選手名簿!$A$1:$E$65536,5,FALSE))</f>
        <v/>
      </c>
      <c r="X43" s="934"/>
      <c r="Y43" s="934"/>
      <c r="Z43" s="934"/>
      <c r="AA43" s="934"/>
      <c r="AB43" s="147" t="s">
        <v>2022</v>
      </c>
      <c r="AC43" s="147"/>
      <c r="AD43" s="147" t="s">
        <v>2021</v>
      </c>
      <c r="AE43" s="934" t="str">
        <f>IF(ISERROR(VLOOKUP(CONCATENATE($W$9,"_",AC43),選手名簿!$A$1:$E$65536,5,FALSE))=TRUE,"",VLOOKUP(CONCATENATE($W$9,"_",AC43),選手名簿!$A$1:$E$65536,5,FALSE))</f>
        <v/>
      </c>
      <c r="AF43" s="934"/>
      <c r="AG43" s="934"/>
      <c r="AH43" s="934"/>
      <c r="AI43" s="934"/>
      <c r="AJ43" s="151"/>
      <c r="AK43" s="102"/>
      <c r="AL43" s="102"/>
      <c r="AN43" s="97"/>
      <c r="AO43" s="97"/>
      <c r="AP43" s="99"/>
      <c r="AQ43" s="99"/>
      <c r="AR43" s="99"/>
      <c r="AS43" s="99"/>
      <c r="AT43" s="99"/>
      <c r="AU43" s="97"/>
      <c r="AV43" s="97"/>
      <c r="AW43" s="97"/>
      <c r="AX43" s="97"/>
      <c r="AY43" s="99"/>
      <c r="AZ43" s="99"/>
      <c r="BA43" s="99"/>
      <c r="BB43" s="97"/>
      <c r="BC43" s="97"/>
      <c r="BD43" s="97"/>
    </row>
    <row r="44" spans="1:56" s="102" customFormat="1" ht="36" customHeight="1" x14ac:dyDescent="0.45">
      <c r="A44" s="931" t="s">
        <v>146</v>
      </c>
      <c r="B44" s="932"/>
      <c r="C44" s="932"/>
      <c r="D44" s="932"/>
      <c r="E44" s="932"/>
      <c r="F44" s="932"/>
      <c r="G44" s="933"/>
      <c r="H44" s="935" t="s">
        <v>141</v>
      </c>
      <c r="I44" s="933"/>
      <c r="J44" s="935" t="s">
        <v>147</v>
      </c>
      <c r="K44" s="933"/>
      <c r="L44" s="932" t="s">
        <v>148</v>
      </c>
      <c r="M44" s="933"/>
      <c r="N44" s="935" t="s">
        <v>149</v>
      </c>
      <c r="O44" s="933"/>
      <c r="P44" s="935" t="s">
        <v>150</v>
      </c>
      <c r="Q44" s="933"/>
      <c r="R44" s="937" t="s">
        <v>151</v>
      </c>
      <c r="S44" s="938"/>
      <c r="T44" s="935" t="s">
        <v>150</v>
      </c>
      <c r="U44" s="933"/>
      <c r="V44" s="935" t="s">
        <v>149</v>
      </c>
      <c r="W44" s="933"/>
      <c r="X44" s="932" t="s">
        <v>148</v>
      </c>
      <c r="Y44" s="933"/>
      <c r="Z44" s="935" t="s">
        <v>147</v>
      </c>
      <c r="AA44" s="932"/>
      <c r="AB44" s="935" t="s">
        <v>141</v>
      </c>
      <c r="AC44" s="933"/>
      <c r="AD44" s="935" t="s">
        <v>146</v>
      </c>
      <c r="AE44" s="932"/>
      <c r="AF44" s="932"/>
      <c r="AG44" s="932"/>
      <c r="AH44" s="932"/>
      <c r="AI44" s="932"/>
      <c r="AJ44" s="936"/>
      <c r="AN44" s="97"/>
      <c r="AO44" s="97"/>
      <c r="AP44" s="99"/>
      <c r="AQ44" s="99"/>
      <c r="AR44" s="99"/>
      <c r="AS44" s="99"/>
      <c r="AT44" s="99"/>
      <c r="AU44" s="97"/>
      <c r="AV44" s="97"/>
      <c r="AW44" s="97"/>
      <c r="AX44" s="97"/>
      <c r="AY44" s="99"/>
      <c r="AZ44" s="99"/>
      <c r="BA44" s="99"/>
      <c r="BB44" s="97"/>
      <c r="BC44" s="97"/>
      <c r="BD44" s="97"/>
    </row>
    <row r="45" spans="1:56" s="102" customFormat="1" ht="20.149999999999999" customHeight="1" x14ac:dyDescent="0.45">
      <c r="A45" s="925"/>
      <c r="B45" s="926"/>
      <c r="C45" s="926"/>
      <c r="D45" s="926"/>
      <c r="E45" s="926"/>
      <c r="F45" s="926"/>
      <c r="G45" s="927"/>
      <c r="H45" s="923">
        <f>SUM(J45:Q45)</f>
        <v>4</v>
      </c>
      <c r="I45" s="923"/>
      <c r="J45" s="923"/>
      <c r="K45" s="923"/>
      <c r="L45" s="921"/>
      <c r="M45" s="920"/>
      <c r="N45" s="919">
        <v>1</v>
      </c>
      <c r="O45" s="920"/>
      <c r="P45" s="919">
        <v>3</v>
      </c>
      <c r="Q45" s="920"/>
      <c r="R45" s="116" t="s">
        <v>2023</v>
      </c>
      <c r="S45" s="107" t="s">
        <v>2024</v>
      </c>
      <c r="T45" s="919">
        <v>3</v>
      </c>
      <c r="U45" s="920"/>
      <c r="V45" s="919">
        <v>4</v>
      </c>
      <c r="W45" s="920"/>
      <c r="X45" s="921"/>
      <c r="Y45" s="920"/>
      <c r="Z45" s="923"/>
      <c r="AA45" s="923"/>
      <c r="AB45" s="923">
        <f>SUM(T45:AA45)</f>
        <v>7</v>
      </c>
      <c r="AC45" s="923"/>
      <c r="AD45" s="109"/>
      <c r="AE45" s="109"/>
      <c r="AF45" s="109"/>
      <c r="AG45" s="109"/>
      <c r="AH45" s="109"/>
      <c r="AI45" s="109"/>
      <c r="AJ45" s="120"/>
      <c r="AN45" s="97"/>
      <c r="AO45" s="97"/>
      <c r="AP45" s="99"/>
      <c r="AQ45" s="99"/>
      <c r="AR45" s="99"/>
      <c r="AS45" s="99"/>
      <c r="AT45" s="99"/>
      <c r="AU45" s="97"/>
      <c r="AV45" s="97"/>
      <c r="AW45" s="97"/>
      <c r="AX45" s="97"/>
      <c r="AY45" s="99"/>
      <c r="AZ45" s="99"/>
      <c r="BA45" s="99"/>
      <c r="BB45" s="97"/>
      <c r="BC45" s="97"/>
      <c r="BD45" s="97"/>
    </row>
    <row r="46" spans="1:56" s="102" customFormat="1" ht="20.149999999999999" customHeight="1" x14ac:dyDescent="0.45">
      <c r="A46" s="928"/>
      <c r="B46" s="929"/>
      <c r="C46" s="929"/>
      <c r="D46" s="929"/>
      <c r="E46" s="929"/>
      <c r="F46" s="929"/>
      <c r="G46" s="930"/>
      <c r="H46" s="923">
        <f>SUM(J46:Q46)</f>
        <v>6</v>
      </c>
      <c r="I46" s="923"/>
      <c r="J46" s="923"/>
      <c r="K46" s="923"/>
      <c r="L46" s="921"/>
      <c r="M46" s="920"/>
      <c r="N46" s="919">
        <v>2</v>
      </c>
      <c r="O46" s="920"/>
      <c r="P46" s="919">
        <v>4</v>
      </c>
      <c r="Q46" s="920"/>
      <c r="R46" s="116" t="s">
        <v>2025</v>
      </c>
      <c r="S46" s="107" t="s">
        <v>2024</v>
      </c>
      <c r="T46" s="919">
        <v>0</v>
      </c>
      <c r="U46" s="920"/>
      <c r="V46" s="919">
        <v>1</v>
      </c>
      <c r="W46" s="920"/>
      <c r="X46" s="921"/>
      <c r="Y46" s="920"/>
      <c r="Z46" s="923"/>
      <c r="AA46" s="923"/>
      <c r="AB46" s="923">
        <f>SUM(T46:AA46)</f>
        <v>1</v>
      </c>
      <c r="AC46" s="923"/>
      <c r="AJ46" s="148"/>
      <c r="AN46" s="97"/>
      <c r="AO46" s="97"/>
      <c r="AP46" s="99"/>
      <c r="AQ46" s="99"/>
      <c r="AR46" s="99"/>
      <c r="AS46" s="99"/>
      <c r="AT46" s="99"/>
      <c r="AU46" s="97"/>
      <c r="AV46" s="97"/>
      <c r="AW46" s="97"/>
      <c r="AX46" s="97"/>
      <c r="AY46" s="99"/>
      <c r="AZ46" s="99"/>
      <c r="BA46" s="99"/>
      <c r="BB46" s="97"/>
      <c r="BC46" s="97"/>
      <c r="BD46" s="97"/>
    </row>
    <row r="47" spans="1:56" s="102" customFormat="1" ht="20.149999999999999" customHeight="1" x14ac:dyDescent="0.45">
      <c r="A47" s="928"/>
      <c r="B47" s="929"/>
      <c r="C47" s="929"/>
      <c r="D47" s="929"/>
      <c r="E47" s="929"/>
      <c r="F47" s="929"/>
      <c r="G47" s="930"/>
      <c r="H47" s="923">
        <f>SUM(J47:Q47)</f>
        <v>3</v>
      </c>
      <c r="I47" s="923"/>
      <c r="J47" s="923"/>
      <c r="K47" s="923"/>
      <c r="L47" s="921"/>
      <c r="M47" s="920"/>
      <c r="N47" s="919">
        <v>3</v>
      </c>
      <c r="O47" s="920"/>
      <c r="P47" s="919">
        <v>0</v>
      </c>
      <c r="Q47" s="920"/>
      <c r="R47" s="116" t="s">
        <v>152</v>
      </c>
      <c r="S47" s="107" t="s">
        <v>2026</v>
      </c>
      <c r="T47" s="919">
        <v>2</v>
      </c>
      <c r="U47" s="920"/>
      <c r="V47" s="919">
        <v>4</v>
      </c>
      <c r="W47" s="920"/>
      <c r="X47" s="921"/>
      <c r="Y47" s="920"/>
      <c r="Z47" s="923"/>
      <c r="AA47" s="923"/>
      <c r="AB47" s="923">
        <f>SUM(T47:AA47)</f>
        <v>6</v>
      </c>
      <c r="AC47" s="923"/>
      <c r="AJ47" s="148"/>
      <c r="AN47" s="97"/>
      <c r="AO47" s="97"/>
      <c r="AP47" s="99"/>
      <c r="AQ47" s="99"/>
      <c r="AR47" s="99"/>
      <c r="AS47" s="99"/>
      <c r="AT47" s="99"/>
      <c r="AU47" s="97"/>
      <c r="AV47" s="97"/>
      <c r="AW47" s="97"/>
      <c r="AX47" s="97"/>
      <c r="AY47" s="99"/>
      <c r="AZ47" s="99"/>
      <c r="BA47" s="99"/>
      <c r="BB47" s="97"/>
      <c r="BC47" s="97"/>
      <c r="BD47" s="97"/>
    </row>
    <row r="48" spans="1:56" s="102" customFormat="1" ht="20.149999999999999" customHeight="1" x14ac:dyDescent="0.45">
      <c r="A48" s="928"/>
      <c r="B48" s="929"/>
      <c r="C48" s="929"/>
      <c r="D48" s="929"/>
      <c r="E48" s="929"/>
      <c r="F48" s="929"/>
      <c r="G48" s="930"/>
      <c r="H48" s="923">
        <f>SUM(J48:Q48)</f>
        <v>0</v>
      </c>
      <c r="I48" s="923"/>
      <c r="J48" s="923"/>
      <c r="K48" s="923"/>
      <c r="L48" s="921"/>
      <c r="M48" s="920"/>
      <c r="N48" s="919">
        <v>0</v>
      </c>
      <c r="O48" s="920"/>
      <c r="P48" s="919">
        <v>0</v>
      </c>
      <c r="Q48" s="920"/>
      <c r="R48" s="116" t="s">
        <v>153</v>
      </c>
      <c r="S48" s="107" t="s">
        <v>2026</v>
      </c>
      <c r="T48" s="919">
        <v>0</v>
      </c>
      <c r="U48" s="920"/>
      <c r="V48" s="919">
        <v>0</v>
      </c>
      <c r="W48" s="920"/>
      <c r="X48" s="921"/>
      <c r="Y48" s="920"/>
      <c r="Z48" s="923"/>
      <c r="AA48" s="923"/>
      <c r="AB48" s="923">
        <f>SUM(T48:AA48)</f>
        <v>0</v>
      </c>
      <c r="AC48" s="923"/>
      <c r="AJ48" s="148"/>
      <c r="AN48" s="97"/>
      <c r="AO48" s="97"/>
      <c r="AP48" s="99"/>
      <c r="AQ48" s="99"/>
      <c r="AR48" s="99"/>
      <c r="AS48" s="99"/>
      <c r="AT48" s="99"/>
      <c r="AU48" s="97"/>
      <c r="AV48" s="97"/>
      <c r="AW48" s="97"/>
      <c r="AX48" s="97"/>
      <c r="AY48" s="99"/>
      <c r="AZ48" s="99"/>
      <c r="BA48" s="99"/>
      <c r="BB48" s="97"/>
      <c r="BC48" s="97"/>
      <c r="BD48" s="97"/>
    </row>
    <row r="49" spans="1:56" s="102" customFormat="1" ht="20.149999999999999" customHeight="1" x14ac:dyDescent="0.45">
      <c r="A49" s="931"/>
      <c r="B49" s="932"/>
      <c r="C49" s="932"/>
      <c r="D49" s="932"/>
      <c r="E49" s="932"/>
      <c r="F49" s="932"/>
      <c r="G49" s="933"/>
      <c r="H49" s="923">
        <f>SUM(J49:Q49)</f>
        <v>0</v>
      </c>
      <c r="I49" s="923"/>
      <c r="J49" s="923"/>
      <c r="K49" s="923"/>
      <c r="L49" s="921"/>
      <c r="M49" s="920"/>
      <c r="N49" s="919">
        <v>0</v>
      </c>
      <c r="O49" s="920"/>
      <c r="P49" s="919">
        <v>0</v>
      </c>
      <c r="Q49" s="920"/>
      <c r="R49" s="116" t="s">
        <v>2027</v>
      </c>
      <c r="S49" s="104" t="s">
        <v>2024</v>
      </c>
      <c r="T49" s="919">
        <v>0</v>
      </c>
      <c r="U49" s="920"/>
      <c r="V49" s="919">
        <v>0</v>
      </c>
      <c r="W49" s="920"/>
      <c r="X49" s="921"/>
      <c r="Y49" s="920"/>
      <c r="Z49" s="923"/>
      <c r="AA49" s="923"/>
      <c r="AB49" s="923">
        <f>SUM(T49:AA49)</f>
        <v>0</v>
      </c>
      <c r="AC49" s="923"/>
      <c r="AD49" s="113"/>
      <c r="AE49" s="113"/>
      <c r="AF49" s="113"/>
      <c r="AG49" s="113"/>
      <c r="AH49" s="113"/>
      <c r="AI49" s="113"/>
      <c r="AJ49" s="114"/>
      <c r="AN49" s="97"/>
      <c r="AO49" s="97"/>
      <c r="AP49" s="99"/>
      <c r="AQ49" s="99"/>
      <c r="AR49" s="99"/>
      <c r="AS49" s="99"/>
      <c r="AT49" s="99"/>
      <c r="AU49" s="97"/>
      <c r="AV49" s="97"/>
      <c r="AW49" s="97"/>
      <c r="AX49" s="97"/>
      <c r="AY49" s="99"/>
      <c r="AZ49" s="99"/>
      <c r="BA49" s="99"/>
      <c r="BB49" s="97"/>
      <c r="BC49" s="97"/>
      <c r="BD49" s="97"/>
    </row>
    <row r="50" spans="1:56" s="102" customFormat="1" ht="20.149999999999999" customHeight="1" x14ac:dyDescent="0.45">
      <c r="A50" s="924" t="s">
        <v>154</v>
      </c>
      <c r="B50" s="921"/>
      <c r="C50" s="920"/>
      <c r="D50" s="919" t="s">
        <v>155</v>
      </c>
      <c r="E50" s="920"/>
      <c r="F50" s="919" t="s">
        <v>156</v>
      </c>
      <c r="G50" s="921"/>
      <c r="H50" s="921"/>
      <c r="I50" s="921"/>
      <c r="J50" s="921"/>
      <c r="K50" s="921"/>
      <c r="L50" s="921"/>
      <c r="M50" s="921"/>
      <c r="N50" s="921"/>
      <c r="O50" s="921"/>
      <c r="P50" s="921"/>
      <c r="Q50" s="921"/>
      <c r="R50" s="922"/>
      <c r="S50" s="924" t="s">
        <v>154</v>
      </c>
      <c r="T50" s="921"/>
      <c r="U50" s="920"/>
      <c r="V50" s="919" t="s">
        <v>155</v>
      </c>
      <c r="W50" s="920"/>
      <c r="X50" s="919" t="s">
        <v>156</v>
      </c>
      <c r="Y50" s="921"/>
      <c r="Z50" s="921"/>
      <c r="AA50" s="921"/>
      <c r="AB50" s="921"/>
      <c r="AC50" s="921"/>
      <c r="AD50" s="921"/>
      <c r="AE50" s="921"/>
      <c r="AF50" s="921"/>
      <c r="AG50" s="921"/>
      <c r="AH50" s="921"/>
      <c r="AI50" s="921"/>
      <c r="AJ50" s="922"/>
      <c r="AN50" s="97"/>
      <c r="AO50" s="97"/>
      <c r="AP50" s="99"/>
      <c r="AQ50" s="99"/>
      <c r="AR50" s="99"/>
      <c r="AS50" s="99"/>
      <c r="AT50" s="99"/>
      <c r="AU50" s="97"/>
      <c r="AV50" s="97"/>
      <c r="AW50" s="97"/>
      <c r="AX50" s="97"/>
      <c r="AY50" s="99"/>
      <c r="AZ50" s="99"/>
      <c r="BA50" s="99"/>
      <c r="BB50" s="97"/>
      <c r="BC50" s="97"/>
      <c r="BD50" s="97"/>
    </row>
    <row r="51" spans="1:56" s="102" customFormat="1" ht="20.149999999999999" customHeight="1" x14ac:dyDescent="0.45">
      <c r="A51" s="115"/>
      <c r="B51" s="137">
        <v>2</v>
      </c>
      <c r="C51" s="107" t="s">
        <v>145</v>
      </c>
      <c r="D51" s="919">
        <v>10</v>
      </c>
      <c r="E51" s="920"/>
      <c r="F51" s="919" t="s">
        <v>11920</v>
      </c>
      <c r="G51" s="921"/>
      <c r="H51" s="921"/>
      <c r="I51" s="921"/>
      <c r="J51" s="921"/>
      <c r="K51" s="921"/>
      <c r="L51" s="921"/>
      <c r="M51" s="921"/>
      <c r="N51" s="921"/>
      <c r="O51" s="921"/>
      <c r="P51" s="921"/>
      <c r="Q51" s="921"/>
      <c r="R51" s="922"/>
      <c r="S51" s="115"/>
      <c r="T51" s="137">
        <v>14</v>
      </c>
      <c r="U51" s="107" t="s">
        <v>145</v>
      </c>
      <c r="V51" s="919">
        <v>10</v>
      </c>
      <c r="W51" s="920"/>
      <c r="X51" s="919" t="s">
        <v>11920</v>
      </c>
      <c r="Y51" s="921"/>
      <c r="Z51" s="921"/>
      <c r="AA51" s="921"/>
      <c r="AB51" s="921"/>
      <c r="AC51" s="921"/>
      <c r="AD51" s="921"/>
      <c r="AE51" s="921"/>
      <c r="AF51" s="921"/>
      <c r="AG51" s="921"/>
      <c r="AH51" s="921"/>
      <c r="AI51" s="921"/>
      <c r="AJ51" s="922"/>
      <c r="AN51" s="97"/>
      <c r="AO51" s="97"/>
      <c r="AP51" s="99"/>
      <c r="AQ51" s="99"/>
      <c r="AR51" s="99"/>
      <c r="AS51" s="99"/>
      <c r="AT51" s="99"/>
      <c r="AU51" s="97"/>
      <c r="AV51" s="97"/>
      <c r="AW51" s="97"/>
      <c r="AX51" s="97"/>
      <c r="AY51" s="99"/>
      <c r="AZ51" s="99"/>
      <c r="BA51" s="99"/>
      <c r="BB51" s="97"/>
      <c r="BC51" s="97"/>
      <c r="BD51" s="97"/>
    </row>
    <row r="52" spans="1:56" s="102" customFormat="1" ht="20.149999999999999" customHeight="1" x14ac:dyDescent="0.45">
      <c r="A52" s="115"/>
      <c r="B52" s="137">
        <v>18</v>
      </c>
      <c r="C52" s="107" t="s">
        <v>145</v>
      </c>
      <c r="D52" s="919">
        <v>11</v>
      </c>
      <c r="E52" s="920"/>
      <c r="F52" s="919" t="s">
        <v>11921</v>
      </c>
      <c r="G52" s="921"/>
      <c r="H52" s="921"/>
      <c r="I52" s="921"/>
      <c r="J52" s="921"/>
      <c r="K52" s="921"/>
      <c r="L52" s="921"/>
      <c r="M52" s="921"/>
      <c r="N52" s="921"/>
      <c r="O52" s="921"/>
      <c r="P52" s="921"/>
      <c r="Q52" s="921"/>
      <c r="R52" s="922"/>
      <c r="S52" s="115"/>
      <c r="T52" s="137"/>
      <c r="U52" s="107" t="s">
        <v>145</v>
      </c>
      <c r="V52" s="919"/>
      <c r="W52" s="920"/>
      <c r="X52" s="919"/>
      <c r="Y52" s="921"/>
      <c r="Z52" s="921"/>
      <c r="AA52" s="921"/>
      <c r="AB52" s="921"/>
      <c r="AC52" s="921"/>
      <c r="AD52" s="921"/>
      <c r="AE52" s="921"/>
      <c r="AF52" s="921"/>
      <c r="AG52" s="921"/>
      <c r="AH52" s="921"/>
      <c r="AI52" s="921"/>
      <c r="AJ52" s="922"/>
      <c r="AN52" s="97"/>
      <c r="AO52" s="97"/>
      <c r="AP52" s="99"/>
      <c r="AQ52" s="99"/>
      <c r="AR52" s="99"/>
      <c r="AS52" s="99"/>
      <c r="AT52" s="99"/>
      <c r="AU52" s="97"/>
      <c r="AV52" s="97"/>
      <c r="AW52" s="97"/>
      <c r="AX52" s="97"/>
      <c r="AY52" s="99"/>
      <c r="AZ52" s="99"/>
      <c r="BA52" s="99"/>
      <c r="BB52" s="97"/>
      <c r="BC52" s="97"/>
      <c r="BD52" s="97"/>
    </row>
    <row r="53" spans="1:56" s="102" customFormat="1" ht="20.149999999999999" customHeight="1" x14ac:dyDescent="0.45">
      <c r="A53" s="115"/>
      <c r="B53" s="137">
        <v>23</v>
      </c>
      <c r="C53" s="107" t="s">
        <v>145</v>
      </c>
      <c r="D53" s="919">
        <v>10</v>
      </c>
      <c r="E53" s="920"/>
      <c r="F53" s="919" t="s">
        <v>11920</v>
      </c>
      <c r="G53" s="921"/>
      <c r="H53" s="921"/>
      <c r="I53" s="921"/>
      <c r="J53" s="921"/>
      <c r="K53" s="921"/>
      <c r="L53" s="921"/>
      <c r="M53" s="921"/>
      <c r="N53" s="921"/>
      <c r="O53" s="921"/>
      <c r="P53" s="921"/>
      <c r="Q53" s="921"/>
      <c r="R53" s="922"/>
      <c r="S53" s="115"/>
      <c r="T53" s="137"/>
      <c r="U53" s="107" t="s">
        <v>145</v>
      </c>
      <c r="V53" s="919"/>
      <c r="W53" s="920"/>
      <c r="X53" s="919"/>
      <c r="Y53" s="921"/>
      <c r="Z53" s="921"/>
      <c r="AA53" s="921"/>
      <c r="AB53" s="921"/>
      <c r="AC53" s="921"/>
      <c r="AD53" s="921"/>
      <c r="AE53" s="921"/>
      <c r="AF53" s="921"/>
      <c r="AG53" s="921"/>
      <c r="AH53" s="921"/>
      <c r="AI53" s="921"/>
      <c r="AJ53" s="922"/>
      <c r="AN53" s="97"/>
      <c r="AO53" s="97"/>
      <c r="AP53" s="99"/>
      <c r="AQ53" s="99"/>
      <c r="AR53" s="99"/>
      <c r="AS53" s="99"/>
      <c r="AT53" s="99"/>
      <c r="AU53" s="97"/>
      <c r="AV53" s="97"/>
      <c r="AW53" s="97"/>
      <c r="AX53" s="97"/>
      <c r="AY53" s="99"/>
      <c r="AZ53" s="99"/>
      <c r="BA53" s="99"/>
      <c r="BB53" s="97"/>
      <c r="BC53" s="97"/>
      <c r="BD53" s="97"/>
    </row>
    <row r="54" spans="1:56" s="102" customFormat="1" ht="20.149999999999999" customHeight="1" x14ac:dyDescent="0.45">
      <c r="A54" s="115"/>
      <c r="B54" s="137"/>
      <c r="C54" s="107" t="s">
        <v>145</v>
      </c>
      <c r="D54" s="919"/>
      <c r="E54" s="920"/>
      <c r="F54" s="919"/>
      <c r="G54" s="921"/>
      <c r="H54" s="921"/>
      <c r="I54" s="921"/>
      <c r="J54" s="921"/>
      <c r="K54" s="921"/>
      <c r="L54" s="921"/>
      <c r="M54" s="921"/>
      <c r="N54" s="921"/>
      <c r="O54" s="921"/>
      <c r="P54" s="921"/>
      <c r="Q54" s="921"/>
      <c r="R54" s="922"/>
      <c r="S54" s="115"/>
      <c r="T54" s="137"/>
      <c r="U54" s="107" t="s">
        <v>145</v>
      </c>
      <c r="V54" s="919"/>
      <c r="W54" s="920"/>
      <c r="X54" s="919"/>
      <c r="Y54" s="921"/>
      <c r="Z54" s="921"/>
      <c r="AA54" s="921"/>
      <c r="AB54" s="921"/>
      <c r="AC54" s="921"/>
      <c r="AD54" s="921"/>
      <c r="AE54" s="921"/>
      <c r="AF54" s="921"/>
      <c r="AG54" s="921"/>
      <c r="AH54" s="921"/>
      <c r="AI54" s="921"/>
      <c r="AJ54" s="922"/>
      <c r="AN54" s="97"/>
      <c r="AO54" s="97"/>
      <c r="AP54" s="99"/>
      <c r="AQ54" s="99"/>
      <c r="AR54" s="99"/>
      <c r="AS54" s="99"/>
      <c r="AT54" s="99"/>
      <c r="AU54" s="97"/>
      <c r="AV54" s="97"/>
      <c r="AW54" s="97"/>
      <c r="AX54" s="97"/>
      <c r="AY54" s="99"/>
      <c r="AZ54" s="99"/>
      <c r="BA54" s="99"/>
      <c r="BB54" s="97"/>
      <c r="BC54" s="97"/>
      <c r="BD54" s="97"/>
    </row>
    <row r="55" spans="1:56" s="102" customFormat="1" ht="20.149999999999999" customHeight="1" x14ac:dyDescent="0.45">
      <c r="A55" s="115"/>
      <c r="B55" s="137"/>
      <c r="C55" s="107" t="s">
        <v>145</v>
      </c>
      <c r="D55" s="919"/>
      <c r="E55" s="920"/>
      <c r="F55" s="919"/>
      <c r="G55" s="921"/>
      <c r="H55" s="921"/>
      <c r="I55" s="921"/>
      <c r="J55" s="921"/>
      <c r="K55" s="921"/>
      <c r="L55" s="921"/>
      <c r="M55" s="921"/>
      <c r="N55" s="921"/>
      <c r="O55" s="921"/>
      <c r="P55" s="921"/>
      <c r="Q55" s="921"/>
      <c r="R55" s="922"/>
      <c r="S55" s="115"/>
      <c r="T55" s="137"/>
      <c r="U55" s="107" t="s">
        <v>145</v>
      </c>
      <c r="V55" s="919"/>
      <c r="W55" s="920"/>
      <c r="X55" s="919"/>
      <c r="Y55" s="921"/>
      <c r="Z55" s="921"/>
      <c r="AA55" s="921"/>
      <c r="AB55" s="921"/>
      <c r="AC55" s="921"/>
      <c r="AD55" s="921"/>
      <c r="AE55" s="921"/>
      <c r="AF55" s="921"/>
      <c r="AG55" s="921"/>
      <c r="AH55" s="921"/>
      <c r="AI55" s="921"/>
      <c r="AJ55" s="922"/>
      <c r="AN55" s="97"/>
      <c r="AO55" s="97"/>
      <c r="AP55" s="99"/>
      <c r="AQ55" s="99"/>
      <c r="AR55" s="99"/>
      <c r="AS55" s="99"/>
      <c r="AT55" s="99"/>
      <c r="AU55" s="97"/>
      <c r="AV55" s="97"/>
      <c r="AW55" s="97"/>
      <c r="AX55" s="97"/>
      <c r="AY55" s="99"/>
      <c r="AZ55" s="99"/>
      <c r="BA55" s="99"/>
      <c r="BB55" s="97"/>
      <c r="BC55" s="97"/>
      <c r="BD55" s="97"/>
    </row>
    <row r="56" spans="1:56" s="102" customFormat="1" ht="20.149999999999999" customHeight="1" x14ac:dyDescent="0.45">
      <c r="A56" s="115"/>
      <c r="B56" s="137"/>
      <c r="C56" s="107" t="s">
        <v>145</v>
      </c>
      <c r="D56" s="919"/>
      <c r="E56" s="920"/>
      <c r="F56" s="919"/>
      <c r="G56" s="921"/>
      <c r="H56" s="921"/>
      <c r="I56" s="921"/>
      <c r="J56" s="921"/>
      <c r="K56" s="921"/>
      <c r="L56" s="921"/>
      <c r="M56" s="921"/>
      <c r="N56" s="921"/>
      <c r="O56" s="921"/>
      <c r="P56" s="921"/>
      <c r="Q56" s="921"/>
      <c r="R56" s="922"/>
      <c r="S56" s="115"/>
      <c r="T56" s="137"/>
      <c r="U56" s="107" t="s">
        <v>145</v>
      </c>
      <c r="V56" s="919"/>
      <c r="W56" s="920"/>
      <c r="X56" s="919"/>
      <c r="Y56" s="921"/>
      <c r="Z56" s="921"/>
      <c r="AA56" s="921"/>
      <c r="AB56" s="921"/>
      <c r="AC56" s="921"/>
      <c r="AD56" s="921"/>
      <c r="AE56" s="921"/>
      <c r="AF56" s="921"/>
      <c r="AG56" s="921"/>
      <c r="AH56" s="921"/>
      <c r="AI56" s="921"/>
      <c r="AJ56" s="922"/>
      <c r="AN56" s="97"/>
      <c r="AO56" s="97"/>
      <c r="AP56" s="99"/>
      <c r="AQ56" s="99"/>
      <c r="AR56" s="99"/>
      <c r="AS56" s="99"/>
      <c r="AT56" s="99"/>
      <c r="AU56" s="97"/>
      <c r="AV56" s="97"/>
      <c r="AW56" s="97"/>
      <c r="AX56" s="97"/>
      <c r="AY56" s="99"/>
      <c r="AZ56" s="99"/>
      <c r="BA56" s="99"/>
      <c r="BB56" s="97"/>
      <c r="BC56" s="97"/>
      <c r="BD56" s="97"/>
    </row>
    <row r="57" spans="1:56" s="102" customFormat="1" ht="20.149999999999999" customHeight="1" thickBot="1" x14ac:dyDescent="0.6">
      <c r="A57" s="152" t="s">
        <v>2028</v>
      </c>
      <c r="B57" s="153"/>
      <c r="C57" s="154"/>
      <c r="D57" s="900" t="s">
        <v>157</v>
      </c>
      <c r="E57" s="900"/>
      <c r="F57" s="900"/>
      <c r="G57" s="154"/>
      <c r="H57" s="900" t="s">
        <v>2029</v>
      </c>
      <c r="I57" s="900"/>
      <c r="J57" s="154" t="s">
        <v>2030</v>
      </c>
      <c r="K57" s="154"/>
      <c r="L57" s="900" t="s">
        <v>2031</v>
      </c>
      <c r="M57" s="900"/>
      <c r="N57" s="900"/>
      <c r="O57" s="154" t="s">
        <v>2019</v>
      </c>
      <c r="P57" s="154"/>
      <c r="Q57" s="900" t="s">
        <v>158</v>
      </c>
      <c r="R57" s="900"/>
      <c r="S57" s="154" t="s">
        <v>2032</v>
      </c>
      <c r="T57" s="154"/>
      <c r="U57" s="900" t="s">
        <v>159</v>
      </c>
      <c r="V57" s="900"/>
      <c r="W57" s="154" t="s">
        <v>2033</v>
      </c>
      <c r="X57" s="154"/>
      <c r="Y57" s="900" t="s">
        <v>2034</v>
      </c>
      <c r="Z57" s="900"/>
      <c r="AA57" s="900"/>
      <c r="AB57" s="154" t="s">
        <v>2035</v>
      </c>
      <c r="AC57" s="154"/>
      <c r="AD57" s="900" t="s">
        <v>2036</v>
      </c>
      <c r="AE57" s="900"/>
      <c r="AF57" s="154" t="s">
        <v>2037</v>
      </c>
      <c r="AG57" s="154"/>
      <c r="AH57" s="154"/>
      <c r="AI57" s="154"/>
      <c r="AJ57" s="155"/>
      <c r="AN57" s="97"/>
      <c r="AO57" s="97"/>
      <c r="AP57" s="99"/>
      <c r="AQ57" s="99"/>
      <c r="AR57" s="99"/>
      <c r="AS57" s="99"/>
      <c r="AT57" s="99"/>
      <c r="AU57" s="97"/>
      <c r="AV57" s="97"/>
      <c r="AW57" s="97"/>
      <c r="AX57" s="97"/>
      <c r="AY57" s="99"/>
      <c r="AZ57" s="99"/>
      <c r="BA57" s="99"/>
      <c r="BB57" s="97"/>
      <c r="BC57" s="97"/>
      <c r="BD57" s="97"/>
    </row>
    <row r="58" spans="1:56" s="395" customFormat="1" ht="20.149999999999999" customHeight="1" x14ac:dyDescent="0.45">
      <c r="A58" s="901" t="s">
        <v>3987</v>
      </c>
      <c r="B58" s="901"/>
      <c r="C58" s="901"/>
      <c r="D58" s="901"/>
      <c r="E58" s="901"/>
      <c r="F58" s="901"/>
      <c r="G58" s="901"/>
      <c r="H58" s="901"/>
      <c r="I58" s="901"/>
      <c r="J58" s="901"/>
      <c r="K58" s="901"/>
      <c r="L58" s="901"/>
      <c r="M58" s="901"/>
      <c r="N58" s="901"/>
      <c r="O58" s="901"/>
      <c r="P58" s="901"/>
      <c r="Q58" s="901"/>
      <c r="R58" s="901"/>
      <c r="S58" s="901"/>
      <c r="T58" s="901"/>
      <c r="U58" s="901"/>
      <c r="V58" s="901"/>
      <c r="W58" s="901"/>
      <c r="X58" s="901"/>
      <c r="Y58" s="901"/>
      <c r="Z58" s="901"/>
      <c r="AA58" s="901"/>
      <c r="AB58" s="901"/>
      <c r="AC58" s="901"/>
      <c r="AD58" s="901"/>
      <c r="AE58" s="901"/>
      <c r="AF58" s="901"/>
      <c r="AG58" s="901"/>
      <c r="AH58" s="901"/>
      <c r="AI58" s="901"/>
      <c r="AJ58" s="901"/>
    </row>
    <row r="59" spans="1:56" s="395" customFormat="1" ht="20.149999999999999" customHeight="1" x14ac:dyDescent="0.45">
      <c r="A59" s="902" t="s">
        <v>3988</v>
      </c>
      <c r="B59" s="902"/>
      <c r="C59" s="902"/>
      <c r="D59" s="902"/>
      <c r="E59" s="902"/>
      <c r="F59" s="902"/>
      <c r="G59" s="902"/>
      <c r="H59" s="902"/>
      <c r="I59" s="902"/>
      <c r="J59" s="902"/>
      <c r="K59" s="902"/>
      <c r="L59" s="902"/>
      <c r="M59" s="902"/>
      <c r="N59" s="902"/>
      <c r="O59" s="902"/>
      <c r="P59" s="902"/>
      <c r="Q59" s="902"/>
      <c r="R59" s="902"/>
      <c r="S59" s="902"/>
      <c r="T59" s="902"/>
      <c r="U59" s="902"/>
      <c r="V59" s="902"/>
      <c r="W59" s="902"/>
      <c r="X59" s="902"/>
      <c r="Y59" s="902"/>
      <c r="Z59" s="902"/>
      <c r="AA59" s="902"/>
      <c r="AB59" s="902"/>
      <c r="AC59" s="902"/>
      <c r="AD59" s="902"/>
      <c r="AE59" s="902"/>
      <c r="AF59" s="902"/>
      <c r="AG59" s="902"/>
      <c r="AH59" s="902"/>
      <c r="AI59" s="902"/>
      <c r="AJ59" s="902"/>
    </row>
    <row r="60" spans="1:56" s="397" customFormat="1" ht="18.75" hidden="1" customHeight="1" thickBot="1" x14ac:dyDescent="0.6">
      <c r="A60" s="396"/>
      <c r="B60" s="396"/>
      <c r="C60" s="396"/>
      <c r="D60" s="396"/>
      <c r="E60" s="396"/>
      <c r="F60" s="396"/>
      <c r="G60" s="396"/>
      <c r="H60" s="396"/>
      <c r="I60" s="396"/>
      <c r="J60" s="396"/>
      <c r="K60" s="396"/>
      <c r="L60" s="396"/>
      <c r="M60" s="396"/>
      <c r="N60" s="396"/>
      <c r="O60" s="396"/>
      <c r="P60" s="396"/>
      <c r="Q60" s="396"/>
      <c r="R60" s="396"/>
      <c r="S60" s="396"/>
      <c r="T60" s="396"/>
      <c r="U60" s="396"/>
      <c r="V60" s="396"/>
      <c r="W60" s="396"/>
      <c r="X60" s="396"/>
      <c r="Y60" s="396"/>
      <c r="Z60" s="396"/>
      <c r="AA60" s="396"/>
      <c r="AB60" s="396"/>
      <c r="AC60" s="396"/>
      <c r="AD60" s="396"/>
      <c r="AE60" s="396"/>
      <c r="AF60" s="396"/>
      <c r="AG60" s="396"/>
      <c r="AH60" s="396"/>
      <c r="AI60" s="396"/>
      <c r="AJ60" s="396"/>
    </row>
    <row r="61" spans="1:56" s="400" customFormat="1" ht="20.149999999999999" hidden="1" customHeight="1" x14ac:dyDescent="0.45">
      <c r="A61" s="903" t="s">
        <v>160</v>
      </c>
      <c r="B61" s="904"/>
      <c r="C61" s="904"/>
      <c r="D61" s="904"/>
      <c r="E61" s="398" t="s">
        <v>205</v>
      </c>
      <c r="F61" s="904"/>
      <c r="G61" s="904"/>
      <c r="H61" s="904"/>
      <c r="I61" s="904"/>
      <c r="J61" s="904"/>
      <c r="K61" s="398" t="s">
        <v>206</v>
      </c>
      <c r="L61" s="904" t="s">
        <v>2038</v>
      </c>
      <c r="M61" s="904"/>
      <c r="N61" s="904"/>
      <c r="O61" s="904"/>
      <c r="P61" s="904"/>
      <c r="Q61" s="904"/>
      <c r="R61" s="904"/>
      <c r="S61" s="398" t="s">
        <v>205</v>
      </c>
      <c r="T61" s="905"/>
      <c r="U61" s="905"/>
      <c r="V61" s="905"/>
      <c r="W61" s="905"/>
      <c r="X61" s="905"/>
      <c r="Y61" s="905"/>
      <c r="Z61" s="905"/>
      <c r="AA61" s="905"/>
      <c r="AB61" s="905"/>
      <c r="AC61" s="905"/>
      <c r="AD61" s="905"/>
      <c r="AE61" s="905"/>
      <c r="AF61" s="905"/>
      <c r="AG61" s="905"/>
      <c r="AH61" s="905"/>
      <c r="AI61" s="398" t="s">
        <v>2039</v>
      </c>
      <c r="AJ61" s="399"/>
    </row>
    <row r="62" spans="1:56" s="397" customFormat="1" ht="20.149999999999999" hidden="1" customHeight="1" x14ac:dyDescent="0.45">
      <c r="A62" s="906"/>
      <c r="B62" s="907"/>
      <c r="C62" s="907"/>
      <c r="D62" s="907"/>
      <c r="E62" s="907"/>
      <c r="F62" s="907"/>
      <c r="G62" s="907"/>
      <c r="H62" s="907"/>
      <c r="I62" s="907"/>
      <c r="J62" s="907"/>
      <c r="K62" s="907"/>
      <c r="L62" s="907"/>
      <c r="M62" s="907"/>
      <c r="N62" s="907"/>
      <c r="O62" s="907"/>
      <c r="P62" s="907"/>
      <c r="Q62" s="907"/>
      <c r="R62" s="907"/>
      <c r="S62" s="907"/>
      <c r="T62" s="907"/>
      <c r="U62" s="907"/>
      <c r="V62" s="907"/>
      <c r="W62" s="907"/>
      <c r="X62" s="907"/>
      <c r="Y62" s="907"/>
      <c r="Z62" s="907"/>
      <c r="AA62" s="907"/>
      <c r="AB62" s="907"/>
      <c r="AC62" s="907"/>
      <c r="AD62" s="907"/>
      <c r="AE62" s="907"/>
      <c r="AF62" s="907"/>
      <c r="AG62" s="907"/>
      <c r="AH62" s="907"/>
      <c r="AI62" s="907"/>
      <c r="AJ62" s="908"/>
    </row>
    <row r="63" spans="1:56" s="397" customFormat="1" ht="20.149999999999999" hidden="1" customHeight="1" x14ac:dyDescent="0.45">
      <c r="A63" s="909"/>
      <c r="B63" s="910"/>
      <c r="C63" s="910"/>
      <c r="D63" s="910"/>
      <c r="E63" s="910"/>
      <c r="F63" s="910"/>
      <c r="G63" s="910"/>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1"/>
    </row>
    <row r="64" spans="1:56" s="397" customFormat="1" ht="20.149999999999999" hidden="1" customHeight="1" x14ac:dyDescent="0.45">
      <c r="A64" s="909"/>
      <c r="B64" s="910"/>
      <c r="C64" s="910"/>
      <c r="D64" s="910"/>
      <c r="E64" s="910"/>
      <c r="F64" s="910"/>
      <c r="G64" s="910"/>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1"/>
    </row>
    <row r="65" spans="1:36" s="397" customFormat="1" ht="20.149999999999999" hidden="1" customHeight="1" x14ac:dyDescent="0.45">
      <c r="A65" s="909"/>
      <c r="B65" s="910"/>
      <c r="C65" s="910"/>
      <c r="D65" s="910"/>
      <c r="E65" s="910"/>
      <c r="F65" s="910"/>
      <c r="G65" s="910"/>
      <c r="H65" s="910"/>
      <c r="I65" s="910"/>
      <c r="J65" s="910"/>
      <c r="K65" s="910"/>
      <c r="L65" s="910"/>
      <c r="M65" s="910"/>
      <c r="N65" s="910"/>
      <c r="O65" s="910"/>
      <c r="P65" s="910"/>
      <c r="Q65" s="910"/>
      <c r="R65" s="910"/>
      <c r="S65" s="910"/>
      <c r="T65" s="910"/>
      <c r="U65" s="910"/>
      <c r="V65" s="910"/>
      <c r="W65" s="910"/>
      <c r="X65" s="910"/>
      <c r="Y65" s="910"/>
      <c r="Z65" s="910"/>
      <c r="AA65" s="910"/>
      <c r="AB65" s="910"/>
      <c r="AC65" s="910"/>
      <c r="AD65" s="910"/>
      <c r="AE65" s="910"/>
      <c r="AF65" s="910"/>
      <c r="AG65" s="910"/>
      <c r="AH65" s="910"/>
      <c r="AI65" s="910"/>
      <c r="AJ65" s="911"/>
    </row>
    <row r="66" spans="1:36" s="397" customFormat="1" ht="20.149999999999999" hidden="1" customHeight="1" x14ac:dyDescent="0.45">
      <c r="A66" s="909"/>
      <c r="B66" s="910"/>
      <c r="C66" s="910"/>
      <c r="D66" s="910"/>
      <c r="E66" s="910"/>
      <c r="F66" s="910"/>
      <c r="G66" s="910"/>
      <c r="H66" s="910"/>
      <c r="I66" s="910"/>
      <c r="J66" s="910"/>
      <c r="K66" s="910"/>
      <c r="L66" s="910"/>
      <c r="M66" s="910"/>
      <c r="N66" s="910"/>
      <c r="O66" s="910"/>
      <c r="P66" s="910"/>
      <c r="Q66" s="910"/>
      <c r="R66" s="910"/>
      <c r="S66" s="910"/>
      <c r="T66" s="910"/>
      <c r="U66" s="910"/>
      <c r="V66" s="910"/>
      <c r="W66" s="910"/>
      <c r="X66" s="910"/>
      <c r="Y66" s="910"/>
      <c r="Z66" s="910"/>
      <c r="AA66" s="910"/>
      <c r="AB66" s="910"/>
      <c r="AC66" s="910"/>
      <c r="AD66" s="910"/>
      <c r="AE66" s="910"/>
      <c r="AF66" s="910"/>
      <c r="AG66" s="910"/>
      <c r="AH66" s="910"/>
      <c r="AI66" s="910"/>
      <c r="AJ66" s="911"/>
    </row>
    <row r="67" spans="1:36" s="397" customFormat="1" ht="20.149999999999999" hidden="1" customHeight="1" x14ac:dyDescent="0.45">
      <c r="A67" s="909"/>
      <c r="B67" s="910"/>
      <c r="C67" s="910"/>
      <c r="D67" s="910"/>
      <c r="E67" s="910"/>
      <c r="F67" s="910"/>
      <c r="G67" s="910"/>
      <c r="H67" s="910"/>
      <c r="I67" s="910"/>
      <c r="J67" s="910"/>
      <c r="K67" s="910"/>
      <c r="L67" s="910"/>
      <c r="M67" s="910"/>
      <c r="N67" s="910"/>
      <c r="O67" s="910"/>
      <c r="P67" s="910"/>
      <c r="Q67" s="910"/>
      <c r="R67" s="910"/>
      <c r="S67" s="910"/>
      <c r="T67" s="910"/>
      <c r="U67" s="910"/>
      <c r="V67" s="910"/>
      <c r="W67" s="910"/>
      <c r="X67" s="910"/>
      <c r="Y67" s="910"/>
      <c r="Z67" s="910"/>
      <c r="AA67" s="910"/>
      <c r="AB67" s="910"/>
      <c r="AC67" s="910"/>
      <c r="AD67" s="910"/>
      <c r="AE67" s="910"/>
      <c r="AF67" s="910"/>
      <c r="AG67" s="910"/>
      <c r="AH67" s="910"/>
      <c r="AI67" s="910"/>
      <c r="AJ67" s="911"/>
    </row>
    <row r="68" spans="1:36" s="397" customFormat="1" ht="20.149999999999999" hidden="1" customHeight="1" thickBot="1" x14ac:dyDescent="0.6">
      <c r="A68" s="912"/>
      <c r="B68" s="913"/>
      <c r="C68" s="913"/>
      <c r="D68" s="913"/>
      <c r="E68" s="913"/>
      <c r="F68" s="913"/>
      <c r="G68" s="913"/>
      <c r="H68" s="913"/>
      <c r="I68" s="913"/>
      <c r="J68" s="913"/>
      <c r="K68" s="913"/>
      <c r="L68" s="913"/>
      <c r="M68" s="913"/>
      <c r="N68" s="913"/>
      <c r="O68" s="913"/>
      <c r="P68" s="913"/>
      <c r="Q68" s="913"/>
      <c r="R68" s="913"/>
      <c r="S68" s="913"/>
      <c r="T68" s="913"/>
      <c r="U68" s="913"/>
      <c r="V68" s="913"/>
      <c r="W68" s="913"/>
      <c r="X68" s="913"/>
      <c r="Y68" s="913"/>
      <c r="Z68" s="913"/>
      <c r="AA68" s="913"/>
      <c r="AB68" s="913"/>
      <c r="AC68" s="913"/>
      <c r="AD68" s="913"/>
      <c r="AE68" s="913"/>
      <c r="AF68" s="913"/>
      <c r="AG68" s="913"/>
      <c r="AH68" s="913"/>
      <c r="AI68" s="913"/>
      <c r="AJ68" s="914"/>
    </row>
    <row r="69" spans="1:36" s="397" customFormat="1" x14ac:dyDescent="0.45"/>
    <row r="70" spans="1:36" s="401" customFormat="1" ht="16.75" x14ac:dyDescent="0.45">
      <c r="I70" s="915" t="s">
        <v>3989</v>
      </c>
      <c r="J70" s="915"/>
      <c r="K70" s="915"/>
      <c r="L70" s="915"/>
      <c r="M70" s="915"/>
      <c r="N70" s="915"/>
      <c r="O70" s="915"/>
      <c r="P70" s="915" t="s">
        <v>2040</v>
      </c>
      <c r="Q70" s="915"/>
      <c r="R70" s="915"/>
      <c r="S70" s="915"/>
      <c r="T70" s="915"/>
      <c r="U70" s="915"/>
      <c r="V70" s="915"/>
      <c r="W70" s="916" t="s">
        <v>161</v>
      </c>
      <c r="X70" s="917"/>
      <c r="Y70" s="917"/>
      <c r="Z70" s="917"/>
      <c r="AA70" s="917"/>
      <c r="AB70" s="917"/>
      <c r="AC70" s="918"/>
      <c r="AD70" s="916" t="s">
        <v>162</v>
      </c>
      <c r="AE70" s="917"/>
      <c r="AF70" s="917"/>
      <c r="AG70" s="917"/>
      <c r="AH70" s="917"/>
      <c r="AI70" s="917"/>
      <c r="AJ70" s="918"/>
    </row>
    <row r="71" spans="1:36" s="402" customFormat="1" ht="13.5" customHeight="1" x14ac:dyDescent="0.45">
      <c r="I71" s="890" t="s">
        <v>1062</v>
      </c>
      <c r="J71" s="890"/>
      <c r="K71" s="890"/>
      <c r="L71" s="890"/>
      <c r="M71" s="890"/>
      <c r="N71" s="890"/>
      <c r="O71" s="890"/>
      <c r="P71" s="890" t="s">
        <v>8429</v>
      </c>
      <c r="Q71" s="890"/>
      <c r="R71" s="890"/>
      <c r="S71" s="890"/>
      <c r="T71" s="890"/>
      <c r="U71" s="890"/>
      <c r="V71" s="890"/>
      <c r="W71" s="891" t="s">
        <v>8425</v>
      </c>
      <c r="X71" s="892"/>
      <c r="Y71" s="892"/>
      <c r="Z71" s="892"/>
      <c r="AA71" s="892"/>
      <c r="AB71" s="892"/>
      <c r="AC71" s="893"/>
      <c r="AD71" s="891" t="s">
        <v>597</v>
      </c>
      <c r="AE71" s="892"/>
      <c r="AF71" s="892"/>
      <c r="AG71" s="892"/>
      <c r="AH71" s="892"/>
      <c r="AI71" s="892"/>
      <c r="AJ71" s="893"/>
    </row>
    <row r="72" spans="1:36" s="402" customFormat="1" ht="13.5" customHeight="1" x14ac:dyDescent="0.45">
      <c r="I72" s="890"/>
      <c r="J72" s="890"/>
      <c r="K72" s="890"/>
      <c r="L72" s="890"/>
      <c r="M72" s="890"/>
      <c r="N72" s="890"/>
      <c r="O72" s="890"/>
      <c r="P72" s="890"/>
      <c r="Q72" s="890"/>
      <c r="R72" s="890"/>
      <c r="S72" s="890"/>
      <c r="T72" s="890"/>
      <c r="U72" s="890"/>
      <c r="V72" s="890"/>
      <c r="W72" s="894"/>
      <c r="X72" s="895"/>
      <c r="Y72" s="895"/>
      <c r="Z72" s="895"/>
      <c r="AA72" s="895"/>
      <c r="AB72" s="895"/>
      <c r="AC72" s="896"/>
      <c r="AD72" s="894"/>
      <c r="AE72" s="895"/>
      <c r="AF72" s="895"/>
      <c r="AG72" s="895"/>
      <c r="AH72" s="895"/>
      <c r="AI72" s="895"/>
      <c r="AJ72" s="896"/>
    </row>
    <row r="73" spans="1:36" s="402" customFormat="1" ht="13.5" customHeight="1" x14ac:dyDescent="0.45">
      <c r="I73" s="890"/>
      <c r="J73" s="890"/>
      <c r="K73" s="890"/>
      <c r="L73" s="890"/>
      <c r="M73" s="890"/>
      <c r="N73" s="890"/>
      <c r="O73" s="890"/>
      <c r="P73" s="890"/>
      <c r="Q73" s="890"/>
      <c r="R73" s="890"/>
      <c r="S73" s="890"/>
      <c r="T73" s="890"/>
      <c r="U73" s="890"/>
      <c r="V73" s="890"/>
      <c r="W73" s="897"/>
      <c r="X73" s="898"/>
      <c r="Y73" s="898"/>
      <c r="Z73" s="898"/>
      <c r="AA73" s="898"/>
      <c r="AB73" s="898"/>
      <c r="AC73" s="899"/>
      <c r="AD73" s="897"/>
      <c r="AE73" s="898"/>
      <c r="AF73" s="898"/>
      <c r="AG73" s="898"/>
      <c r="AH73" s="898"/>
      <c r="AI73" s="898"/>
      <c r="AJ73" s="899"/>
    </row>
  </sheetData>
  <mergeCells count="273">
    <mergeCell ref="AC2:AD3"/>
    <mergeCell ref="AF2:AJ2"/>
    <mergeCell ref="A3:B3"/>
    <mergeCell ref="O3:P3"/>
    <mergeCell ref="Q3:R3"/>
    <mergeCell ref="S3:AA3"/>
    <mergeCell ref="AF3:AJ3"/>
    <mergeCell ref="A1:F1"/>
    <mergeCell ref="G1:J1"/>
    <mergeCell ref="K1:L1"/>
    <mergeCell ref="A2:B2"/>
    <mergeCell ref="C2:N4"/>
    <mergeCell ref="P2:Q2"/>
    <mergeCell ref="A4:B4"/>
    <mergeCell ref="O4:P4"/>
    <mergeCell ref="Q4:R4"/>
    <mergeCell ref="S4:AA4"/>
    <mergeCell ref="AC4:AD4"/>
    <mergeCell ref="AF4:AJ4"/>
    <mergeCell ref="A5:B5"/>
    <mergeCell ref="C5:I7"/>
    <mergeCell ref="L5:M5"/>
    <mergeCell ref="S5:T5"/>
    <mergeCell ref="A6:B6"/>
    <mergeCell ref="L6:M6"/>
    <mergeCell ref="N6:O6"/>
    <mergeCell ref="S6:T6"/>
    <mergeCell ref="V6:Z6"/>
    <mergeCell ref="AA6:AE6"/>
    <mergeCell ref="AF6:AJ6"/>
    <mergeCell ref="A7:B7"/>
    <mergeCell ref="L7:M7"/>
    <mergeCell ref="N7:O7"/>
    <mergeCell ref="S7:T7"/>
    <mergeCell ref="AA7:AE7"/>
    <mergeCell ref="N11:O11"/>
    <mergeCell ref="R11:S11"/>
    <mergeCell ref="V11:W11"/>
    <mergeCell ref="X11:Y11"/>
    <mergeCell ref="R12:S12"/>
    <mergeCell ref="C13:J13"/>
    <mergeCell ref="AG8:AJ8"/>
    <mergeCell ref="B9:K9"/>
    <mergeCell ref="L9:O9"/>
    <mergeCell ref="R9:S9"/>
    <mergeCell ref="W9:AF9"/>
    <mergeCell ref="AG9:AJ9"/>
    <mergeCell ref="A8:C8"/>
    <mergeCell ref="L8:O8"/>
    <mergeCell ref="P8:P12"/>
    <mergeCell ref="R8:S8"/>
    <mergeCell ref="U8:U12"/>
    <mergeCell ref="V8:X8"/>
    <mergeCell ref="M10:O10"/>
    <mergeCell ref="R10:S10"/>
    <mergeCell ref="V10:X10"/>
    <mergeCell ref="L11:M11"/>
    <mergeCell ref="AP14:AQ14"/>
    <mergeCell ref="A15:B15"/>
    <mergeCell ref="C15:D15"/>
    <mergeCell ref="E15:F15"/>
    <mergeCell ref="G15:H15"/>
    <mergeCell ref="I15:J15"/>
    <mergeCell ref="AA15:AB15"/>
    <mergeCell ref="AA13:AH13"/>
    <mergeCell ref="AP13:AQ13"/>
    <mergeCell ref="A14:B14"/>
    <mergeCell ref="C14:D14"/>
    <mergeCell ref="E14:F14"/>
    <mergeCell ref="G14:H14"/>
    <mergeCell ref="I14:J14"/>
    <mergeCell ref="R14:S14"/>
    <mergeCell ref="AA14:AB14"/>
    <mergeCell ref="AC14:AD14"/>
    <mergeCell ref="AC15:AD15"/>
    <mergeCell ref="AE15:AF15"/>
    <mergeCell ref="AG15:AH15"/>
    <mergeCell ref="AI15:AJ15"/>
    <mergeCell ref="L16:P16"/>
    <mergeCell ref="U16:Y16"/>
    <mergeCell ref="AE14:AF14"/>
    <mergeCell ref="AG14:AH14"/>
    <mergeCell ref="AI14:AJ14"/>
    <mergeCell ref="L20:P20"/>
    <mergeCell ref="U20:Y20"/>
    <mergeCell ref="L21:P21"/>
    <mergeCell ref="U21:Y21"/>
    <mergeCell ref="L22:P22"/>
    <mergeCell ref="U22:Y22"/>
    <mergeCell ref="L17:P17"/>
    <mergeCell ref="U17:Y17"/>
    <mergeCell ref="L18:P18"/>
    <mergeCell ref="U18:Y18"/>
    <mergeCell ref="L19:P19"/>
    <mergeCell ref="U19:Y19"/>
    <mergeCell ref="L27:P27"/>
    <mergeCell ref="U27:Y27"/>
    <mergeCell ref="L28:P28"/>
    <mergeCell ref="U28:Y28"/>
    <mergeCell ref="L29:P29"/>
    <mergeCell ref="U29:Y29"/>
    <mergeCell ref="L23:P23"/>
    <mergeCell ref="U23:Y23"/>
    <mergeCell ref="Q24:T24"/>
    <mergeCell ref="L25:P25"/>
    <mergeCell ref="U25:Y25"/>
    <mergeCell ref="L26:P26"/>
    <mergeCell ref="U26:Y26"/>
    <mergeCell ref="L33:P33"/>
    <mergeCell ref="R33:S33"/>
    <mergeCell ref="U33:Y33"/>
    <mergeCell ref="C34:I35"/>
    <mergeCell ref="J34:J35"/>
    <mergeCell ref="K34:Q35"/>
    <mergeCell ref="R34:S34"/>
    <mergeCell ref="U34:AA35"/>
    <mergeCell ref="L30:P30"/>
    <mergeCell ref="U30:Y30"/>
    <mergeCell ref="L31:P31"/>
    <mergeCell ref="U31:Y31"/>
    <mergeCell ref="L32:P32"/>
    <mergeCell ref="U32:Y32"/>
    <mergeCell ref="E37:I37"/>
    <mergeCell ref="M37:Q37"/>
    <mergeCell ref="W37:AA37"/>
    <mergeCell ref="AE37:AI37"/>
    <mergeCell ref="E38:I38"/>
    <mergeCell ref="M38:Q38"/>
    <mergeCell ref="W38:AA38"/>
    <mergeCell ref="AE38:AI38"/>
    <mergeCell ref="AB34:AB35"/>
    <mergeCell ref="AC34:AI35"/>
    <mergeCell ref="R35:S35"/>
    <mergeCell ref="E36:I36"/>
    <mergeCell ref="M36:Q36"/>
    <mergeCell ref="W36:AA36"/>
    <mergeCell ref="AE36:AI36"/>
    <mergeCell ref="E41:I41"/>
    <mergeCell ref="M41:Q41"/>
    <mergeCell ref="W41:AA41"/>
    <mergeCell ref="AE41:AI41"/>
    <mergeCell ref="E42:I42"/>
    <mergeCell ref="M42:Q42"/>
    <mergeCell ref="W42:AA42"/>
    <mergeCell ref="AE42:AI42"/>
    <mergeCell ref="E39:I39"/>
    <mergeCell ref="M39:Q39"/>
    <mergeCell ref="W39:AA39"/>
    <mergeCell ref="AE39:AI39"/>
    <mergeCell ref="E40:I40"/>
    <mergeCell ref="M40:Q40"/>
    <mergeCell ref="W40:AA40"/>
    <mergeCell ref="AE40:AI40"/>
    <mergeCell ref="E43:I43"/>
    <mergeCell ref="M43:Q43"/>
    <mergeCell ref="W43:AA43"/>
    <mergeCell ref="AE43:AI43"/>
    <mergeCell ref="A44:G44"/>
    <mergeCell ref="H44:I44"/>
    <mergeCell ref="J44:K44"/>
    <mergeCell ref="L44:M44"/>
    <mergeCell ref="N44:O44"/>
    <mergeCell ref="P44:Q44"/>
    <mergeCell ref="AD44:AJ44"/>
    <mergeCell ref="R44:S44"/>
    <mergeCell ref="T44:U44"/>
    <mergeCell ref="V44:W44"/>
    <mergeCell ref="X44:Y44"/>
    <mergeCell ref="Z44:AA44"/>
    <mergeCell ref="AB44:AC44"/>
    <mergeCell ref="Z45:AA45"/>
    <mergeCell ref="AB45:AC45"/>
    <mergeCell ref="H46:I46"/>
    <mergeCell ref="J46:K46"/>
    <mergeCell ref="L46:M46"/>
    <mergeCell ref="N46:O46"/>
    <mergeCell ref="P46:Q46"/>
    <mergeCell ref="T46:U46"/>
    <mergeCell ref="V46:W46"/>
    <mergeCell ref="X46:Y46"/>
    <mergeCell ref="Z46:AA46"/>
    <mergeCell ref="AB46:AC46"/>
    <mergeCell ref="H45:I45"/>
    <mergeCell ref="J45:K45"/>
    <mergeCell ref="L45:M45"/>
    <mergeCell ref="N45:O45"/>
    <mergeCell ref="P45:Q45"/>
    <mergeCell ref="T45:U45"/>
    <mergeCell ref="V45:W45"/>
    <mergeCell ref="X45:Y45"/>
    <mergeCell ref="T48:U48"/>
    <mergeCell ref="V48:W48"/>
    <mergeCell ref="X48:Y48"/>
    <mergeCell ref="H47:I47"/>
    <mergeCell ref="J47:K47"/>
    <mergeCell ref="L47:M47"/>
    <mergeCell ref="N47:O47"/>
    <mergeCell ref="P47:Q47"/>
    <mergeCell ref="T47:U47"/>
    <mergeCell ref="V47:W47"/>
    <mergeCell ref="X47:Y47"/>
    <mergeCell ref="A50:C50"/>
    <mergeCell ref="D50:E50"/>
    <mergeCell ref="F50:R50"/>
    <mergeCell ref="S50:U50"/>
    <mergeCell ref="V50:W50"/>
    <mergeCell ref="X50:AJ50"/>
    <mergeCell ref="Z48:AA48"/>
    <mergeCell ref="AB48:AC48"/>
    <mergeCell ref="H49:I49"/>
    <mergeCell ref="J49:K49"/>
    <mergeCell ref="L49:M49"/>
    <mergeCell ref="N49:O49"/>
    <mergeCell ref="P49:Q49"/>
    <mergeCell ref="T49:U49"/>
    <mergeCell ref="V49:W49"/>
    <mergeCell ref="X49:Y49"/>
    <mergeCell ref="A45:G49"/>
    <mergeCell ref="Z47:AA47"/>
    <mergeCell ref="AB47:AC47"/>
    <mergeCell ref="H48:I48"/>
    <mergeCell ref="J48:K48"/>
    <mergeCell ref="L48:M48"/>
    <mergeCell ref="N48:O48"/>
    <mergeCell ref="P48:Q48"/>
    <mergeCell ref="D51:E51"/>
    <mergeCell ref="F51:R51"/>
    <mergeCell ref="V51:W51"/>
    <mergeCell ref="X51:AJ51"/>
    <mergeCell ref="D52:E52"/>
    <mergeCell ref="F52:R52"/>
    <mergeCell ref="V52:W52"/>
    <mergeCell ref="X52:AJ52"/>
    <mergeCell ref="Z49:AA49"/>
    <mergeCell ref="AB49:AC49"/>
    <mergeCell ref="D55:E55"/>
    <mergeCell ref="F55:R55"/>
    <mergeCell ref="V55:W55"/>
    <mergeCell ref="X55:AJ55"/>
    <mergeCell ref="D56:E56"/>
    <mergeCell ref="F56:R56"/>
    <mergeCell ref="V56:W56"/>
    <mergeCell ref="X56:AJ56"/>
    <mergeCell ref="D53:E53"/>
    <mergeCell ref="F53:R53"/>
    <mergeCell ref="V53:W53"/>
    <mergeCell ref="X53:AJ53"/>
    <mergeCell ref="D54:E54"/>
    <mergeCell ref="F54:R54"/>
    <mergeCell ref="V54:W54"/>
    <mergeCell ref="X54:AJ54"/>
    <mergeCell ref="I71:O73"/>
    <mergeCell ref="P71:V73"/>
    <mergeCell ref="W71:AC73"/>
    <mergeCell ref="AD71:AJ73"/>
    <mergeCell ref="D57:F57"/>
    <mergeCell ref="H57:I57"/>
    <mergeCell ref="L57:N57"/>
    <mergeCell ref="Q57:R57"/>
    <mergeCell ref="U57:V57"/>
    <mergeCell ref="Y57:AA57"/>
    <mergeCell ref="AD57:AE57"/>
    <mergeCell ref="A58:AJ58"/>
    <mergeCell ref="A59:AJ59"/>
    <mergeCell ref="A61:D61"/>
    <mergeCell ref="F61:J61"/>
    <mergeCell ref="L61:R61"/>
    <mergeCell ref="T61:AH61"/>
    <mergeCell ref="A62:AJ68"/>
    <mergeCell ref="I70:O70"/>
    <mergeCell ref="P70:V70"/>
    <mergeCell ref="W70:AC70"/>
    <mergeCell ref="AD70:AJ70"/>
  </mergeCells>
  <phoneticPr fontId="5"/>
  <printOptions horizontalCentered="1" verticalCentered="1"/>
  <pageMargins left="0" right="0" top="0" bottom="0" header="0.19685039370078741" footer="0.35433070866141736"/>
  <pageSetup paperSize="9" scale="68" orientation="portrait" r:id="rId1"/>
  <headerFooter alignWithMargins="0"/>
  <rowBreaks count="1" manualBreakCount="1">
    <brk id="66" max="16383" man="1"/>
  </rowBreaks>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610C05E-2BDD-46C1-9748-444FBDA1F08D}">
          <x14:formula1>
            <xm:f>項目!$G$1:$G$33</xm:f>
          </x14:formula1>
          <xm:sqref>AF2:AJ4 G69:AA71</xm:sqref>
        </x14:dataValidation>
        <x14:dataValidation type="list" allowBlank="1" showInputMessage="1" showErrorMessage="1" xr:uid="{A12525E0-878C-4078-B5ED-A705AF551687}">
          <x14:formula1>
            <xm:f>項目!$H$1:$H$33</xm:f>
          </x14:formula1>
          <xm:sqref>V6:Z6 AA6:AE7 AF6:AJ6 AB69:AJ71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T29"/>
  <sheetViews>
    <sheetView workbookViewId="0">
      <selection activeCell="E10" sqref="E10"/>
    </sheetView>
  </sheetViews>
  <sheetFormatPr defaultRowHeight="13.25" x14ac:dyDescent="0.45"/>
  <cols>
    <col min="1" max="1" width="28.36328125" style="158" bestFit="1" customWidth="1"/>
    <col min="2" max="2" width="9" style="158"/>
    <col min="3" max="3" width="15.1328125" style="159" bestFit="1" customWidth="1"/>
    <col min="4" max="4" width="9" style="3"/>
    <col min="5" max="5" width="37.1328125" style="3" bestFit="1" customWidth="1"/>
    <col min="6" max="6" width="9" style="3"/>
    <col min="7" max="7" width="12.31640625" style="3" bestFit="1" customWidth="1"/>
    <col min="8" max="8" width="13.04296875" style="3" bestFit="1" customWidth="1"/>
    <col min="9" max="19" width="9" style="3"/>
    <col min="21" max="21" width="9" style="3"/>
    <col min="22" max="22" width="8.7265625" style="3"/>
    <col min="23" max="252" width="9" style="3"/>
    <col min="253" max="253" width="28.36328125" style="3" bestFit="1" customWidth="1"/>
    <col min="254" max="254" width="9" style="3"/>
    <col min="255" max="255" width="15.1328125" style="3" bestFit="1" customWidth="1"/>
    <col min="256" max="508" width="9" style="3"/>
    <col min="509" max="509" width="28.36328125" style="3" bestFit="1" customWidth="1"/>
    <col min="510" max="510" width="9" style="3"/>
    <col min="511" max="511" width="15.1328125" style="3" bestFit="1" customWidth="1"/>
    <col min="512" max="764" width="9" style="3"/>
    <col min="765" max="765" width="28.36328125" style="3" bestFit="1" customWidth="1"/>
    <col min="766" max="766" width="9" style="3"/>
    <col min="767" max="767" width="15.1328125" style="3" bestFit="1" customWidth="1"/>
    <col min="768" max="1020" width="9" style="3"/>
    <col min="1021" max="1021" width="28.36328125" style="3" bestFit="1" customWidth="1"/>
    <col min="1022" max="1022" width="9" style="3"/>
    <col min="1023" max="1023" width="15.1328125" style="3" bestFit="1" customWidth="1"/>
    <col min="1024" max="1276" width="9" style="3"/>
    <col min="1277" max="1277" width="28.36328125" style="3" bestFit="1" customWidth="1"/>
    <col min="1278" max="1278" width="9" style="3"/>
    <col min="1279" max="1279" width="15.1328125" style="3" bestFit="1" customWidth="1"/>
    <col min="1280" max="1532" width="9" style="3"/>
    <col min="1533" max="1533" width="28.36328125" style="3" bestFit="1" customWidth="1"/>
    <col min="1534" max="1534" width="9" style="3"/>
    <col min="1535" max="1535" width="15.1328125" style="3" bestFit="1" customWidth="1"/>
    <col min="1536" max="1788" width="9" style="3"/>
    <col min="1789" max="1789" width="28.36328125" style="3" bestFit="1" customWidth="1"/>
    <col min="1790" max="1790" width="9" style="3"/>
    <col min="1791" max="1791" width="15.1328125" style="3" bestFit="1" customWidth="1"/>
    <col min="1792" max="2044" width="9" style="3"/>
    <col min="2045" max="2045" width="28.36328125" style="3" bestFit="1" customWidth="1"/>
    <col min="2046" max="2046" width="9" style="3"/>
    <col min="2047" max="2047" width="15.1328125" style="3" bestFit="1" customWidth="1"/>
    <col min="2048" max="2300" width="9" style="3"/>
    <col min="2301" max="2301" width="28.36328125" style="3" bestFit="1" customWidth="1"/>
    <col min="2302" max="2302" width="9" style="3"/>
    <col min="2303" max="2303" width="15.1328125" style="3" bestFit="1" customWidth="1"/>
    <col min="2304" max="2556" width="9" style="3"/>
    <col min="2557" max="2557" width="28.36328125" style="3" bestFit="1" customWidth="1"/>
    <col min="2558" max="2558" width="9" style="3"/>
    <col min="2559" max="2559" width="15.1328125" style="3" bestFit="1" customWidth="1"/>
    <col min="2560" max="2812" width="9" style="3"/>
    <col min="2813" max="2813" width="28.36328125" style="3" bestFit="1" customWidth="1"/>
    <col min="2814" max="2814" width="9" style="3"/>
    <col min="2815" max="2815" width="15.1328125" style="3" bestFit="1" customWidth="1"/>
    <col min="2816" max="3068" width="9" style="3"/>
    <col min="3069" max="3069" width="28.36328125" style="3" bestFit="1" customWidth="1"/>
    <col min="3070" max="3070" width="9" style="3"/>
    <col min="3071" max="3071" width="15.1328125" style="3" bestFit="1" customWidth="1"/>
    <col min="3072" max="3324" width="9" style="3"/>
    <col min="3325" max="3325" width="28.36328125" style="3" bestFit="1" customWidth="1"/>
    <col min="3326" max="3326" width="9" style="3"/>
    <col min="3327" max="3327" width="15.1328125" style="3" bestFit="1" customWidth="1"/>
    <col min="3328" max="3580" width="9" style="3"/>
    <col min="3581" max="3581" width="28.36328125" style="3" bestFit="1" customWidth="1"/>
    <col min="3582" max="3582" width="9" style="3"/>
    <col min="3583" max="3583" width="15.1328125" style="3" bestFit="1" customWidth="1"/>
    <col min="3584" max="3836" width="9" style="3"/>
    <col min="3837" max="3837" width="28.36328125" style="3" bestFit="1" customWidth="1"/>
    <col min="3838" max="3838" width="9" style="3"/>
    <col min="3839" max="3839" width="15.1328125" style="3" bestFit="1" customWidth="1"/>
    <col min="3840" max="4092" width="9" style="3"/>
    <col min="4093" max="4093" width="28.36328125" style="3" bestFit="1" customWidth="1"/>
    <col min="4094" max="4094" width="9" style="3"/>
    <col min="4095" max="4095" width="15.1328125" style="3" bestFit="1" customWidth="1"/>
    <col min="4096" max="4348" width="9" style="3"/>
    <col min="4349" max="4349" width="28.36328125" style="3" bestFit="1" customWidth="1"/>
    <col min="4350" max="4350" width="9" style="3"/>
    <col min="4351" max="4351" width="15.1328125" style="3" bestFit="1" customWidth="1"/>
    <col min="4352" max="4604" width="9" style="3"/>
    <col min="4605" max="4605" width="28.36328125" style="3" bestFit="1" customWidth="1"/>
    <col min="4606" max="4606" width="9" style="3"/>
    <col min="4607" max="4607" width="15.1328125" style="3" bestFit="1" customWidth="1"/>
    <col min="4608" max="4860" width="9" style="3"/>
    <col min="4861" max="4861" width="28.36328125" style="3" bestFit="1" customWidth="1"/>
    <col min="4862" max="4862" width="9" style="3"/>
    <col min="4863" max="4863" width="15.1328125" style="3" bestFit="1" customWidth="1"/>
    <col min="4864" max="5116" width="9" style="3"/>
    <col min="5117" max="5117" width="28.36328125" style="3" bestFit="1" customWidth="1"/>
    <col min="5118" max="5118" width="9" style="3"/>
    <col min="5119" max="5119" width="15.1328125" style="3" bestFit="1" customWidth="1"/>
    <col min="5120" max="5372" width="9" style="3"/>
    <col min="5373" max="5373" width="28.36328125" style="3" bestFit="1" customWidth="1"/>
    <col min="5374" max="5374" width="9" style="3"/>
    <col min="5375" max="5375" width="15.1328125" style="3" bestFit="1" customWidth="1"/>
    <col min="5376" max="5628" width="9" style="3"/>
    <col min="5629" max="5629" width="28.36328125" style="3" bestFit="1" customWidth="1"/>
    <col min="5630" max="5630" width="9" style="3"/>
    <col min="5631" max="5631" width="15.1328125" style="3" bestFit="1" customWidth="1"/>
    <col min="5632" max="5884" width="9" style="3"/>
    <col min="5885" max="5885" width="28.36328125" style="3" bestFit="1" customWidth="1"/>
    <col min="5886" max="5886" width="9" style="3"/>
    <col min="5887" max="5887" width="15.1328125" style="3" bestFit="1" customWidth="1"/>
    <col min="5888" max="6140" width="9" style="3"/>
    <col min="6141" max="6141" width="28.36328125" style="3" bestFit="1" customWidth="1"/>
    <col min="6142" max="6142" width="9" style="3"/>
    <col min="6143" max="6143" width="15.1328125" style="3" bestFit="1" customWidth="1"/>
    <col min="6144" max="6396" width="9" style="3"/>
    <col min="6397" max="6397" width="28.36328125" style="3" bestFit="1" customWidth="1"/>
    <col min="6398" max="6398" width="9" style="3"/>
    <col min="6399" max="6399" width="15.1328125" style="3" bestFit="1" customWidth="1"/>
    <col min="6400" max="6652" width="9" style="3"/>
    <col min="6653" max="6653" width="28.36328125" style="3" bestFit="1" customWidth="1"/>
    <col min="6654" max="6654" width="9" style="3"/>
    <col min="6655" max="6655" width="15.1328125" style="3" bestFit="1" customWidth="1"/>
    <col min="6656" max="6908" width="9" style="3"/>
    <col min="6909" max="6909" width="28.36328125" style="3" bestFit="1" customWidth="1"/>
    <col min="6910" max="6910" width="9" style="3"/>
    <col min="6911" max="6911" width="15.1328125" style="3" bestFit="1" customWidth="1"/>
    <col min="6912" max="7164" width="9" style="3"/>
    <col min="7165" max="7165" width="28.36328125" style="3" bestFit="1" customWidth="1"/>
    <col min="7166" max="7166" width="9" style="3"/>
    <col min="7167" max="7167" width="15.1328125" style="3" bestFit="1" customWidth="1"/>
    <col min="7168" max="7420" width="9" style="3"/>
    <col min="7421" max="7421" width="28.36328125" style="3" bestFit="1" customWidth="1"/>
    <col min="7422" max="7422" width="9" style="3"/>
    <col min="7423" max="7423" width="15.1328125" style="3" bestFit="1" customWidth="1"/>
    <col min="7424" max="7676" width="9" style="3"/>
    <col min="7677" max="7677" width="28.36328125" style="3" bestFit="1" customWidth="1"/>
    <col min="7678" max="7678" width="9" style="3"/>
    <col min="7679" max="7679" width="15.1328125" style="3" bestFit="1" customWidth="1"/>
    <col min="7680" max="7932" width="9" style="3"/>
    <col min="7933" max="7933" width="28.36328125" style="3" bestFit="1" customWidth="1"/>
    <col min="7934" max="7934" width="9" style="3"/>
    <col min="7935" max="7935" width="15.1328125" style="3" bestFit="1" customWidth="1"/>
    <col min="7936" max="8188" width="9" style="3"/>
    <col min="8189" max="8189" width="28.36328125" style="3" bestFit="1" customWidth="1"/>
    <col min="8190" max="8190" width="9" style="3"/>
    <col min="8191" max="8191" width="15.1328125" style="3" bestFit="1" customWidth="1"/>
    <col min="8192" max="8444" width="9" style="3"/>
    <col min="8445" max="8445" width="28.36328125" style="3" bestFit="1" customWidth="1"/>
    <col min="8446" max="8446" width="9" style="3"/>
    <col min="8447" max="8447" width="15.1328125" style="3" bestFit="1" customWidth="1"/>
    <col min="8448" max="8700" width="9" style="3"/>
    <col min="8701" max="8701" width="28.36328125" style="3" bestFit="1" customWidth="1"/>
    <col min="8702" max="8702" width="9" style="3"/>
    <col min="8703" max="8703" width="15.1328125" style="3" bestFit="1" customWidth="1"/>
    <col min="8704" max="8956" width="9" style="3"/>
    <col min="8957" max="8957" width="28.36328125" style="3" bestFit="1" customWidth="1"/>
    <col min="8958" max="8958" width="9" style="3"/>
    <col min="8959" max="8959" width="15.1328125" style="3" bestFit="1" customWidth="1"/>
    <col min="8960" max="9212" width="9" style="3"/>
    <col min="9213" max="9213" width="28.36328125" style="3" bestFit="1" customWidth="1"/>
    <col min="9214" max="9214" width="9" style="3"/>
    <col min="9215" max="9215" width="15.1328125" style="3" bestFit="1" customWidth="1"/>
    <col min="9216" max="9468" width="9" style="3"/>
    <col min="9469" max="9469" width="28.36328125" style="3" bestFit="1" customWidth="1"/>
    <col min="9470" max="9470" width="9" style="3"/>
    <col min="9471" max="9471" width="15.1328125" style="3" bestFit="1" customWidth="1"/>
    <col min="9472" max="9724" width="9" style="3"/>
    <col min="9725" max="9725" width="28.36328125" style="3" bestFit="1" customWidth="1"/>
    <col min="9726" max="9726" width="9" style="3"/>
    <col min="9727" max="9727" width="15.1328125" style="3" bestFit="1" customWidth="1"/>
    <col min="9728" max="9980" width="9" style="3"/>
    <col min="9981" max="9981" width="28.36328125" style="3" bestFit="1" customWidth="1"/>
    <col min="9982" max="9982" width="9" style="3"/>
    <col min="9983" max="9983" width="15.1328125" style="3" bestFit="1" customWidth="1"/>
    <col min="9984" max="10236" width="9" style="3"/>
    <col min="10237" max="10237" width="28.36328125" style="3" bestFit="1" customWidth="1"/>
    <col min="10238" max="10238" width="9" style="3"/>
    <col min="10239" max="10239" width="15.1328125" style="3" bestFit="1" customWidth="1"/>
    <col min="10240" max="10492" width="9" style="3"/>
    <col min="10493" max="10493" width="28.36328125" style="3" bestFit="1" customWidth="1"/>
    <col min="10494" max="10494" width="9" style="3"/>
    <col min="10495" max="10495" width="15.1328125" style="3" bestFit="1" customWidth="1"/>
    <col min="10496" max="10748" width="9" style="3"/>
    <col min="10749" max="10749" width="28.36328125" style="3" bestFit="1" customWidth="1"/>
    <col min="10750" max="10750" width="9" style="3"/>
    <col min="10751" max="10751" width="15.1328125" style="3" bestFit="1" customWidth="1"/>
    <col min="10752" max="11004" width="9" style="3"/>
    <col min="11005" max="11005" width="28.36328125" style="3" bestFit="1" customWidth="1"/>
    <col min="11006" max="11006" width="9" style="3"/>
    <col min="11007" max="11007" width="15.1328125" style="3" bestFit="1" customWidth="1"/>
    <col min="11008" max="11260" width="9" style="3"/>
    <col min="11261" max="11261" width="28.36328125" style="3" bestFit="1" customWidth="1"/>
    <col min="11262" max="11262" width="9" style="3"/>
    <col min="11263" max="11263" width="15.1328125" style="3" bestFit="1" customWidth="1"/>
    <col min="11264" max="11516" width="9" style="3"/>
    <col min="11517" max="11517" width="28.36328125" style="3" bestFit="1" customWidth="1"/>
    <col min="11518" max="11518" width="9" style="3"/>
    <col min="11519" max="11519" width="15.1328125" style="3" bestFit="1" customWidth="1"/>
    <col min="11520" max="11772" width="9" style="3"/>
    <col min="11773" max="11773" width="28.36328125" style="3" bestFit="1" customWidth="1"/>
    <col min="11774" max="11774" width="9" style="3"/>
    <col min="11775" max="11775" width="15.1328125" style="3" bestFit="1" customWidth="1"/>
    <col min="11776" max="12028" width="9" style="3"/>
    <col min="12029" max="12029" width="28.36328125" style="3" bestFit="1" customWidth="1"/>
    <col min="12030" max="12030" width="9" style="3"/>
    <col min="12031" max="12031" width="15.1328125" style="3" bestFit="1" customWidth="1"/>
    <col min="12032" max="12284" width="9" style="3"/>
    <col min="12285" max="12285" width="28.36328125" style="3" bestFit="1" customWidth="1"/>
    <col min="12286" max="12286" width="9" style="3"/>
    <col min="12287" max="12287" width="15.1328125" style="3" bestFit="1" customWidth="1"/>
    <col min="12288" max="12540" width="9" style="3"/>
    <col min="12541" max="12541" width="28.36328125" style="3" bestFit="1" customWidth="1"/>
    <col min="12542" max="12542" width="9" style="3"/>
    <col min="12543" max="12543" width="15.1328125" style="3" bestFit="1" customWidth="1"/>
    <col min="12544" max="12796" width="9" style="3"/>
    <col min="12797" max="12797" width="28.36328125" style="3" bestFit="1" customWidth="1"/>
    <col min="12798" max="12798" width="9" style="3"/>
    <col min="12799" max="12799" width="15.1328125" style="3" bestFit="1" customWidth="1"/>
    <col min="12800" max="13052" width="9" style="3"/>
    <col min="13053" max="13053" width="28.36328125" style="3" bestFit="1" customWidth="1"/>
    <col min="13054" max="13054" width="9" style="3"/>
    <col min="13055" max="13055" width="15.1328125" style="3" bestFit="1" customWidth="1"/>
    <col min="13056" max="13308" width="9" style="3"/>
    <col min="13309" max="13309" width="28.36328125" style="3" bestFit="1" customWidth="1"/>
    <col min="13310" max="13310" width="9" style="3"/>
    <col min="13311" max="13311" width="15.1328125" style="3" bestFit="1" customWidth="1"/>
    <col min="13312" max="13564" width="9" style="3"/>
    <col min="13565" max="13565" width="28.36328125" style="3" bestFit="1" customWidth="1"/>
    <col min="13566" max="13566" width="9" style="3"/>
    <col min="13567" max="13567" width="15.1328125" style="3" bestFit="1" customWidth="1"/>
    <col min="13568" max="13820" width="9" style="3"/>
    <col min="13821" max="13821" width="28.36328125" style="3" bestFit="1" customWidth="1"/>
    <col min="13822" max="13822" width="9" style="3"/>
    <col min="13823" max="13823" width="15.1328125" style="3" bestFit="1" customWidth="1"/>
    <col min="13824" max="14076" width="9" style="3"/>
    <col min="14077" max="14077" width="28.36328125" style="3" bestFit="1" customWidth="1"/>
    <col min="14078" max="14078" width="9" style="3"/>
    <col min="14079" max="14079" width="15.1328125" style="3" bestFit="1" customWidth="1"/>
    <col min="14080" max="14332" width="9" style="3"/>
    <col min="14333" max="14333" width="28.36328125" style="3" bestFit="1" customWidth="1"/>
    <col min="14334" max="14334" width="9" style="3"/>
    <col min="14335" max="14335" width="15.1328125" style="3" bestFit="1" customWidth="1"/>
    <col min="14336" max="14588" width="9" style="3"/>
    <col min="14589" max="14589" width="28.36328125" style="3" bestFit="1" customWidth="1"/>
    <col min="14590" max="14590" width="9" style="3"/>
    <col min="14591" max="14591" width="15.1328125" style="3" bestFit="1" customWidth="1"/>
    <col min="14592" max="14844" width="9" style="3"/>
    <col min="14845" max="14845" width="28.36328125" style="3" bestFit="1" customWidth="1"/>
    <col min="14846" max="14846" width="9" style="3"/>
    <col min="14847" max="14847" width="15.1328125" style="3" bestFit="1" customWidth="1"/>
    <col min="14848" max="15100" width="9" style="3"/>
    <col min="15101" max="15101" width="28.36328125" style="3" bestFit="1" customWidth="1"/>
    <col min="15102" max="15102" width="9" style="3"/>
    <col min="15103" max="15103" width="15.1328125" style="3" bestFit="1" customWidth="1"/>
    <col min="15104" max="15356" width="9" style="3"/>
    <col min="15357" max="15357" width="28.36328125" style="3" bestFit="1" customWidth="1"/>
    <col min="15358" max="15358" width="9" style="3"/>
    <col min="15359" max="15359" width="15.1328125" style="3" bestFit="1" customWidth="1"/>
    <col min="15360" max="15612" width="9" style="3"/>
    <col min="15613" max="15613" width="28.36328125" style="3" bestFit="1" customWidth="1"/>
    <col min="15614" max="15614" width="9" style="3"/>
    <col min="15615" max="15615" width="15.1328125" style="3" bestFit="1" customWidth="1"/>
    <col min="15616" max="15868" width="9" style="3"/>
    <col min="15869" max="15869" width="28.36328125" style="3" bestFit="1" customWidth="1"/>
    <col min="15870" max="15870" width="9" style="3"/>
    <col min="15871" max="15871" width="15.1328125" style="3" bestFit="1" customWidth="1"/>
    <col min="15872" max="16124" width="9" style="3"/>
    <col min="16125" max="16125" width="28.36328125" style="3" bestFit="1" customWidth="1"/>
    <col min="16126" max="16126" width="9" style="3"/>
    <col min="16127" max="16127" width="15.1328125" style="3" bestFit="1" customWidth="1"/>
    <col min="16128" max="16380" width="9" style="3"/>
    <col min="16381" max="16384" width="9" style="3" customWidth="1"/>
  </cols>
  <sheetData>
    <row r="1" spans="1:19" x14ac:dyDescent="0.45">
      <c r="A1" s="5" t="s">
        <v>196</v>
      </c>
      <c r="B1" s="5"/>
      <c r="C1" s="5" t="s">
        <v>1547</v>
      </c>
      <c r="E1" s="5" t="s">
        <v>3256</v>
      </c>
      <c r="G1" s="5" t="s">
        <v>3923</v>
      </c>
      <c r="H1" s="5" t="s">
        <v>3926</v>
      </c>
    </row>
    <row r="2" spans="1:19" x14ac:dyDescent="0.45">
      <c r="A2" s="5" t="s">
        <v>1546</v>
      </c>
      <c r="B2" s="5"/>
      <c r="C2" s="5" t="s">
        <v>1545</v>
      </c>
      <c r="E2" s="3" t="s">
        <v>8447</v>
      </c>
      <c r="G2" s="3" t="s">
        <v>3922</v>
      </c>
      <c r="H2" s="3" t="s">
        <v>928</v>
      </c>
      <c r="I2" s="3" t="s">
        <v>11843</v>
      </c>
    </row>
    <row r="3" spans="1:19" x14ac:dyDescent="0.45">
      <c r="A3" s="5" t="s">
        <v>1543</v>
      </c>
      <c r="B3" s="161"/>
      <c r="C3" s="5" t="s">
        <v>1542</v>
      </c>
      <c r="E3" s="3" t="s">
        <v>8446</v>
      </c>
      <c r="G3" s="3" t="s">
        <v>1434</v>
      </c>
      <c r="H3" s="3" t="s">
        <v>1233</v>
      </c>
      <c r="I3" s="3" t="s">
        <v>1234</v>
      </c>
    </row>
    <row r="4" spans="1:19" x14ac:dyDescent="0.45">
      <c r="A4" s="160" t="s">
        <v>2051</v>
      </c>
      <c r="B4" s="5"/>
      <c r="C4" s="5" t="s">
        <v>1541</v>
      </c>
      <c r="E4" s="3" t="s">
        <v>3980</v>
      </c>
      <c r="G4" s="3" t="s">
        <v>1068</v>
      </c>
      <c r="H4" s="3" t="s">
        <v>1330</v>
      </c>
      <c r="I4" s="3" t="s">
        <v>1331</v>
      </c>
    </row>
    <row r="5" spans="1:19" x14ac:dyDescent="0.45">
      <c r="A5" s="5"/>
      <c r="B5" s="5"/>
      <c r="C5" s="5" t="s">
        <v>1538</v>
      </c>
      <c r="E5" s="3" t="s">
        <v>5832</v>
      </c>
      <c r="G5" s="3" t="s">
        <v>1062</v>
      </c>
      <c r="H5" s="3" t="s">
        <v>975</v>
      </c>
      <c r="I5" s="3" t="s">
        <v>11894</v>
      </c>
    </row>
    <row r="6" spans="1:19" x14ac:dyDescent="0.45">
      <c r="A6" s="5"/>
      <c r="B6" s="5"/>
      <c r="C6" s="5" t="s">
        <v>1535</v>
      </c>
      <c r="G6" s="3" t="s">
        <v>8425</v>
      </c>
      <c r="H6" s="1" t="s">
        <v>1445</v>
      </c>
      <c r="I6" s="1" t="s">
        <v>1446</v>
      </c>
    </row>
    <row r="7" spans="1:19" x14ac:dyDescent="0.45">
      <c r="A7" s="5"/>
      <c r="B7" s="5"/>
      <c r="C7" s="5" t="s">
        <v>1533</v>
      </c>
      <c r="G7" s="3" t="s">
        <v>3389</v>
      </c>
      <c r="H7" s="3" t="s">
        <v>1496</v>
      </c>
      <c r="I7" s="3" t="s">
        <v>1497</v>
      </c>
    </row>
    <row r="8" spans="1:19" x14ac:dyDescent="0.45">
      <c r="A8" s="5"/>
      <c r="B8" s="5"/>
      <c r="C8" s="5" t="s">
        <v>1532</v>
      </c>
      <c r="G8" s="3" t="s">
        <v>11839</v>
      </c>
      <c r="H8" s="3" t="s">
        <v>1271</v>
      </c>
      <c r="I8" s="3" t="s">
        <v>1272</v>
      </c>
    </row>
    <row r="9" spans="1:19" x14ac:dyDescent="0.45">
      <c r="A9" s="5"/>
      <c r="B9" s="5"/>
      <c r="C9" s="5" t="s">
        <v>1530</v>
      </c>
      <c r="G9" s="3" t="s">
        <v>8426</v>
      </c>
      <c r="H9" s="3" t="s">
        <v>1244</v>
      </c>
      <c r="I9" s="3" t="s">
        <v>1245</v>
      </c>
    </row>
    <row r="10" spans="1:19" x14ac:dyDescent="0.45">
      <c r="A10" s="5"/>
      <c r="B10" s="5"/>
      <c r="C10" s="5" t="s">
        <v>1527</v>
      </c>
      <c r="G10" s="3" t="s">
        <v>798</v>
      </c>
      <c r="H10" s="3" t="s">
        <v>638</v>
      </c>
      <c r="I10" s="3" t="s">
        <v>639</v>
      </c>
    </row>
    <row r="11" spans="1:19" x14ac:dyDescent="0.45">
      <c r="A11" s="5"/>
      <c r="B11" s="5"/>
      <c r="C11" s="5" t="s">
        <v>1525</v>
      </c>
      <c r="G11" s="3" t="s">
        <v>8427</v>
      </c>
      <c r="H11" s="3" t="s">
        <v>794</v>
      </c>
      <c r="I11" s="3" t="s">
        <v>795</v>
      </c>
    </row>
    <row r="12" spans="1:19" x14ac:dyDescent="0.45">
      <c r="A12" s="5"/>
      <c r="B12" s="5"/>
      <c r="C12" s="5" t="s">
        <v>1522</v>
      </c>
      <c r="G12" s="3" t="s">
        <v>242</v>
      </c>
      <c r="H12" s="3" t="s">
        <v>326</v>
      </c>
      <c r="I12" s="3" t="s">
        <v>327</v>
      </c>
    </row>
    <row r="13" spans="1:19" x14ac:dyDescent="0.45">
      <c r="A13" s="5"/>
      <c r="B13" s="5"/>
      <c r="C13" s="5" t="s">
        <v>1519</v>
      </c>
      <c r="G13" s="3" t="s">
        <v>574</v>
      </c>
      <c r="H13" s="3" t="s">
        <v>1190</v>
      </c>
      <c r="I13" s="3" t="s">
        <v>1191</v>
      </c>
    </row>
    <row r="14" spans="1:19" x14ac:dyDescent="0.45">
      <c r="A14" s="5"/>
      <c r="B14" s="5"/>
      <c r="C14" s="5" t="s">
        <v>1518</v>
      </c>
      <c r="G14" s="3" t="s">
        <v>1480</v>
      </c>
      <c r="H14" s="3" t="s">
        <v>597</v>
      </c>
      <c r="I14" s="3" t="s">
        <v>598</v>
      </c>
    </row>
    <row r="15" spans="1:19" x14ac:dyDescent="0.45">
      <c r="A15" s="5"/>
      <c r="B15" s="5"/>
      <c r="C15" s="5" t="s">
        <v>1517</v>
      </c>
      <c r="G15" s="3" t="s">
        <v>528</v>
      </c>
      <c r="H15" s="3" t="s">
        <v>572</v>
      </c>
      <c r="I15" s="3" t="s">
        <v>573</v>
      </c>
      <c r="P15" s="1"/>
      <c r="Q15" s="1"/>
      <c r="R15" s="1"/>
      <c r="S15" s="1"/>
    </row>
    <row r="16" spans="1:19" x14ac:dyDescent="0.45">
      <c r="A16" s="5"/>
      <c r="B16" s="5"/>
      <c r="C16" s="5" t="s">
        <v>1516</v>
      </c>
      <c r="G16" s="3" t="s">
        <v>1589</v>
      </c>
      <c r="H16" s="3" t="s">
        <v>478</v>
      </c>
      <c r="I16" s="3" t="s">
        <v>479</v>
      </c>
    </row>
    <row r="17" spans="1:9" x14ac:dyDescent="0.45">
      <c r="A17" s="5"/>
      <c r="B17" s="5"/>
      <c r="C17" s="5" t="s">
        <v>1515</v>
      </c>
      <c r="G17" s="3" t="s">
        <v>4020</v>
      </c>
      <c r="H17" s="3" t="s">
        <v>1094</v>
      </c>
      <c r="I17" s="3" t="s">
        <v>1759</v>
      </c>
    </row>
    <row r="18" spans="1:9" x14ac:dyDescent="0.45">
      <c r="A18" s="5"/>
      <c r="B18" s="5"/>
      <c r="G18" s="3" t="s">
        <v>282</v>
      </c>
      <c r="H18" s="3" t="s">
        <v>1589</v>
      </c>
      <c r="I18" s="3" t="s">
        <v>1588</v>
      </c>
    </row>
    <row r="19" spans="1:9" x14ac:dyDescent="0.45">
      <c r="G19" s="3" t="s">
        <v>10008</v>
      </c>
      <c r="H19" s="3" t="s">
        <v>4382</v>
      </c>
      <c r="I19" s="3" t="s">
        <v>4381</v>
      </c>
    </row>
    <row r="20" spans="1:9" x14ac:dyDescent="0.45">
      <c r="G20" s="3" t="s">
        <v>3920</v>
      </c>
      <c r="H20" s="3" t="s">
        <v>2178</v>
      </c>
      <c r="I20" s="3" t="s">
        <v>2177</v>
      </c>
    </row>
    <row r="21" spans="1:9" x14ac:dyDescent="0.45">
      <c r="G21" s="3" t="s">
        <v>8428</v>
      </c>
      <c r="H21" s="3" t="s">
        <v>3547</v>
      </c>
      <c r="I21" s="3" t="s">
        <v>3546</v>
      </c>
    </row>
    <row r="22" spans="1:9" x14ac:dyDescent="0.45">
      <c r="G22" s="3" t="s">
        <v>1423</v>
      </c>
      <c r="H22" s="3" t="s">
        <v>3886</v>
      </c>
      <c r="I22" s="3" t="s">
        <v>3885</v>
      </c>
    </row>
    <row r="23" spans="1:9" x14ac:dyDescent="0.45">
      <c r="G23" s="3" t="s">
        <v>743</v>
      </c>
      <c r="H23" s="3" t="s">
        <v>6916</v>
      </c>
      <c r="I23" s="3" t="s">
        <v>6915</v>
      </c>
    </row>
    <row r="24" spans="1:9" x14ac:dyDescent="0.45">
      <c r="G24" s="3" t="s">
        <v>1412</v>
      </c>
      <c r="H24" s="3" t="s">
        <v>574</v>
      </c>
      <c r="I24" s="3" t="s">
        <v>11844</v>
      </c>
    </row>
    <row r="25" spans="1:9" x14ac:dyDescent="0.45">
      <c r="G25" s="3" t="s">
        <v>823</v>
      </c>
    </row>
    <row r="26" spans="1:9" x14ac:dyDescent="0.45">
      <c r="G26" s="3" t="s">
        <v>8429</v>
      </c>
    </row>
    <row r="27" spans="1:9" x14ac:dyDescent="0.45">
      <c r="G27" s="3" t="s">
        <v>3921</v>
      </c>
    </row>
    <row r="28" spans="1:9" x14ac:dyDescent="0.45">
      <c r="G28" s="3" t="s">
        <v>11841</v>
      </c>
    </row>
    <row r="29" spans="1:9" x14ac:dyDescent="0.45">
      <c r="G29" s="3" t="s">
        <v>11842</v>
      </c>
    </row>
  </sheetData>
  <sortState xmlns:xlrd2="http://schemas.microsoft.com/office/spreadsheetml/2017/richdata2" ref="O2:P27">
    <sortCondition ref="P2:P27"/>
  </sortState>
  <phoneticPr fontId="5"/>
  <conditionalFormatting sqref="A1:C65536">
    <cfRule type="cellIs" dxfId="8" priority="10" stopIfTrue="1" operator="equal">
      <formula>"退場"</formula>
    </cfRule>
    <cfRule type="cellIs" dxfId="7" priority="11" stopIfTrue="1" operator="equal">
      <formula>"警告"</formula>
    </cfRule>
    <cfRule type="cellIs" dxfId="6" priority="12" stopIfTrue="1" operator="equal">
      <formula>"警告(累積2枚目次節出場停止）"</formula>
    </cfRule>
  </conditionalFormatting>
  <conditionalFormatting sqref="E1">
    <cfRule type="cellIs" dxfId="5" priority="7" stopIfTrue="1" operator="equal">
      <formula>"退場"</formula>
    </cfRule>
    <cfRule type="cellIs" dxfId="4" priority="8" stopIfTrue="1" operator="equal">
      <formula>"警告"</formula>
    </cfRule>
    <cfRule type="cellIs" dxfId="3" priority="9" stopIfTrue="1" operator="equal">
      <formula>"警告(累積2枚目次節出場停止）"</formula>
    </cfRule>
  </conditionalFormatting>
  <conditionalFormatting sqref="G1:H1">
    <cfRule type="cellIs" dxfId="2" priority="1" stopIfTrue="1" operator="equal">
      <formula>"退場"</formula>
    </cfRule>
    <cfRule type="cellIs" dxfId="1" priority="2" stopIfTrue="1" operator="equal">
      <formula>"警告"</formula>
    </cfRule>
    <cfRule type="cellIs" dxfId="0" priority="3" stopIfTrue="1" operator="equal">
      <formula>"警告(累積2枚目次節出場停止）"</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J1481"/>
  <sheetViews>
    <sheetView zoomScale="60" zoomScaleNormal="60" workbookViewId="0">
      <selection activeCell="B1" sqref="B1"/>
    </sheetView>
  </sheetViews>
  <sheetFormatPr defaultColWidth="9" defaultRowHeight="13.25" x14ac:dyDescent="0.45"/>
  <cols>
    <col min="1" max="1" width="40.40625" style="2" bestFit="1" customWidth="1"/>
    <col min="2" max="2" width="45.86328125" style="1" bestFit="1" customWidth="1"/>
    <col min="3" max="3" width="8" style="1" bestFit="1" customWidth="1"/>
    <col min="4" max="4" width="10.6328125" style="1" bestFit="1" customWidth="1"/>
    <col min="5" max="5" width="24.81640625" style="1" bestFit="1" customWidth="1"/>
    <col min="6" max="6" width="25.90625" style="1" bestFit="1" customWidth="1"/>
    <col min="7" max="7" width="6.04296875" style="1" bestFit="1" customWidth="1"/>
    <col min="8" max="8" width="12.26953125" style="1" bestFit="1" customWidth="1"/>
    <col min="9" max="9" width="14.453125" style="1" bestFit="1" customWidth="1"/>
    <col min="10" max="10" width="11.1796875" style="1" bestFit="1" customWidth="1"/>
    <col min="11" max="16384" width="9" style="2"/>
  </cols>
  <sheetData>
    <row r="1" spans="1:10" x14ac:dyDescent="0.45">
      <c r="A1" s="4" t="str">
        <f t="shared" ref="A1:A64" si="0">CONCATENATE(B1,"_",C1)</f>
        <v>大会参加チーム名_背番号</v>
      </c>
      <c r="B1" s="1" t="s">
        <v>236</v>
      </c>
      <c r="C1" s="1" t="s">
        <v>137</v>
      </c>
      <c r="D1" s="1" t="s">
        <v>139</v>
      </c>
      <c r="E1" s="1" t="s">
        <v>3269</v>
      </c>
      <c r="F1" s="1" t="s">
        <v>3270</v>
      </c>
      <c r="G1" s="1" t="s">
        <v>138</v>
      </c>
      <c r="H1" s="1" t="s">
        <v>235</v>
      </c>
      <c r="I1" s="1" t="s">
        <v>2098</v>
      </c>
      <c r="J1" s="1" t="s">
        <v>234</v>
      </c>
    </row>
    <row r="2" spans="1:10" x14ac:dyDescent="0.45">
      <c r="A2" s="2" t="str">
        <f t="shared" si="0"/>
        <v>ＭＦＣ三花少年サッカー教室_1</v>
      </c>
      <c r="B2" s="1" t="s">
        <v>4985</v>
      </c>
      <c r="C2" s="1" t="str">
        <f>("1")</f>
        <v>1</v>
      </c>
      <c r="D2" s="1" t="s">
        <v>208</v>
      </c>
      <c r="E2" s="1" t="s">
        <v>5027</v>
      </c>
      <c r="F2" s="1" t="s">
        <v>5028</v>
      </c>
      <c r="G2" s="1">
        <v>6</v>
      </c>
      <c r="H2" s="1" t="s">
        <v>229</v>
      </c>
      <c r="I2" s="1" t="str">
        <f>("1112160017")</f>
        <v>1112160017</v>
      </c>
      <c r="J2" s="1" t="s">
        <v>1858</v>
      </c>
    </row>
    <row r="3" spans="1:10" x14ac:dyDescent="0.45">
      <c r="A3" s="2" t="str">
        <f t="shared" si="0"/>
        <v>ＭＦＣ三花少年サッカー教室_2</v>
      </c>
      <c r="B3" s="1" t="s">
        <v>4985</v>
      </c>
      <c r="C3" s="1" t="str">
        <f>("2")</f>
        <v>2</v>
      </c>
      <c r="D3" s="1" t="s">
        <v>209</v>
      </c>
      <c r="E3" s="1" t="s">
        <v>8525</v>
      </c>
      <c r="F3" s="1" t="s">
        <v>8526</v>
      </c>
      <c r="G3" s="1">
        <v>6</v>
      </c>
      <c r="H3" s="1" t="s">
        <v>231</v>
      </c>
      <c r="I3" s="1" t="str">
        <f>("1107290232")</f>
        <v>1107290232</v>
      </c>
    </row>
    <row r="4" spans="1:10" x14ac:dyDescent="0.45">
      <c r="A4" s="2" t="str">
        <f t="shared" si="0"/>
        <v>ＭＦＣ三花少年サッカー教室_3</v>
      </c>
      <c r="B4" s="1" t="s">
        <v>4985</v>
      </c>
      <c r="C4" s="1" t="str">
        <f>("3")</f>
        <v>3</v>
      </c>
      <c r="D4" s="1" t="s">
        <v>209</v>
      </c>
      <c r="E4" s="1" t="s">
        <v>5842</v>
      </c>
      <c r="F4" s="1" t="s">
        <v>5843</v>
      </c>
      <c r="G4" s="1">
        <v>6</v>
      </c>
      <c r="H4" s="1" t="s">
        <v>229</v>
      </c>
      <c r="I4" s="1" t="str">
        <f>("1107070019")</f>
        <v>1107070019</v>
      </c>
    </row>
    <row r="5" spans="1:10" x14ac:dyDescent="0.45">
      <c r="A5" s="2" t="str">
        <f t="shared" si="0"/>
        <v>ＭＦＣ三花少年サッカー教室_4</v>
      </c>
      <c r="B5" s="1" t="s">
        <v>4985</v>
      </c>
      <c r="C5" s="1" t="str">
        <f>("4")</f>
        <v>4</v>
      </c>
      <c r="D5" s="1" t="s">
        <v>209</v>
      </c>
      <c r="E5" s="1" t="s">
        <v>5838</v>
      </c>
      <c r="F5" s="1" t="s">
        <v>5839</v>
      </c>
      <c r="G5" s="1">
        <v>5</v>
      </c>
      <c r="H5" s="1" t="s">
        <v>229</v>
      </c>
      <c r="I5" s="1" t="str">
        <f>("1212200141")</f>
        <v>1212200141</v>
      </c>
    </row>
    <row r="6" spans="1:10" x14ac:dyDescent="0.45">
      <c r="A6" s="2" t="str">
        <f t="shared" si="0"/>
        <v>ＭＦＣ三花少年サッカー教室_5</v>
      </c>
      <c r="B6" s="1" t="s">
        <v>4985</v>
      </c>
      <c r="C6" s="1" t="str">
        <f>("5")</f>
        <v>5</v>
      </c>
      <c r="D6" s="1" t="s">
        <v>209</v>
      </c>
      <c r="E6" s="1" t="s">
        <v>5840</v>
      </c>
      <c r="F6" s="1" t="s">
        <v>5841</v>
      </c>
      <c r="G6" s="1">
        <v>6</v>
      </c>
      <c r="H6" s="1" t="s">
        <v>231</v>
      </c>
      <c r="I6" s="1" t="str">
        <f>("1109190101")</f>
        <v>1109190101</v>
      </c>
    </row>
    <row r="7" spans="1:10" x14ac:dyDescent="0.45">
      <c r="A7" s="2" t="str">
        <f t="shared" si="0"/>
        <v>ＭＦＣ三花少年サッカー教室_6</v>
      </c>
      <c r="B7" s="1" t="s">
        <v>4985</v>
      </c>
      <c r="C7" s="1" t="str">
        <f>("6")</f>
        <v>6</v>
      </c>
      <c r="D7" s="1" t="s">
        <v>209</v>
      </c>
      <c r="E7" s="1" t="s">
        <v>8527</v>
      </c>
      <c r="F7" s="1" t="s">
        <v>8350</v>
      </c>
      <c r="G7" s="1">
        <v>4</v>
      </c>
      <c r="H7" s="1" t="s">
        <v>229</v>
      </c>
      <c r="I7" s="1" t="str">
        <f>("1306220115")</f>
        <v>1306220115</v>
      </c>
    </row>
    <row r="8" spans="1:10" x14ac:dyDescent="0.45">
      <c r="A8" s="2" t="str">
        <f t="shared" si="0"/>
        <v>ＭＦＣ三花少年サッカー教室_7</v>
      </c>
      <c r="B8" s="1" t="s">
        <v>4985</v>
      </c>
      <c r="C8" s="1" t="str">
        <f>("7")</f>
        <v>7</v>
      </c>
      <c r="D8" s="1" t="s">
        <v>209</v>
      </c>
      <c r="E8" s="1" t="s">
        <v>5846</v>
      </c>
      <c r="F8" s="1" t="s">
        <v>5847</v>
      </c>
      <c r="G8" s="1">
        <v>4</v>
      </c>
      <c r="H8" s="1" t="s">
        <v>229</v>
      </c>
      <c r="I8" s="1" t="str">
        <f>("1310070019")</f>
        <v>1310070019</v>
      </c>
    </row>
    <row r="9" spans="1:10" x14ac:dyDescent="0.45">
      <c r="A9" s="2" t="str">
        <f t="shared" si="0"/>
        <v>ＭＦＣ三花少年サッカー教室_8</v>
      </c>
      <c r="B9" s="1" t="s">
        <v>4985</v>
      </c>
      <c r="C9" s="1" t="str">
        <f>("8")</f>
        <v>8</v>
      </c>
      <c r="D9" s="1" t="s">
        <v>208</v>
      </c>
      <c r="E9" s="1" t="s">
        <v>8528</v>
      </c>
      <c r="F9" s="1" t="s">
        <v>8529</v>
      </c>
      <c r="G9" s="1">
        <v>3</v>
      </c>
      <c r="H9" s="1" t="s">
        <v>229</v>
      </c>
      <c r="I9" s="1" t="str">
        <f>("1404030033")</f>
        <v>1404030033</v>
      </c>
    </row>
    <row r="10" spans="1:10" x14ac:dyDescent="0.45">
      <c r="A10" s="2" t="str">
        <f t="shared" si="0"/>
        <v>ＭＦＣ三花少年サッカー教室_9</v>
      </c>
      <c r="B10" s="1" t="s">
        <v>4985</v>
      </c>
      <c r="C10" s="1" t="str">
        <f>("9")</f>
        <v>9</v>
      </c>
      <c r="D10" s="1" t="s">
        <v>208</v>
      </c>
      <c r="E10" s="1" t="s">
        <v>5023</v>
      </c>
      <c r="F10" s="1" t="s">
        <v>5024</v>
      </c>
      <c r="G10" s="1">
        <v>5</v>
      </c>
      <c r="H10" s="1" t="s">
        <v>229</v>
      </c>
      <c r="I10" s="1" t="str">
        <f>("1205180078")</f>
        <v>1205180078</v>
      </c>
    </row>
    <row r="11" spans="1:10" x14ac:dyDescent="0.45">
      <c r="A11" s="2" t="str">
        <f t="shared" si="0"/>
        <v>ＭＦＣ三花少年サッカー教室_10</v>
      </c>
      <c r="B11" s="1" t="s">
        <v>4985</v>
      </c>
      <c r="C11" s="1" t="str">
        <f>("10")</f>
        <v>10</v>
      </c>
      <c r="D11" s="1" t="s">
        <v>210</v>
      </c>
      <c r="E11" s="1" t="s">
        <v>5844</v>
      </c>
      <c r="F11" s="1" t="s">
        <v>5845</v>
      </c>
      <c r="G11" s="1">
        <v>5</v>
      </c>
      <c r="H11" s="1" t="s">
        <v>229</v>
      </c>
      <c r="I11" s="1" t="str">
        <f>("1302150028")</f>
        <v>1302150028</v>
      </c>
    </row>
    <row r="12" spans="1:10" x14ac:dyDescent="0.45">
      <c r="A12" s="2" t="str">
        <f t="shared" si="0"/>
        <v>ＭＦＣ三花少年サッカー教室_11</v>
      </c>
      <c r="B12" s="1" t="s">
        <v>4985</v>
      </c>
      <c r="C12" s="1" t="str">
        <f>("11")</f>
        <v>11</v>
      </c>
      <c r="D12" s="1" t="s">
        <v>209</v>
      </c>
      <c r="E12" s="1" t="s">
        <v>5021</v>
      </c>
      <c r="F12" s="1" t="s">
        <v>5022</v>
      </c>
      <c r="G12" s="1">
        <v>6</v>
      </c>
      <c r="H12" s="1" t="s">
        <v>229</v>
      </c>
      <c r="I12" s="1" t="str">
        <f>("1104170008")</f>
        <v>1104170008</v>
      </c>
    </row>
    <row r="13" spans="1:10" x14ac:dyDescent="0.45">
      <c r="A13" s="2" t="str">
        <f t="shared" si="0"/>
        <v>ＭＦＣ三花少年サッカー教室_12</v>
      </c>
      <c r="B13" s="1" t="s">
        <v>4985</v>
      </c>
      <c r="C13" s="1" t="str">
        <f>("12")</f>
        <v>12</v>
      </c>
      <c r="D13" s="1" t="s">
        <v>209</v>
      </c>
      <c r="E13" s="1" t="s">
        <v>8530</v>
      </c>
      <c r="F13" s="1" t="s">
        <v>8531</v>
      </c>
      <c r="G13" s="1">
        <v>5</v>
      </c>
      <c r="H13" s="1" t="s">
        <v>231</v>
      </c>
      <c r="I13" s="1" t="str">
        <f>("1211230007")</f>
        <v>1211230007</v>
      </c>
    </row>
    <row r="14" spans="1:10" x14ac:dyDescent="0.45">
      <c r="A14" s="2" t="str">
        <f t="shared" si="0"/>
        <v>ＭＦＣ三花少年サッカー教室_13</v>
      </c>
      <c r="B14" s="1" t="s">
        <v>4985</v>
      </c>
      <c r="C14" s="1" t="str">
        <f>("13")</f>
        <v>13</v>
      </c>
      <c r="D14" s="1" t="s">
        <v>210</v>
      </c>
      <c r="E14" s="1" t="s">
        <v>8532</v>
      </c>
      <c r="F14" s="1" t="s">
        <v>8533</v>
      </c>
      <c r="G14" s="1">
        <v>6</v>
      </c>
      <c r="H14" s="1" t="s">
        <v>229</v>
      </c>
      <c r="I14" s="1" t="str">
        <f>("1201200201")</f>
        <v>1201200201</v>
      </c>
    </row>
    <row r="15" spans="1:10" x14ac:dyDescent="0.45">
      <c r="A15" s="2" t="str">
        <f t="shared" si="0"/>
        <v>ＭＦＣ三花少年サッカー教室_14</v>
      </c>
      <c r="B15" s="1" t="s">
        <v>4985</v>
      </c>
      <c r="C15" s="1" t="str">
        <f>("14")</f>
        <v>14</v>
      </c>
      <c r="D15" s="1" t="s">
        <v>209</v>
      </c>
      <c r="E15" s="1" t="s">
        <v>8534</v>
      </c>
      <c r="F15" s="1" t="s">
        <v>8535</v>
      </c>
      <c r="G15" s="1">
        <v>5</v>
      </c>
      <c r="H15" s="1" t="s">
        <v>229</v>
      </c>
      <c r="I15" s="1" t="str">
        <f>("1303140155")</f>
        <v>1303140155</v>
      </c>
    </row>
    <row r="16" spans="1:10" x14ac:dyDescent="0.45">
      <c r="A16" s="2" t="str">
        <f t="shared" si="0"/>
        <v>ＭＦＣ三花少年サッカー教室_15</v>
      </c>
      <c r="B16" s="1" t="s">
        <v>4985</v>
      </c>
      <c r="C16" s="1" t="str">
        <f>("15")</f>
        <v>15</v>
      </c>
      <c r="D16" s="1" t="s">
        <v>207</v>
      </c>
      <c r="E16" s="1" t="s">
        <v>1685</v>
      </c>
      <c r="F16" s="1" t="s">
        <v>2736</v>
      </c>
      <c r="G16" s="1">
        <v>6</v>
      </c>
      <c r="H16" s="1" t="s">
        <v>229</v>
      </c>
      <c r="I16" s="1" t="str">
        <f>("1107220088")</f>
        <v>1107220088</v>
      </c>
    </row>
    <row r="17" spans="1:10" x14ac:dyDescent="0.45">
      <c r="A17" s="2" t="str">
        <f t="shared" si="0"/>
        <v>ＭＦＣ三花少年サッカー教室_16</v>
      </c>
      <c r="B17" s="1" t="s">
        <v>4985</v>
      </c>
      <c r="C17" s="1" t="str">
        <f>("16")</f>
        <v>16</v>
      </c>
      <c r="D17" s="1" t="s">
        <v>207</v>
      </c>
      <c r="E17" s="1" t="s">
        <v>8536</v>
      </c>
      <c r="F17" s="1" t="s">
        <v>8537</v>
      </c>
      <c r="G17" s="1">
        <v>4</v>
      </c>
      <c r="H17" s="1" t="s">
        <v>229</v>
      </c>
      <c r="I17" s="1" t="str">
        <f>("1310040111")</f>
        <v>1310040111</v>
      </c>
    </row>
    <row r="18" spans="1:10" x14ac:dyDescent="0.45">
      <c r="A18" s="2" t="str">
        <f t="shared" si="0"/>
        <v>若宮サッカースポーツ少年団_1</v>
      </c>
      <c r="B18" s="1" t="s">
        <v>5848</v>
      </c>
      <c r="C18" s="1" t="str">
        <f>("1")</f>
        <v>1</v>
      </c>
      <c r="D18" s="1" t="s">
        <v>207</v>
      </c>
      <c r="E18" s="1" t="s">
        <v>8538</v>
      </c>
      <c r="F18" s="1" t="s">
        <v>8539</v>
      </c>
      <c r="G18" s="1">
        <v>6</v>
      </c>
      <c r="H18" s="1" t="s">
        <v>229</v>
      </c>
      <c r="I18" s="1" t="str">
        <f>("1111270148")</f>
        <v>1111270148</v>
      </c>
    </row>
    <row r="19" spans="1:10" x14ac:dyDescent="0.45">
      <c r="A19" s="2" t="str">
        <f t="shared" si="0"/>
        <v>若宮サッカースポーツ少年団_2</v>
      </c>
      <c r="B19" s="1" t="s">
        <v>5848</v>
      </c>
      <c r="C19" s="1" t="str">
        <f>("2")</f>
        <v>2</v>
      </c>
      <c r="D19" s="1" t="s">
        <v>209</v>
      </c>
      <c r="E19" s="1" t="s">
        <v>5853</v>
      </c>
      <c r="F19" s="1" t="s">
        <v>5854</v>
      </c>
      <c r="G19" s="1">
        <v>6</v>
      </c>
      <c r="H19" s="1" t="s">
        <v>229</v>
      </c>
      <c r="I19" s="1" t="str">
        <f>("1106010118")</f>
        <v>1106010118</v>
      </c>
      <c r="J19" s="1" t="s">
        <v>1858</v>
      </c>
    </row>
    <row r="20" spans="1:10" x14ac:dyDescent="0.45">
      <c r="A20" s="2" t="str">
        <f t="shared" si="0"/>
        <v>若宮サッカースポーツ少年団_3</v>
      </c>
      <c r="B20" s="1" t="s">
        <v>5848</v>
      </c>
      <c r="C20" s="1" t="str">
        <f>("3")</f>
        <v>3</v>
      </c>
      <c r="D20" s="1" t="s">
        <v>209</v>
      </c>
      <c r="E20" s="1" t="s">
        <v>5849</v>
      </c>
      <c r="F20" s="1" t="s">
        <v>5850</v>
      </c>
      <c r="G20" s="1">
        <v>6</v>
      </c>
      <c r="H20" s="1" t="s">
        <v>229</v>
      </c>
      <c r="I20" s="1" t="str">
        <f>("1108100184")</f>
        <v>1108100184</v>
      </c>
    </row>
    <row r="21" spans="1:10" x14ac:dyDescent="0.45">
      <c r="A21" s="2" t="str">
        <f t="shared" si="0"/>
        <v>若宮サッカースポーツ少年団_4</v>
      </c>
      <c r="B21" s="1" t="s">
        <v>5848</v>
      </c>
      <c r="C21" s="1" t="str">
        <f>("4")</f>
        <v>4</v>
      </c>
      <c r="D21" s="1" t="s">
        <v>208</v>
      </c>
      <c r="E21" s="1" t="s">
        <v>5859</v>
      </c>
      <c r="F21" s="1" t="s">
        <v>5860</v>
      </c>
      <c r="G21" s="1">
        <v>6</v>
      </c>
      <c r="H21" s="1" t="s">
        <v>229</v>
      </c>
      <c r="I21" s="1" t="str">
        <f>("1201240050")</f>
        <v>1201240050</v>
      </c>
    </row>
    <row r="22" spans="1:10" x14ac:dyDescent="0.45">
      <c r="A22" s="2" t="str">
        <f t="shared" si="0"/>
        <v>若宮サッカースポーツ少年団_5</v>
      </c>
      <c r="B22" s="1" t="s">
        <v>5848</v>
      </c>
      <c r="C22" s="1" t="str">
        <f>("5")</f>
        <v>5</v>
      </c>
      <c r="D22" s="1" t="s">
        <v>210</v>
      </c>
      <c r="E22" s="1" t="s">
        <v>5865</v>
      </c>
      <c r="F22" s="1" t="s">
        <v>5866</v>
      </c>
      <c r="G22" s="1">
        <v>5</v>
      </c>
      <c r="H22" s="1" t="s">
        <v>229</v>
      </c>
      <c r="I22" s="1" t="str">
        <f>("1302280091")</f>
        <v>1302280091</v>
      </c>
    </row>
    <row r="23" spans="1:10" x14ac:dyDescent="0.45">
      <c r="A23" s="2" t="str">
        <f t="shared" si="0"/>
        <v>若宮サッカースポーツ少年団_6</v>
      </c>
      <c r="B23" s="1" t="s">
        <v>5848</v>
      </c>
      <c r="C23" s="1" t="str">
        <f>("6")</f>
        <v>6</v>
      </c>
      <c r="D23" s="1" t="s">
        <v>208</v>
      </c>
      <c r="E23" s="1" t="s">
        <v>5855</v>
      </c>
      <c r="F23" s="1" t="s">
        <v>5856</v>
      </c>
      <c r="G23" s="1">
        <v>5</v>
      </c>
      <c r="H23" s="1" t="s">
        <v>229</v>
      </c>
      <c r="I23" s="1" t="str">
        <f>("1211110076")</f>
        <v>1211110076</v>
      </c>
    </row>
    <row r="24" spans="1:10" x14ac:dyDescent="0.45">
      <c r="A24" s="2" t="str">
        <f t="shared" si="0"/>
        <v>若宮サッカースポーツ少年団_7</v>
      </c>
      <c r="B24" s="1" t="s">
        <v>5848</v>
      </c>
      <c r="C24" s="1" t="str">
        <f>("7")</f>
        <v>7</v>
      </c>
      <c r="D24" s="1" t="s">
        <v>209</v>
      </c>
      <c r="E24" s="1" t="s">
        <v>5861</v>
      </c>
      <c r="F24" s="1" t="s">
        <v>5862</v>
      </c>
      <c r="G24" s="1">
        <v>5</v>
      </c>
      <c r="H24" s="1" t="s">
        <v>229</v>
      </c>
      <c r="I24" s="1" t="str">
        <f>("1211050075")</f>
        <v>1211050075</v>
      </c>
    </row>
    <row r="25" spans="1:10" x14ac:dyDescent="0.45">
      <c r="A25" s="2" t="str">
        <f t="shared" si="0"/>
        <v>若宮サッカースポーツ少年団_8</v>
      </c>
      <c r="B25" s="1" t="s">
        <v>5848</v>
      </c>
      <c r="C25" s="1" t="str">
        <f>("8")</f>
        <v>8</v>
      </c>
      <c r="D25" s="1" t="s">
        <v>209</v>
      </c>
      <c r="E25" s="1" t="s">
        <v>5863</v>
      </c>
      <c r="F25" s="1" t="s">
        <v>5864</v>
      </c>
      <c r="G25" s="1">
        <v>4</v>
      </c>
      <c r="H25" s="1" t="s">
        <v>229</v>
      </c>
      <c r="I25" s="1" t="str">
        <f>("1309120006")</f>
        <v>1309120006</v>
      </c>
    </row>
    <row r="26" spans="1:10" x14ac:dyDescent="0.45">
      <c r="A26" s="2" t="str">
        <f t="shared" si="0"/>
        <v>若宮サッカースポーツ少年団_9</v>
      </c>
      <c r="B26" s="1" t="s">
        <v>5848</v>
      </c>
      <c r="C26" s="1" t="str">
        <f>("9")</f>
        <v>9</v>
      </c>
      <c r="D26" s="1" t="s">
        <v>208</v>
      </c>
      <c r="E26" s="1" t="s">
        <v>5857</v>
      </c>
      <c r="F26" s="1" t="s">
        <v>5858</v>
      </c>
      <c r="G26" s="1">
        <v>4</v>
      </c>
      <c r="H26" s="1" t="s">
        <v>229</v>
      </c>
      <c r="I26" s="1" t="str">
        <f>("1304070033")</f>
        <v>1304070033</v>
      </c>
    </row>
    <row r="27" spans="1:10" x14ac:dyDescent="0.45">
      <c r="A27" s="2" t="str">
        <f t="shared" si="0"/>
        <v>若宮サッカースポーツ少年団_10</v>
      </c>
      <c r="B27" s="1" t="s">
        <v>5848</v>
      </c>
      <c r="C27" s="1" t="str">
        <f>("10")</f>
        <v>10</v>
      </c>
      <c r="D27" s="1" t="s">
        <v>209</v>
      </c>
      <c r="E27" s="1" t="s">
        <v>5851</v>
      </c>
      <c r="F27" s="1" t="s">
        <v>5852</v>
      </c>
      <c r="G27" s="1">
        <v>6</v>
      </c>
      <c r="H27" s="1" t="s">
        <v>229</v>
      </c>
      <c r="I27" s="1" t="str">
        <f>("1111020108")</f>
        <v>1111020108</v>
      </c>
    </row>
    <row r="28" spans="1:10" x14ac:dyDescent="0.45">
      <c r="A28" s="2" t="str">
        <f t="shared" si="0"/>
        <v>若宮サッカースポーツ少年団_11</v>
      </c>
      <c r="B28" s="1" t="s">
        <v>5848</v>
      </c>
      <c r="C28" s="1" t="str">
        <f>("11")</f>
        <v>11</v>
      </c>
      <c r="D28" s="1" t="s">
        <v>209</v>
      </c>
      <c r="E28" s="1" t="s">
        <v>8540</v>
      </c>
      <c r="F28" s="1" t="s">
        <v>8541</v>
      </c>
      <c r="G28" s="1">
        <v>4</v>
      </c>
      <c r="H28" s="1" t="s">
        <v>229</v>
      </c>
      <c r="I28" s="1" t="str">
        <f>("1304280059")</f>
        <v>1304280059</v>
      </c>
    </row>
    <row r="29" spans="1:10" x14ac:dyDescent="0.45">
      <c r="A29" s="2" t="str">
        <f t="shared" si="0"/>
        <v>若宮サッカースポーツ少年団_12</v>
      </c>
      <c r="B29" s="1" t="s">
        <v>5848</v>
      </c>
      <c r="C29" s="1" t="str">
        <f>("12")</f>
        <v>12</v>
      </c>
      <c r="D29" s="1" t="s">
        <v>208</v>
      </c>
      <c r="E29" s="1" t="s">
        <v>8542</v>
      </c>
      <c r="F29" s="1" t="s">
        <v>8543</v>
      </c>
      <c r="G29" s="1">
        <v>4</v>
      </c>
      <c r="H29" s="1" t="s">
        <v>229</v>
      </c>
      <c r="I29" s="1" t="str">
        <f>("1402280150")</f>
        <v>1402280150</v>
      </c>
    </row>
    <row r="30" spans="1:10" x14ac:dyDescent="0.45">
      <c r="A30" s="2" t="str">
        <f t="shared" si="0"/>
        <v>若宮サッカースポーツ少年団_13</v>
      </c>
      <c r="B30" s="1" t="s">
        <v>5848</v>
      </c>
      <c r="C30" s="1" t="str">
        <f>("13")</f>
        <v>13</v>
      </c>
      <c r="D30" s="1" t="s">
        <v>209</v>
      </c>
      <c r="E30" s="1" t="s">
        <v>8544</v>
      </c>
      <c r="F30" s="1" t="s">
        <v>8545</v>
      </c>
      <c r="G30" s="1">
        <v>4</v>
      </c>
      <c r="H30" s="1" t="s">
        <v>229</v>
      </c>
      <c r="I30" s="1" t="str">
        <f>("1403110010")</f>
        <v>1403110010</v>
      </c>
    </row>
    <row r="31" spans="1:10" x14ac:dyDescent="0.45">
      <c r="A31" s="2" t="str">
        <f t="shared" si="0"/>
        <v>若宮サッカースポーツ少年団_14</v>
      </c>
      <c r="B31" s="1" t="s">
        <v>5848</v>
      </c>
      <c r="C31" s="1" t="str">
        <f>("14")</f>
        <v>14</v>
      </c>
      <c r="D31" s="1" t="s">
        <v>210</v>
      </c>
      <c r="E31" s="1" t="s">
        <v>8546</v>
      </c>
      <c r="F31" s="1" t="s">
        <v>8547</v>
      </c>
      <c r="G31" s="1">
        <v>4</v>
      </c>
      <c r="H31" s="1" t="s">
        <v>229</v>
      </c>
      <c r="I31" s="1" t="str">
        <f>("1402280148")</f>
        <v>1402280148</v>
      </c>
    </row>
    <row r="32" spans="1:10" x14ac:dyDescent="0.45">
      <c r="A32" s="2" t="str">
        <f t="shared" si="0"/>
        <v>若宮サッカースポーツ少年団_15</v>
      </c>
      <c r="B32" s="1" t="s">
        <v>5848</v>
      </c>
      <c r="C32" s="1" t="str">
        <f>("15")</f>
        <v>15</v>
      </c>
      <c r="D32" s="1" t="s">
        <v>209</v>
      </c>
      <c r="E32" s="1" t="s">
        <v>8548</v>
      </c>
      <c r="F32" s="1" t="s">
        <v>8549</v>
      </c>
      <c r="G32" s="1">
        <v>4</v>
      </c>
      <c r="H32" s="1" t="s">
        <v>8550</v>
      </c>
      <c r="I32" s="1" t="str">
        <f>("1312030171")</f>
        <v>1312030171</v>
      </c>
    </row>
    <row r="33" spans="1:10" x14ac:dyDescent="0.45">
      <c r="A33" s="2" t="str">
        <f t="shared" si="0"/>
        <v>若宮サッカースポーツ少年団_16</v>
      </c>
      <c r="B33" s="1" t="s">
        <v>5848</v>
      </c>
      <c r="C33" s="1" t="str">
        <f>("16")</f>
        <v>16</v>
      </c>
      <c r="D33" s="1" t="s">
        <v>207</v>
      </c>
      <c r="E33" s="1" t="s">
        <v>5867</v>
      </c>
      <c r="F33" s="1" t="s">
        <v>5868</v>
      </c>
      <c r="G33" s="1">
        <v>4</v>
      </c>
      <c r="H33" s="1" t="s">
        <v>229</v>
      </c>
      <c r="I33" s="1" t="str">
        <f>("1401140025")</f>
        <v>1401140025</v>
      </c>
    </row>
    <row r="34" spans="1:10" x14ac:dyDescent="0.45">
      <c r="A34" s="2" t="str">
        <f t="shared" si="0"/>
        <v>咸宜ＳＣ_1</v>
      </c>
      <c r="B34" s="1" t="s">
        <v>8551</v>
      </c>
      <c r="C34" s="1" t="str">
        <f>("1")</f>
        <v>1</v>
      </c>
      <c r="D34" s="1" t="s">
        <v>207</v>
      </c>
      <c r="E34" s="1" t="s">
        <v>5037</v>
      </c>
      <c r="F34" s="1" t="s">
        <v>5038</v>
      </c>
      <c r="G34" s="1">
        <v>5</v>
      </c>
      <c r="H34" s="1" t="s">
        <v>229</v>
      </c>
      <c r="I34" s="1" t="str">
        <f>("1204300046")</f>
        <v>1204300046</v>
      </c>
    </row>
    <row r="35" spans="1:10" x14ac:dyDescent="0.45">
      <c r="A35" s="2" t="str">
        <f t="shared" si="0"/>
        <v>咸宜ＳＣ_4</v>
      </c>
      <c r="B35" s="1" t="s">
        <v>8551</v>
      </c>
      <c r="C35" s="1" t="str">
        <f>("4")</f>
        <v>4</v>
      </c>
      <c r="D35" s="1" t="s">
        <v>209</v>
      </c>
      <c r="E35" s="1" t="s">
        <v>5869</v>
      </c>
      <c r="F35" s="1" t="s">
        <v>5870</v>
      </c>
      <c r="G35" s="1">
        <v>4</v>
      </c>
      <c r="H35" s="1" t="s">
        <v>231</v>
      </c>
      <c r="I35" s="1" t="str">
        <f>("1306240058")</f>
        <v>1306240058</v>
      </c>
    </row>
    <row r="36" spans="1:10" x14ac:dyDescent="0.45">
      <c r="A36" s="2" t="str">
        <f t="shared" si="0"/>
        <v>咸宜ＳＣ_5</v>
      </c>
      <c r="B36" s="1" t="s">
        <v>8551</v>
      </c>
      <c r="C36" s="1" t="str">
        <f>("5")</f>
        <v>5</v>
      </c>
      <c r="D36" s="1" t="s">
        <v>208</v>
      </c>
      <c r="E36" s="1" t="s">
        <v>8552</v>
      </c>
      <c r="F36" s="1" t="s">
        <v>8553</v>
      </c>
      <c r="G36" s="1">
        <v>4</v>
      </c>
      <c r="H36" s="1" t="s">
        <v>229</v>
      </c>
      <c r="I36" s="1" t="str">
        <f>("1308080193")</f>
        <v>1308080193</v>
      </c>
    </row>
    <row r="37" spans="1:10" x14ac:dyDescent="0.45">
      <c r="A37" s="2" t="str">
        <f t="shared" si="0"/>
        <v>咸宜ＳＣ_7</v>
      </c>
      <c r="B37" s="1" t="s">
        <v>8551</v>
      </c>
      <c r="C37" s="1" t="str">
        <f>("7")</f>
        <v>7</v>
      </c>
      <c r="D37" s="1" t="s">
        <v>208</v>
      </c>
      <c r="E37" s="1" t="s">
        <v>5031</v>
      </c>
      <c r="F37" s="1" t="s">
        <v>5032</v>
      </c>
      <c r="G37" s="1">
        <v>5</v>
      </c>
      <c r="H37" s="1" t="s">
        <v>229</v>
      </c>
      <c r="I37" s="1" t="str">
        <f>("1208160038")</f>
        <v>1208160038</v>
      </c>
      <c r="J37" s="1" t="s">
        <v>1858</v>
      </c>
    </row>
    <row r="38" spans="1:10" x14ac:dyDescent="0.45">
      <c r="A38" s="2" t="str">
        <f t="shared" si="0"/>
        <v>咸宜ＳＣ_9</v>
      </c>
      <c r="B38" s="1" t="s">
        <v>8551</v>
      </c>
      <c r="C38" s="1" t="str">
        <f>("9")</f>
        <v>9</v>
      </c>
      <c r="D38" s="1" t="s">
        <v>209</v>
      </c>
      <c r="E38" s="1" t="s">
        <v>8554</v>
      </c>
      <c r="F38" s="1" t="s">
        <v>8555</v>
      </c>
      <c r="G38" s="1">
        <v>4</v>
      </c>
      <c r="H38" s="1" t="s">
        <v>231</v>
      </c>
      <c r="I38" s="1" t="str">
        <f>("1304100206")</f>
        <v>1304100206</v>
      </c>
    </row>
    <row r="39" spans="1:10" x14ac:dyDescent="0.45">
      <c r="A39" s="2" t="str">
        <f t="shared" si="0"/>
        <v>咸宜ＳＣ_10</v>
      </c>
      <c r="B39" s="1" t="s">
        <v>8551</v>
      </c>
      <c r="C39" s="1" t="str">
        <f>("10")</f>
        <v>10</v>
      </c>
      <c r="D39" s="1" t="s">
        <v>209</v>
      </c>
      <c r="E39" s="1" t="s">
        <v>5029</v>
      </c>
      <c r="F39" s="1" t="s">
        <v>5030</v>
      </c>
      <c r="G39" s="1">
        <v>5</v>
      </c>
      <c r="H39" s="1" t="s">
        <v>229</v>
      </c>
      <c r="I39" s="1" t="str">
        <f>("1301130018")</f>
        <v>1301130018</v>
      </c>
    </row>
    <row r="40" spans="1:10" x14ac:dyDescent="0.45">
      <c r="A40" s="2" t="str">
        <f t="shared" si="0"/>
        <v>咸宜ＳＣ_11</v>
      </c>
      <c r="B40" s="1" t="s">
        <v>8551</v>
      </c>
      <c r="C40" s="1" t="str">
        <f>("11")</f>
        <v>11</v>
      </c>
      <c r="D40" s="1" t="s">
        <v>210</v>
      </c>
      <c r="E40" s="1" t="s">
        <v>8556</v>
      </c>
      <c r="F40" s="1" t="s">
        <v>8557</v>
      </c>
      <c r="G40" s="1">
        <v>3</v>
      </c>
      <c r="H40" s="1" t="s">
        <v>229</v>
      </c>
      <c r="I40" s="1" t="str">
        <f>("1411210027")</f>
        <v>1411210027</v>
      </c>
    </row>
    <row r="41" spans="1:10" x14ac:dyDescent="0.45">
      <c r="A41" s="2" t="str">
        <f t="shared" si="0"/>
        <v>咸宜ＳＣ_14</v>
      </c>
      <c r="B41" s="1" t="s">
        <v>8551</v>
      </c>
      <c r="C41" s="1" t="str">
        <f>("14")</f>
        <v>14</v>
      </c>
      <c r="D41" s="1" t="s">
        <v>209</v>
      </c>
      <c r="E41" s="1" t="s">
        <v>8558</v>
      </c>
      <c r="F41" s="1" t="s">
        <v>8559</v>
      </c>
      <c r="G41" s="1">
        <v>4</v>
      </c>
      <c r="H41" s="1" t="s">
        <v>229</v>
      </c>
      <c r="I41" s="1" t="str">
        <f>("1309250210")</f>
        <v>1309250210</v>
      </c>
    </row>
    <row r="42" spans="1:10" x14ac:dyDescent="0.45">
      <c r="A42" s="2" t="str">
        <f t="shared" si="0"/>
        <v>咸宜ＳＣ_24</v>
      </c>
      <c r="B42" s="1" t="s">
        <v>8551</v>
      </c>
      <c r="C42" s="1" t="str">
        <f>("24")</f>
        <v>24</v>
      </c>
      <c r="D42" s="1" t="s">
        <v>208</v>
      </c>
      <c r="E42" s="1" t="s">
        <v>5871</v>
      </c>
      <c r="F42" s="1" t="s">
        <v>5872</v>
      </c>
      <c r="G42" s="1">
        <v>6</v>
      </c>
      <c r="H42" s="1" t="s">
        <v>231</v>
      </c>
      <c r="I42" s="1" t="str">
        <f>("1111050098")</f>
        <v>1111050098</v>
      </c>
    </row>
    <row r="43" spans="1:10" x14ac:dyDescent="0.45">
      <c r="A43" s="2" t="str">
        <f t="shared" si="0"/>
        <v>咸宜ＳＣ_33</v>
      </c>
      <c r="B43" s="1" t="s">
        <v>8551</v>
      </c>
      <c r="C43" s="1" t="str">
        <f>("33")</f>
        <v>33</v>
      </c>
      <c r="D43" s="1" t="s">
        <v>210</v>
      </c>
      <c r="E43" s="1" t="s">
        <v>8560</v>
      </c>
      <c r="F43" s="1" t="s">
        <v>8561</v>
      </c>
      <c r="G43" s="1">
        <v>1</v>
      </c>
      <c r="H43" s="1" t="s">
        <v>229</v>
      </c>
      <c r="I43" s="1" t="str">
        <f>("1702200008")</f>
        <v>1702200008</v>
      </c>
    </row>
    <row r="44" spans="1:10" x14ac:dyDescent="0.45">
      <c r="A44" s="2" t="str">
        <f t="shared" si="0"/>
        <v>ＦＣアリアーレ_1</v>
      </c>
      <c r="B44" s="1" t="s">
        <v>2002</v>
      </c>
      <c r="C44" s="1" t="str">
        <f>("1")</f>
        <v>1</v>
      </c>
      <c r="D44" s="1" t="s">
        <v>207</v>
      </c>
      <c r="E44" s="1" t="s">
        <v>5873</v>
      </c>
      <c r="F44" s="1" t="s">
        <v>5874</v>
      </c>
      <c r="G44" s="1">
        <v>6</v>
      </c>
      <c r="H44" s="1" t="s">
        <v>229</v>
      </c>
      <c r="I44" s="1" t="str">
        <f>("1202250005")</f>
        <v>1202250005</v>
      </c>
    </row>
    <row r="45" spans="1:10" x14ac:dyDescent="0.45">
      <c r="A45" s="2" t="str">
        <f t="shared" si="0"/>
        <v>ＦＣアリアーレ_2</v>
      </c>
      <c r="B45" s="1" t="s">
        <v>2002</v>
      </c>
      <c r="C45" s="1" t="str">
        <f>("2")</f>
        <v>2</v>
      </c>
      <c r="D45" s="1" t="s">
        <v>210</v>
      </c>
      <c r="E45" s="1" t="s">
        <v>5875</v>
      </c>
      <c r="F45" s="1" t="s">
        <v>5876</v>
      </c>
      <c r="G45" s="1">
        <v>6</v>
      </c>
      <c r="H45" s="1" t="s">
        <v>229</v>
      </c>
      <c r="I45" s="1" t="str">
        <f>("1104020021")</f>
        <v>1104020021</v>
      </c>
    </row>
    <row r="46" spans="1:10" x14ac:dyDescent="0.45">
      <c r="A46" s="2" t="str">
        <f t="shared" si="0"/>
        <v>ＦＣアリアーレ_3</v>
      </c>
      <c r="B46" s="1" t="s">
        <v>2002</v>
      </c>
      <c r="C46" s="1" t="str">
        <f>("3")</f>
        <v>3</v>
      </c>
      <c r="D46" s="1" t="s">
        <v>210</v>
      </c>
      <c r="E46" s="1" t="s">
        <v>5877</v>
      </c>
      <c r="F46" s="1" t="s">
        <v>5878</v>
      </c>
      <c r="G46" s="1">
        <v>5</v>
      </c>
      <c r="H46" s="1" t="s">
        <v>229</v>
      </c>
      <c r="I46" s="1" t="str">
        <f>("1204230066")</f>
        <v>1204230066</v>
      </c>
    </row>
    <row r="47" spans="1:10" x14ac:dyDescent="0.45">
      <c r="A47" s="2" t="str">
        <f t="shared" si="0"/>
        <v>ＦＣアリアーレ_4</v>
      </c>
      <c r="B47" s="1" t="s">
        <v>2002</v>
      </c>
      <c r="C47" s="1" t="str">
        <f>("4")</f>
        <v>4</v>
      </c>
      <c r="D47" s="1" t="s">
        <v>208</v>
      </c>
      <c r="E47" s="1" t="s">
        <v>5045</v>
      </c>
      <c r="F47" s="1" t="s">
        <v>5046</v>
      </c>
      <c r="G47" s="1">
        <v>6</v>
      </c>
      <c r="H47" s="1" t="s">
        <v>229</v>
      </c>
      <c r="I47" s="1" t="str">
        <f>("1202090032")</f>
        <v>1202090032</v>
      </c>
    </row>
    <row r="48" spans="1:10" x14ac:dyDescent="0.45">
      <c r="A48" s="2" t="str">
        <f t="shared" si="0"/>
        <v>ＦＣアリアーレ_5</v>
      </c>
      <c r="B48" s="1" t="s">
        <v>2002</v>
      </c>
      <c r="C48" s="1" t="str">
        <f>("5")</f>
        <v>5</v>
      </c>
      <c r="D48" s="1" t="s">
        <v>208</v>
      </c>
      <c r="E48" s="1" t="s">
        <v>5063</v>
      </c>
      <c r="F48" s="1" t="s">
        <v>5064</v>
      </c>
      <c r="G48" s="1">
        <v>6</v>
      </c>
      <c r="H48" s="1" t="s">
        <v>229</v>
      </c>
      <c r="I48" s="1" t="str">
        <f>("1203070025")</f>
        <v>1203070025</v>
      </c>
    </row>
    <row r="49" spans="1:10" x14ac:dyDescent="0.45">
      <c r="A49" s="2" t="str">
        <f t="shared" si="0"/>
        <v>ＦＣアリアーレ_6</v>
      </c>
      <c r="B49" s="1" t="s">
        <v>2002</v>
      </c>
      <c r="C49" s="1" t="str">
        <f>("6")</f>
        <v>6</v>
      </c>
      <c r="D49" s="1" t="s">
        <v>209</v>
      </c>
      <c r="E49" s="1" t="s">
        <v>5879</v>
      </c>
      <c r="F49" s="1" t="s">
        <v>5880</v>
      </c>
      <c r="G49" s="1">
        <v>6</v>
      </c>
      <c r="H49" s="1" t="s">
        <v>229</v>
      </c>
      <c r="I49" s="1" t="str">
        <f>("1202060028")</f>
        <v>1202060028</v>
      </c>
    </row>
    <row r="50" spans="1:10" x14ac:dyDescent="0.45">
      <c r="A50" s="2" t="str">
        <f t="shared" si="0"/>
        <v>ＦＣアリアーレ_7</v>
      </c>
      <c r="B50" s="1" t="s">
        <v>2002</v>
      </c>
      <c r="C50" s="1" t="str">
        <f>("7")</f>
        <v>7</v>
      </c>
      <c r="D50" s="1" t="s">
        <v>209</v>
      </c>
      <c r="E50" s="1" t="s">
        <v>8562</v>
      </c>
      <c r="F50" s="1" t="s">
        <v>8563</v>
      </c>
      <c r="G50" s="1">
        <v>6</v>
      </c>
      <c r="H50" s="1" t="s">
        <v>229</v>
      </c>
      <c r="I50" s="1" t="str">
        <f>("1108310176")</f>
        <v>1108310176</v>
      </c>
    </row>
    <row r="51" spans="1:10" x14ac:dyDescent="0.45">
      <c r="A51" s="2" t="str">
        <f t="shared" si="0"/>
        <v>ＦＣアリアーレ_8</v>
      </c>
      <c r="B51" s="1" t="s">
        <v>2002</v>
      </c>
      <c r="C51" s="1" t="str">
        <f>("8")</f>
        <v>8</v>
      </c>
      <c r="D51" s="1" t="s">
        <v>209</v>
      </c>
      <c r="E51" s="1" t="s">
        <v>5061</v>
      </c>
      <c r="F51" s="1" t="s">
        <v>5062</v>
      </c>
      <c r="G51" s="1">
        <v>6</v>
      </c>
      <c r="H51" s="1" t="s">
        <v>229</v>
      </c>
      <c r="I51" s="1" t="str">
        <f>("1111150113")</f>
        <v>1111150113</v>
      </c>
    </row>
    <row r="52" spans="1:10" x14ac:dyDescent="0.45">
      <c r="A52" s="2" t="str">
        <f t="shared" si="0"/>
        <v>ＦＣアリアーレ_9</v>
      </c>
      <c r="B52" s="1" t="s">
        <v>2002</v>
      </c>
      <c r="C52" s="1" t="str">
        <f>("9")</f>
        <v>9</v>
      </c>
      <c r="D52" s="1" t="s">
        <v>209</v>
      </c>
      <c r="E52" s="1" t="s">
        <v>5881</v>
      </c>
      <c r="F52" s="1" t="s">
        <v>5882</v>
      </c>
      <c r="G52" s="1">
        <v>6</v>
      </c>
      <c r="H52" s="1" t="s">
        <v>229</v>
      </c>
      <c r="I52" s="1" t="str">
        <f>("1104250162")</f>
        <v>1104250162</v>
      </c>
    </row>
    <row r="53" spans="1:10" x14ac:dyDescent="0.45">
      <c r="A53" s="2" t="str">
        <f t="shared" si="0"/>
        <v>ＦＣアリアーレ_10</v>
      </c>
      <c r="B53" s="1" t="s">
        <v>2002</v>
      </c>
      <c r="C53" s="1" t="str">
        <f>("10")</f>
        <v>10</v>
      </c>
      <c r="D53" s="1" t="s">
        <v>210</v>
      </c>
      <c r="E53" s="1" t="s">
        <v>5043</v>
      </c>
      <c r="F53" s="1" t="s">
        <v>5044</v>
      </c>
      <c r="G53" s="1">
        <v>6</v>
      </c>
      <c r="H53" s="1" t="s">
        <v>229</v>
      </c>
      <c r="I53" s="1" t="str">
        <f>("1110240032")</f>
        <v>1110240032</v>
      </c>
      <c r="J53" s="1" t="s">
        <v>1858</v>
      </c>
    </row>
    <row r="54" spans="1:10" x14ac:dyDescent="0.45">
      <c r="A54" s="2" t="str">
        <f t="shared" si="0"/>
        <v>ＦＣアリアーレ_11</v>
      </c>
      <c r="B54" s="1" t="s">
        <v>2002</v>
      </c>
      <c r="C54" s="1" t="str">
        <f>("11")</f>
        <v>11</v>
      </c>
      <c r="D54" s="1" t="s">
        <v>209</v>
      </c>
      <c r="E54" s="1" t="s">
        <v>5883</v>
      </c>
      <c r="F54" s="1" t="s">
        <v>5884</v>
      </c>
      <c r="G54" s="1">
        <v>6</v>
      </c>
      <c r="H54" s="1" t="s">
        <v>229</v>
      </c>
      <c r="I54" s="1" t="str">
        <f>("1109150014")</f>
        <v>1109150014</v>
      </c>
    </row>
    <row r="55" spans="1:10" x14ac:dyDescent="0.45">
      <c r="A55" s="2" t="str">
        <f t="shared" si="0"/>
        <v>ＦＣアリアーレ_12</v>
      </c>
      <c r="B55" s="1" t="s">
        <v>2002</v>
      </c>
      <c r="C55" s="1" t="str">
        <f>("12")</f>
        <v>12</v>
      </c>
      <c r="D55" s="1" t="s">
        <v>208</v>
      </c>
      <c r="E55" s="1" t="s">
        <v>5885</v>
      </c>
      <c r="F55" s="1" t="s">
        <v>5886</v>
      </c>
      <c r="G55" s="1">
        <v>5</v>
      </c>
      <c r="H55" s="1" t="s">
        <v>229</v>
      </c>
      <c r="I55" s="1" t="str">
        <f>("1208030025")</f>
        <v>1208030025</v>
      </c>
    </row>
    <row r="56" spans="1:10" x14ac:dyDescent="0.45">
      <c r="A56" s="2" t="str">
        <f t="shared" si="0"/>
        <v>ＦＣアリアーレ_13</v>
      </c>
      <c r="B56" s="1" t="s">
        <v>2002</v>
      </c>
      <c r="C56" s="1" t="str">
        <f>("13")</f>
        <v>13</v>
      </c>
      <c r="D56" s="1" t="s">
        <v>209</v>
      </c>
      <c r="E56" s="1" t="s">
        <v>5887</v>
      </c>
      <c r="F56" s="1" t="s">
        <v>5888</v>
      </c>
      <c r="G56" s="1">
        <v>5</v>
      </c>
      <c r="H56" s="1" t="s">
        <v>229</v>
      </c>
      <c r="I56" s="1" t="str">
        <f>("1204030053")</f>
        <v>1204030053</v>
      </c>
    </row>
    <row r="57" spans="1:10" x14ac:dyDescent="0.45">
      <c r="A57" s="2" t="str">
        <f t="shared" si="0"/>
        <v>ＦＣアリアーレ_14</v>
      </c>
      <c r="B57" s="1" t="s">
        <v>2002</v>
      </c>
      <c r="C57" s="1" t="str">
        <f>("14")</f>
        <v>14</v>
      </c>
      <c r="D57" s="1" t="s">
        <v>209</v>
      </c>
      <c r="E57" s="1" t="s">
        <v>5025</v>
      </c>
      <c r="F57" s="1" t="s">
        <v>5026</v>
      </c>
      <c r="G57" s="1">
        <v>5</v>
      </c>
      <c r="H57" s="1" t="s">
        <v>229</v>
      </c>
      <c r="I57" s="1" t="str">
        <f>("1303100001")</f>
        <v>1303100001</v>
      </c>
    </row>
    <row r="58" spans="1:10" x14ac:dyDescent="0.45">
      <c r="A58" s="2" t="str">
        <f t="shared" si="0"/>
        <v>ＦＣアリアーレ_15</v>
      </c>
      <c r="B58" s="1" t="s">
        <v>2002</v>
      </c>
      <c r="C58" s="1" t="str">
        <f>("15")</f>
        <v>15</v>
      </c>
      <c r="D58" s="1" t="s">
        <v>209</v>
      </c>
      <c r="E58" s="1" t="s">
        <v>5788</v>
      </c>
      <c r="F58" s="1" t="s">
        <v>5789</v>
      </c>
      <c r="G58" s="1">
        <v>5</v>
      </c>
      <c r="H58" s="1" t="s">
        <v>229</v>
      </c>
      <c r="I58" s="1" t="str">
        <f>("1303010009")</f>
        <v>1303010009</v>
      </c>
    </row>
    <row r="59" spans="1:10" x14ac:dyDescent="0.45">
      <c r="A59" s="2" t="str">
        <f t="shared" si="0"/>
        <v>ＦＣアリアーレ_16</v>
      </c>
      <c r="B59" s="1" t="s">
        <v>2002</v>
      </c>
      <c r="C59" s="1" t="str">
        <f>("16")</f>
        <v>16</v>
      </c>
      <c r="D59" s="1" t="s">
        <v>207</v>
      </c>
      <c r="E59" s="1" t="s">
        <v>5889</v>
      </c>
      <c r="F59" s="1" t="s">
        <v>5890</v>
      </c>
      <c r="G59" s="1">
        <v>6</v>
      </c>
      <c r="H59" s="1" t="s">
        <v>229</v>
      </c>
      <c r="I59" s="1" t="str">
        <f>("1201210029")</f>
        <v>1201210029</v>
      </c>
    </row>
    <row r="60" spans="1:10" x14ac:dyDescent="0.45">
      <c r="A60" s="2" t="str">
        <f t="shared" si="0"/>
        <v>三芳少年サッカースクール_1</v>
      </c>
      <c r="B60" s="1" t="s">
        <v>4986</v>
      </c>
      <c r="C60" s="1" t="str">
        <f>("1")</f>
        <v>1</v>
      </c>
      <c r="D60" s="1" t="s">
        <v>207</v>
      </c>
      <c r="E60" s="1" t="s">
        <v>5057</v>
      </c>
      <c r="F60" s="1" t="s">
        <v>5058</v>
      </c>
      <c r="G60" s="1">
        <v>6</v>
      </c>
      <c r="H60" s="1" t="s">
        <v>229</v>
      </c>
      <c r="I60" s="1" t="str">
        <f>("1109030013")</f>
        <v>1109030013</v>
      </c>
    </row>
    <row r="61" spans="1:10" x14ac:dyDescent="0.45">
      <c r="A61" s="2" t="str">
        <f t="shared" si="0"/>
        <v>三芳少年サッカースクール_3</v>
      </c>
      <c r="B61" s="1" t="s">
        <v>4986</v>
      </c>
      <c r="C61" s="1" t="str">
        <f>("3")</f>
        <v>3</v>
      </c>
      <c r="D61" s="1" t="s">
        <v>208</v>
      </c>
      <c r="E61" s="1" t="s">
        <v>5905</v>
      </c>
      <c r="F61" s="1" t="s">
        <v>5906</v>
      </c>
      <c r="G61" s="1">
        <v>5</v>
      </c>
      <c r="H61" s="1" t="s">
        <v>229</v>
      </c>
      <c r="I61" s="1" t="str">
        <f>("1204190186")</f>
        <v>1204190186</v>
      </c>
    </row>
    <row r="62" spans="1:10" x14ac:dyDescent="0.45">
      <c r="A62" s="2" t="str">
        <f t="shared" si="0"/>
        <v>三芳少年サッカースクール_4</v>
      </c>
      <c r="B62" s="1" t="s">
        <v>4986</v>
      </c>
      <c r="C62" s="1" t="str">
        <f>("4")</f>
        <v>4</v>
      </c>
      <c r="D62" s="1" t="s">
        <v>208</v>
      </c>
      <c r="E62" s="1" t="s">
        <v>5055</v>
      </c>
      <c r="F62" s="1" t="s">
        <v>5056</v>
      </c>
      <c r="G62" s="1">
        <v>6</v>
      </c>
      <c r="H62" s="1" t="s">
        <v>229</v>
      </c>
      <c r="I62" s="1" t="str">
        <f>("1108030100")</f>
        <v>1108030100</v>
      </c>
      <c r="J62" s="1" t="s">
        <v>1858</v>
      </c>
    </row>
    <row r="63" spans="1:10" x14ac:dyDescent="0.45">
      <c r="A63" s="2" t="str">
        <f t="shared" si="0"/>
        <v>三芳少年サッカースクール_5</v>
      </c>
      <c r="B63" s="1" t="s">
        <v>4986</v>
      </c>
      <c r="C63" s="1" t="str">
        <f>("5")</f>
        <v>5</v>
      </c>
      <c r="D63" s="1" t="s">
        <v>208</v>
      </c>
      <c r="E63" s="1" t="s">
        <v>5891</v>
      </c>
      <c r="F63" s="1" t="s">
        <v>5892</v>
      </c>
      <c r="G63" s="1">
        <v>6</v>
      </c>
      <c r="H63" s="1" t="s">
        <v>229</v>
      </c>
      <c r="I63" s="1" t="str">
        <f>("1110250014")</f>
        <v>1110250014</v>
      </c>
    </row>
    <row r="64" spans="1:10" x14ac:dyDescent="0.45">
      <c r="A64" s="2" t="str">
        <f t="shared" si="0"/>
        <v>三芳少年サッカースクール_6</v>
      </c>
      <c r="B64" s="1" t="s">
        <v>4986</v>
      </c>
      <c r="C64" s="1" t="str">
        <f>("6")</f>
        <v>6</v>
      </c>
      <c r="D64" s="1" t="s">
        <v>209</v>
      </c>
      <c r="E64" s="1" t="s">
        <v>5041</v>
      </c>
      <c r="F64" s="1" t="s">
        <v>5042</v>
      </c>
      <c r="G64" s="1">
        <v>5</v>
      </c>
      <c r="H64" s="1" t="s">
        <v>229</v>
      </c>
      <c r="I64" s="1" t="str">
        <f>("1205290038")</f>
        <v>1205290038</v>
      </c>
    </row>
    <row r="65" spans="1:9" x14ac:dyDescent="0.45">
      <c r="A65" s="2" t="str">
        <f t="shared" ref="A65:A128" si="1">CONCATENATE(B65,"_",C65)</f>
        <v>三芳少年サッカースクール_7</v>
      </c>
      <c r="B65" s="1" t="s">
        <v>4986</v>
      </c>
      <c r="C65" s="1" t="str">
        <f>("7")</f>
        <v>7</v>
      </c>
      <c r="D65" s="1" t="s">
        <v>208</v>
      </c>
      <c r="E65" s="1" t="s">
        <v>5895</v>
      </c>
      <c r="F65" s="1" t="s">
        <v>5896</v>
      </c>
      <c r="G65" s="1">
        <v>6</v>
      </c>
      <c r="H65" s="1" t="s">
        <v>229</v>
      </c>
      <c r="I65" s="1" t="str">
        <f>("1109050196")</f>
        <v>1109050196</v>
      </c>
    </row>
    <row r="66" spans="1:9" x14ac:dyDescent="0.45">
      <c r="A66" s="2" t="str">
        <f t="shared" si="1"/>
        <v>三芳少年サッカースクール_8</v>
      </c>
      <c r="B66" s="1" t="s">
        <v>4986</v>
      </c>
      <c r="C66" s="1" t="str">
        <f>("8")</f>
        <v>8</v>
      </c>
      <c r="D66" s="1" t="s">
        <v>208</v>
      </c>
      <c r="E66" s="1" t="s">
        <v>5899</v>
      </c>
      <c r="F66" s="1" t="s">
        <v>5900</v>
      </c>
      <c r="G66" s="1">
        <v>6</v>
      </c>
      <c r="H66" s="1" t="s">
        <v>229</v>
      </c>
      <c r="I66" s="1" t="str">
        <f>("1108110273")</f>
        <v>1108110273</v>
      </c>
    </row>
    <row r="67" spans="1:9" x14ac:dyDescent="0.45">
      <c r="A67" s="2" t="str">
        <f t="shared" si="1"/>
        <v>三芳少年サッカースクール_9</v>
      </c>
      <c r="B67" s="1" t="s">
        <v>4986</v>
      </c>
      <c r="C67" s="1" t="str">
        <f>("9")</f>
        <v>9</v>
      </c>
      <c r="D67" s="1" t="s">
        <v>210</v>
      </c>
      <c r="E67" s="1" t="s">
        <v>5053</v>
      </c>
      <c r="F67" s="1" t="s">
        <v>5054</v>
      </c>
      <c r="G67" s="1">
        <v>6</v>
      </c>
      <c r="H67" s="1" t="s">
        <v>229</v>
      </c>
      <c r="I67" s="1" t="str">
        <f>("1105030106")</f>
        <v>1105030106</v>
      </c>
    </row>
    <row r="68" spans="1:9" x14ac:dyDescent="0.45">
      <c r="A68" s="2" t="str">
        <f t="shared" si="1"/>
        <v>三芳少年サッカースクール_10</v>
      </c>
      <c r="B68" s="1" t="s">
        <v>4986</v>
      </c>
      <c r="C68" s="1" t="str">
        <f>("10")</f>
        <v>10</v>
      </c>
      <c r="D68" s="1" t="s">
        <v>209</v>
      </c>
      <c r="E68" s="1" t="s">
        <v>8564</v>
      </c>
      <c r="F68" s="1" t="s">
        <v>5052</v>
      </c>
      <c r="G68" s="1">
        <v>6</v>
      </c>
      <c r="H68" s="1" t="s">
        <v>229</v>
      </c>
      <c r="I68" s="1" t="str">
        <f>("1201250021")</f>
        <v>1201250021</v>
      </c>
    </row>
    <row r="69" spans="1:9" x14ac:dyDescent="0.45">
      <c r="A69" s="2" t="str">
        <f t="shared" si="1"/>
        <v>三芳少年サッカースクール_11</v>
      </c>
      <c r="B69" s="1" t="s">
        <v>4986</v>
      </c>
      <c r="C69" s="1" t="str">
        <f>("11")</f>
        <v>11</v>
      </c>
      <c r="D69" s="1" t="s">
        <v>210</v>
      </c>
      <c r="E69" s="1" t="s">
        <v>5897</v>
      </c>
      <c r="F69" s="1" t="s">
        <v>5898</v>
      </c>
      <c r="G69" s="1">
        <v>5</v>
      </c>
      <c r="H69" s="1" t="s">
        <v>229</v>
      </c>
      <c r="I69" s="1" t="str">
        <f>("1209190186")</f>
        <v>1209190186</v>
      </c>
    </row>
    <row r="70" spans="1:9" x14ac:dyDescent="0.45">
      <c r="A70" s="2" t="str">
        <f t="shared" si="1"/>
        <v>三芳少年サッカースクール_13</v>
      </c>
      <c r="B70" s="1" t="s">
        <v>4986</v>
      </c>
      <c r="C70" s="1" t="str">
        <f>("13")</f>
        <v>13</v>
      </c>
      <c r="D70" s="1" t="s">
        <v>210</v>
      </c>
      <c r="E70" s="1" t="s">
        <v>5901</v>
      </c>
      <c r="F70" s="1" t="s">
        <v>5902</v>
      </c>
      <c r="G70" s="1">
        <v>5</v>
      </c>
      <c r="H70" s="1" t="s">
        <v>229</v>
      </c>
      <c r="I70" s="1" t="str">
        <f>("1205300195")</f>
        <v>1205300195</v>
      </c>
    </row>
    <row r="71" spans="1:9" x14ac:dyDescent="0.45">
      <c r="A71" s="2" t="str">
        <f t="shared" si="1"/>
        <v>三芳少年サッカースクール_14</v>
      </c>
      <c r="B71" s="1" t="s">
        <v>4986</v>
      </c>
      <c r="C71" s="1" t="str">
        <f>("14")</f>
        <v>14</v>
      </c>
      <c r="D71" s="1" t="s">
        <v>208</v>
      </c>
      <c r="E71" s="1" t="s">
        <v>5903</v>
      </c>
      <c r="F71" s="1" t="s">
        <v>5904</v>
      </c>
      <c r="G71" s="1">
        <v>5</v>
      </c>
      <c r="H71" s="1" t="s">
        <v>229</v>
      </c>
      <c r="I71" s="1" t="str">
        <f>("1302070154")</f>
        <v>1302070154</v>
      </c>
    </row>
    <row r="72" spans="1:9" x14ac:dyDescent="0.45">
      <c r="A72" s="2" t="str">
        <f t="shared" si="1"/>
        <v>三芳少年サッカースクール_15</v>
      </c>
      <c r="B72" s="1" t="s">
        <v>4986</v>
      </c>
      <c r="C72" s="1" t="str">
        <f>("15")</f>
        <v>15</v>
      </c>
      <c r="D72" s="1" t="s">
        <v>208</v>
      </c>
      <c r="E72" s="1" t="s">
        <v>5033</v>
      </c>
      <c r="F72" s="1" t="s">
        <v>5034</v>
      </c>
      <c r="G72" s="1">
        <v>5</v>
      </c>
      <c r="H72" s="1" t="s">
        <v>229</v>
      </c>
      <c r="I72" s="1" t="str">
        <f>("1205280043")</f>
        <v>1205280043</v>
      </c>
    </row>
    <row r="73" spans="1:9" x14ac:dyDescent="0.45">
      <c r="A73" s="2" t="str">
        <f t="shared" si="1"/>
        <v>三芳少年サッカースクール_16</v>
      </c>
      <c r="B73" s="1" t="s">
        <v>4986</v>
      </c>
      <c r="C73" s="1" t="str">
        <f>("16")</f>
        <v>16</v>
      </c>
      <c r="D73" s="1" t="s">
        <v>207</v>
      </c>
      <c r="E73" s="1" t="s">
        <v>5893</v>
      </c>
      <c r="F73" s="1" t="s">
        <v>5894</v>
      </c>
      <c r="G73" s="1">
        <v>5</v>
      </c>
      <c r="H73" s="1" t="s">
        <v>229</v>
      </c>
      <c r="I73" s="1" t="str">
        <f>("1207020197")</f>
        <v>1207020197</v>
      </c>
    </row>
    <row r="74" spans="1:9" x14ac:dyDescent="0.45">
      <c r="A74" s="2" t="str">
        <f t="shared" si="1"/>
        <v>玖珠サッカースポーツ少年団_1</v>
      </c>
      <c r="B74" s="1" t="s">
        <v>4987</v>
      </c>
      <c r="C74" s="1" t="str">
        <f>("1")</f>
        <v>1</v>
      </c>
      <c r="D74" s="1" t="s">
        <v>207</v>
      </c>
      <c r="E74" s="1" t="s">
        <v>5907</v>
      </c>
      <c r="F74" s="1" t="s">
        <v>5908</v>
      </c>
      <c r="G74" s="1">
        <v>6</v>
      </c>
      <c r="H74" s="1" t="s">
        <v>229</v>
      </c>
      <c r="I74" s="1" t="str">
        <f>("1104160074")</f>
        <v>1104160074</v>
      </c>
    </row>
    <row r="75" spans="1:9" x14ac:dyDescent="0.45">
      <c r="A75" s="2" t="str">
        <f t="shared" si="1"/>
        <v>玖珠サッカースポーツ少年団_2</v>
      </c>
      <c r="B75" s="1" t="s">
        <v>4987</v>
      </c>
      <c r="C75" s="1" t="str">
        <f>("2")</f>
        <v>2</v>
      </c>
      <c r="D75" s="1" t="s">
        <v>210</v>
      </c>
      <c r="E75" s="1" t="s">
        <v>5909</v>
      </c>
      <c r="F75" s="1" t="s">
        <v>5910</v>
      </c>
      <c r="G75" s="1">
        <v>6</v>
      </c>
      <c r="H75" s="1" t="s">
        <v>229</v>
      </c>
      <c r="I75" s="1" t="str">
        <f>("1108290080")</f>
        <v>1108290080</v>
      </c>
    </row>
    <row r="76" spans="1:9" x14ac:dyDescent="0.45">
      <c r="A76" s="2" t="str">
        <f t="shared" si="1"/>
        <v>玖珠サッカースポーツ少年団_3</v>
      </c>
      <c r="B76" s="1" t="s">
        <v>4987</v>
      </c>
      <c r="C76" s="1" t="str">
        <f>("3")</f>
        <v>3</v>
      </c>
      <c r="D76" s="1" t="s">
        <v>210</v>
      </c>
      <c r="E76" s="1" t="s">
        <v>5911</v>
      </c>
      <c r="F76" s="1" t="s">
        <v>5912</v>
      </c>
      <c r="G76" s="1">
        <v>6</v>
      </c>
      <c r="H76" s="1" t="s">
        <v>229</v>
      </c>
      <c r="I76" s="1" t="str">
        <f>("1106260047")</f>
        <v>1106260047</v>
      </c>
    </row>
    <row r="77" spans="1:9" x14ac:dyDescent="0.45">
      <c r="A77" s="2" t="str">
        <f t="shared" si="1"/>
        <v>玖珠サッカースポーツ少年団_4</v>
      </c>
      <c r="B77" s="1" t="s">
        <v>4987</v>
      </c>
      <c r="C77" s="1" t="str">
        <f>("4")</f>
        <v>4</v>
      </c>
      <c r="D77" s="1" t="s">
        <v>209</v>
      </c>
      <c r="E77" s="1" t="s">
        <v>5913</v>
      </c>
      <c r="F77" s="1" t="s">
        <v>5914</v>
      </c>
      <c r="G77" s="1">
        <v>6</v>
      </c>
      <c r="H77" s="1" t="s">
        <v>229</v>
      </c>
      <c r="I77" s="1" t="str">
        <f>("1203110039")</f>
        <v>1203110039</v>
      </c>
    </row>
    <row r="78" spans="1:9" x14ac:dyDescent="0.45">
      <c r="A78" s="2" t="str">
        <f t="shared" si="1"/>
        <v>玖珠サッカースポーツ少年団_5</v>
      </c>
      <c r="B78" s="1" t="s">
        <v>4987</v>
      </c>
      <c r="C78" s="1" t="str">
        <f>("5")</f>
        <v>5</v>
      </c>
      <c r="D78" s="1" t="s">
        <v>207</v>
      </c>
      <c r="E78" s="1" t="s">
        <v>5915</v>
      </c>
      <c r="F78" s="1" t="s">
        <v>5916</v>
      </c>
      <c r="G78" s="1">
        <v>6</v>
      </c>
      <c r="H78" s="1" t="s">
        <v>229</v>
      </c>
      <c r="I78" s="1" t="str">
        <f>("1108070052")</f>
        <v>1108070052</v>
      </c>
    </row>
    <row r="79" spans="1:9" x14ac:dyDescent="0.45">
      <c r="A79" s="2" t="str">
        <f t="shared" si="1"/>
        <v>玖珠サッカースポーツ少年団_6</v>
      </c>
      <c r="B79" s="1" t="s">
        <v>4987</v>
      </c>
      <c r="C79" s="1" t="str">
        <f>("6")</f>
        <v>6</v>
      </c>
      <c r="D79" s="1" t="s">
        <v>209</v>
      </c>
      <c r="E79" s="1" t="s">
        <v>5917</v>
      </c>
      <c r="F79" s="1" t="s">
        <v>5918</v>
      </c>
      <c r="G79" s="1">
        <v>6</v>
      </c>
      <c r="H79" s="1" t="s">
        <v>229</v>
      </c>
      <c r="I79" s="1" t="str">
        <f>("1106070086")</f>
        <v>1106070086</v>
      </c>
    </row>
    <row r="80" spans="1:9" x14ac:dyDescent="0.45">
      <c r="A80" s="2" t="str">
        <f t="shared" si="1"/>
        <v>玖珠サッカースポーツ少年団_7</v>
      </c>
      <c r="B80" s="1" t="s">
        <v>4987</v>
      </c>
      <c r="C80" s="1" t="str">
        <f>("7")</f>
        <v>7</v>
      </c>
      <c r="D80" s="1" t="s">
        <v>209</v>
      </c>
      <c r="E80" s="1" t="s">
        <v>5921</v>
      </c>
      <c r="F80" s="1" t="s">
        <v>5922</v>
      </c>
      <c r="G80" s="1">
        <v>6</v>
      </c>
      <c r="H80" s="1" t="s">
        <v>229</v>
      </c>
      <c r="I80" s="1" t="str">
        <f>("1108030063")</f>
        <v>1108030063</v>
      </c>
    </row>
    <row r="81" spans="1:10" x14ac:dyDescent="0.45">
      <c r="A81" s="2" t="str">
        <f t="shared" si="1"/>
        <v>玖珠サッカースポーツ少年団_8</v>
      </c>
      <c r="B81" s="1" t="s">
        <v>4987</v>
      </c>
      <c r="C81" s="1" t="str">
        <f>("8")</f>
        <v>8</v>
      </c>
      <c r="D81" s="1" t="s">
        <v>208</v>
      </c>
      <c r="E81" s="1" t="s">
        <v>5923</v>
      </c>
      <c r="F81" s="1" t="s">
        <v>5924</v>
      </c>
      <c r="G81" s="1">
        <v>6</v>
      </c>
      <c r="H81" s="1" t="s">
        <v>229</v>
      </c>
      <c r="I81" s="1" t="str">
        <f>("1111040076")</f>
        <v>1111040076</v>
      </c>
    </row>
    <row r="82" spans="1:10" x14ac:dyDescent="0.45">
      <c r="A82" s="2" t="str">
        <f t="shared" si="1"/>
        <v>玖珠サッカースポーツ少年団_9</v>
      </c>
      <c r="B82" s="1" t="s">
        <v>4987</v>
      </c>
      <c r="C82" s="1" t="str">
        <f>("9")</f>
        <v>9</v>
      </c>
      <c r="D82" s="1" t="s">
        <v>209</v>
      </c>
      <c r="E82" s="1" t="s">
        <v>8565</v>
      </c>
      <c r="F82" s="1" t="s">
        <v>8566</v>
      </c>
      <c r="G82" s="1">
        <v>6</v>
      </c>
      <c r="H82" s="1" t="s">
        <v>231</v>
      </c>
      <c r="I82" s="1" t="str">
        <f>("1105010008")</f>
        <v>1105010008</v>
      </c>
    </row>
    <row r="83" spans="1:10" x14ac:dyDescent="0.45">
      <c r="A83" s="2" t="str">
        <f t="shared" si="1"/>
        <v>玖珠サッカースポーツ少年団_10</v>
      </c>
      <c r="B83" s="1" t="s">
        <v>4987</v>
      </c>
      <c r="C83" s="1" t="str">
        <f>("10")</f>
        <v>10</v>
      </c>
      <c r="D83" s="1" t="s">
        <v>208</v>
      </c>
      <c r="E83" s="1" t="s">
        <v>5919</v>
      </c>
      <c r="F83" s="1" t="s">
        <v>5920</v>
      </c>
      <c r="G83" s="1">
        <v>6</v>
      </c>
      <c r="H83" s="1" t="s">
        <v>229</v>
      </c>
      <c r="I83" s="1" t="str">
        <f>("1105120089")</f>
        <v>1105120089</v>
      </c>
      <c r="J83" s="1" t="s">
        <v>1858</v>
      </c>
    </row>
    <row r="84" spans="1:10" x14ac:dyDescent="0.45">
      <c r="A84" s="2" t="str">
        <f t="shared" si="1"/>
        <v>玖珠サッカースポーツ少年団_11</v>
      </c>
      <c r="B84" s="1" t="s">
        <v>4987</v>
      </c>
      <c r="C84" s="1" t="str">
        <f>("11")</f>
        <v>11</v>
      </c>
      <c r="D84" s="1" t="s">
        <v>209</v>
      </c>
      <c r="E84" s="1" t="s">
        <v>5927</v>
      </c>
      <c r="F84" s="1" t="s">
        <v>5928</v>
      </c>
      <c r="G84" s="1">
        <v>6</v>
      </c>
      <c r="H84" s="1" t="s">
        <v>229</v>
      </c>
      <c r="I84" s="1" t="str">
        <f>("1111240052")</f>
        <v>1111240052</v>
      </c>
    </row>
    <row r="85" spans="1:10" x14ac:dyDescent="0.45">
      <c r="A85" s="2" t="str">
        <f t="shared" si="1"/>
        <v>玖珠サッカースポーツ少年団_12</v>
      </c>
      <c r="B85" s="1" t="s">
        <v>4987</v>
      </c>
      <c r="C85" s="1" t="str">
        <f>("12")</f>
        <v>12</v>
      </c>
      <c r="D85" s="1" t="s">
        <v>209</v>
      </c>
      <c r="E85" s="1" t="s">
        <v>8567</v>
      </c>
      <c r="F85" s="1" t="s">
        <v>8568</v>
      </c>
      <c r="G85" s="1">
        <v>6</v>
      </c>
      <c r="H85" s="1" t="s">
        <v>229</v>
      </c>
      <c r="I85" s="1" t="str">
        <f>("1112060089")</f>
        <v>1112060089</v>
      </c>
    </row>
    <row r="86" spans="1:10" x14ac:dyDescent="0.45">
      <c r="A86" s="2" t="str">
        <f t="shared" si="1"/>
        <v>玖珠サッカースポーツ少年団_13</v>
      </c>
      <c r="B86" s="1" t="s">
        <v>4987</v>
      </c>
      <c r="C86" s="1" t="str">
        <f>("13")</f>
        <v>13</v>
      </c>
      <c r="D86" s="1" t="s">
        <v>209</v>
      </c>
      <c r="E86" s="1" t="s">
        <v>8569</v>
      </c>
      <c r="F86" s="1" t="s">
        <v>8570</v>
      </c>
      <c r="G86" s="1">
        <v>6</v>
      </c>
      <c r="H86" s="1" t="s">
        <v>229</v>
      </c>
      <c r="I86" s="1" t="str">
        <f>("1111040214")</f>
        <v>1111040214</v>
      </c>
    </row>
    <row r="87" spans="1:10" x14ac:dyDescent="0.45">
      <c r="A87" s="2" t="str">
        <f t="shared" si="1"/>
        <v>玖珠サッカースポーツ少年団_14</v>
      </c>
      <c r="B87" s="1" t="s">
        <v>4987</v>
      </c>
      <c r="C87" s="1" t="str">
        <f>("14")</f>
        <v>14</v>
      </c>
      <c r="D87" s="1" t="s">
        <v>209</v>
      </c>
      <c r="E87" s="1" t="s">
        <v>5929</v>
      </c>
      <c r="F87" s="1" t="s">
        <v>5930</v>
      </c>
      <c r="G87" s="1">
        <v>6</v>
      </c>
      <c r="H87" s="1" t="s">
        <v>229</v>
      </c>
      <c r="I87" s="1" t="str">
        <f>("1105200107")</f>
        <v>1105200107</v>
      </c>
    </row>
    <row r="88" spans="1:10" x14ac:dyDescent="0.45">
      <c r="A88" s="2" t="str">
        <f t="shared" si="1"/>
        <v>玖珠サッカースポーツ少年団_15</v>
      </c>
      <c r="B88" s="1" t="s">
        <v>4987</v>
      </c>
      <c r="C88" s="1" t="str">
        <f>("15")</f>
        <v>15</v>
      </c>
      <c r="D88" s="1" t="s">
        <v>208</v>
      </c>
      <c r="E88" s="1" t="s">
        <v>8571</v>
      </c>
      <c r="F88" s="1" t="s">
        <v>8054</v>
      </c>
      <c r="G88" s="1">
        <v>6</v>
      </c>
      <c r="H88" s="1" t="s">
        <v>229</v>
      </c>
      <c r="I88" s="1" t="str">
        <f>("1108230244")</f>
        <v>1108230244</v>
      </c>
    </row>
    <row r="89" spans="1:10" x14ac:dyDescent="0.45">
      <c r="A89" s="2" t="str">
        <f t="shared" si="1"/>
        <v>玖珠サッカースポーツ少年団_16</v>
      </c>
      <c r="B89" s="1" t="s">
        <v>4987</v>
      </c>
      <c r="C89" s="1" t="str">
        <f>("16")</f>
        <v>16</v>
      </c>
      <c r="D89" s="1" t="s">
        <v>210</v>
      </c>
      <c r="E89" s="1" t="s">
        <v>8572</v>
      </c>
      <c r="F89" s="1" t="s">
        <v>8573</v>
      </c>
      <c r="G89" s="1">
        <v>6</v>
      </c>
      <c r="H89" s="1" t="s">
        <v>229</v>
      </c>
      <c r="I89" s="1" t="str">
        <f>("1107300182")</f>
        <v>1107300182</v>
      </c>
    </row>
    <row r="90" spans="1:10" x14ac:dyDescent="0.45">
      <c r="A90" s="2" t="str">
        <f t="shared" si="1"/>
        <v>ＦＣ．ＵＳＡ_1</v>
      </c>
      <c r="B90" s="1" t="s">
        <v>4988</v>
      </c>
      <c r="C90" s="1" t="str">
        <f>("1")</f>
        <v>1</v>
      </c>
      <c r="D90" s="1" t="s">
        <v>207</v>
      </c>
      <c r="E90" s="1" t="s">
        <v>8574</v>
      </c>
      <c r="F90" s="1" t="s">
        <v>8575</v>
      </c>
      <c r="G90" s="1">
        <v>5</v>
      </c>
      <c r="H90" s="1" t="s">
        <v>229</v>
      </c>
      <c r="I90" s="1" t="str">
        <f>("1209220138")</f>
        <v>1209220138</v>
      </c>
    </row>
    <row r="91" spans="1:10" x14ac:dyDescent="0.45">
      <c r="A91" s="2" t="str">
        <f t="shared" si="1"/>
        <v>ＦＣ．ＵＳＡ_2</v>
      </c>
      <c r="B91" s="1" t="s">
        <v>4988</v>
      </c>
      <c r="C91" s="1" t="str">
        <f>("2")</f>
        <v>2</v>
      </c>
      <c r="D91" s="1" t="s">
        <v>208</v>
      </c>
      <c r="E91" s="1" t="s">
        <v>5931</v>
      </c>
      <c r="F91" s="1" t="s">
        <v>5932</v>
      </c>
      <c r="G91" s="1">
        <v>5</v>
      </c>
      <c r="H91" s="1" t="s">
        <v>229</v>
      </c>
      <c r="I91" s="1" t="str">
        <f>("1206020085")</f>
        <v>1206020085</v>
      </c>
    </row>
    <row r="92" spans="1:10" x14ac:dyDescent="0.45">
      <c r="A92" s="2" t="str">
        <f t="shared" si="1"/>
        <v>ＦＣ．ＵＳＡ_3</v>
      </c>
      <c r="B92" s="1" t="s">
        <v>4988</v>
      </c>
      <c r="C92" s="1" t="str">
        <f>("3")</f>
        <v>3</v>
      </c>
      <c r="D92" s="1" t="s">
        <v>208</v>
      </c>
      <c r="E92" s="1" t="s">
        <v>5076</v>
      </c>
      <c r="F92" s="1" t="s">
        <v>5077</v>
      </c>
      <c r="G92" s="1">
        <v>6</v>
      </c>
      <c r="H92" s="1" t="s">
        <v>229</v>
      </c>
      <c r="I92" s="1" t="str">
        <f>("1202110023")</f>
        <v>1202110023</v>
      </c>
    </row>
    <row r="93" spans="1:10" x14ac:dyDescent="0.45">
      <c r="A93" s="2" t="str">
        <f t="shared" si="1"/>
        <v>ＦＣ．ＵＳＡ_4</v>
      </c>
      <c r="B93" s="1" t="s">
        <v>4988</v>
      </c>
      <c r="C93" s="1" t="str">
        <f>("4")</f>
        <v>4</v>
      </c>
      <c r="D93" s="1" t="s">
        <v>210</v>
      </c>
      <c r="E93" s="1" t="s">
        <v>5074</v>
      </c>
      <c r="F93" s="1" t="s">
        <v>5075</v>
      </c>
      <c r="G93" s="1">
        <v>6</v>
      </c>
      <c r="H93" s="1" t="s">
        <v>229</v>
      </c>
      <c r="I93" s="1" t="str">
        <f>("1107190072")</f>
        <v>1107190072</v>
      </c>
    </row>
    <row r="94" spans="1:10" x14ac:dyDescent="0.45">
      <c r="A94" s="2" t="str">
        <f t="shared" si="1"/>
        <v>ＦＣ．ＵＳＡ_5</v>
      </c>
      <c r="B94" s="1" t="s">
        <v>4988</v>
      </c>
      <c r="C94" s="1" t="str">
        <f>("5")</f>
        <v>5</v>
      </c>
      <c r="D94" s="1" t="s">
        <v>209</v>
      </c>
      <c r="E94" s="1" t="s">
        <v>5072</v>
      </c>
      <c r="F94" s="1" t="s">
        <v>5073</v>
      </c>
      <c r="G94" s="1">
        <v>6</v>
      </c>
      <c r="H94" s="1" t="s">
        <v>229</v>
      </c>
      <c r="I94" s="1" t="str">
        <f>("1107310037")</f>
        <v>1107310037</v>
      </c>
      <c r="J94" s="1" t="s">
        <v>1858</v>
      </c>
    </row>
    <row r="95" spans="1:10" x14ac:dyDescent="0.45">
      <c r="A95" s="2" t="str">
        <f t="shared" si="1"/>
        <v>ＦＣ．ＵＳＡ_6</v>
      </c>
      <c r="B95" s="1" t="s">
        <v>4988</v>
      </c>
      <c r="C95" s="1" t="str">
        <f>("6")</f>
        <v>6</v>
      </c>
      <c r="D95" s="1" t="s">
        <v>209</v>
      </c>
      <c r="E95" s="1" t="s">
        <v>5078</v>
      </c>
      <c r="F95" s="1" t="s">
        <v>5079</v>
      </c>
      <c r="G95" s="1">
        <v>5</v>
      </c>
      <c r="H95" s="1" t="s">
        <v>229</v>
      </c>
      <c r="I95" s="1" t="str">
        <f>("1205140056")</f>
        <v>1205140056</v>
      </c>
    </row>
    <row r="96" spans="1:10" x14ac:dyDescent="0.45">
      <c r="A96" s="2" t="str">
        <f t="shared" si="1"/>
        <v>ＦＣ．ＵＳＡ_7</v>
      </c>
      <c r="B96" s="1" t="s">
        <v>4988</v>
      </c>
      <c r="C96" s="1" t="str">
        <f>("7")</f>
        <v>7</v>
      </c>
      <c r="D96" s="1" t="s">
        <v>209</v>
      </c>
      <c r="E96" s="1" t="s">
        <v>5080</v>
      </c>
      <c r="F96" s="1" t="s">
        <v>5081</v>
      </c>
      <c r="G96" s="1">
        <v>5</v>
      </c>
      <c r="H96" s="1" t="s">
        <v>229</v>
      </c>
      <c r="I96" s="1" t="str">
        <f>("1207300038")</f>
        <v>1207300038</v>
      </c>
    </row>
    <row r="97" spans="1:9" x14ac:dyDescent="0.45">
      <c r="A97" s="2" t="str">
        <f t="shared" si="1"/>
        <v>ＦＣ．ＵＳＡ_8</v>
      </c>
      <c r="B97" s="1" t="s">
        <v>4988</v>
      </c>
      <c r="C97" s="1" t="str">
        <f>("8")</f>
        <v>8</v>
      </c>
      <c r="D97" s="1" t="s">
        <v>209</v>
      </c>
      <c r="E97" s="1" t="s">
        <v>5933</v>
      </c>
      <c r="F97" s="1" t="s">
        <v>5934</v>
      </c>
      <c r="G97" s="1">
        <v>5</v>
      </c>
      <c r="H97" s="1" t="s">
        <v>229</v>
      </c>
      <c r="I97" s="1" t="str">
        <f>("1204140097")</f>
        <v>1204140097</v>
      </c>
    </row>
    <row r="98" spans="1:9" x14ac:dyDescent="0.45">
      <c r="A98" s="2" t="str">
        <f t="shared" si="1"/>
        <v>ＦＣ．ＵＳＡ_9</v>
      </c>
      <c r="B98" s="1" t="s">
        <v>4988</v>
      </c>
      <c r="C98" s="1" t="str">
        <f>("9")</f>
        <v>9</v>
      </c>
      <c r="D98" s="1" t="s">
        <v>209</v>
      </c>
      <c r="E98" s="1" t="s">
        <v>5084</v>
      </c>
      <c r="F98" s="1" t="s">
        <v>5085</v>
      </c>
      <c r="G98" s="1">
        <v>5</v>
      </c>
      <c r="H98" s="1" t="s">
        <v>229</v>
      </c>
      <c r="I98" s="1" t="str">
        <f>("1212250042")</f>
        <v>1212250042</v>
      </c>
    </row>
    <row r="99" spans="1:9" x14ac:dyDescent="0.45">
      <c r="A99" s="2" t="str">
        <f t="shared" si="1"/>
        <v>ＦＣ．ＵＳＡ_10</v>
      </c>
      <c r="B99" s="1" t="s">
        <v>4988</v>
      </c>
      <c r="C99" s="1" t="str">
        <f>("10")</f>
        <v>10</v>
      </c>
      <c r="D99" s="1" t="s">
        <v>209</v>
      </c>
      <c r="E99" s="1" t="s">
        <v>5937</v>
      </c>
      <c r="F99" s="1" t="s">
        <v>5938</v>
      </c>
      <c r="G99" s="1">
        <v>4</v>
      </c>
      <c r="H99" s="1" t="s">
        <v>229</v>
      </c>
      <c r="I99" s="1" t="str">
        <f>("1304200025")</f>
        <v>1304200025</v>
      </c>
    </row>
    <row r="100" spans="1:9" x14ac:dyDescent="0.45">
      <c r="A100" s="2" t="str">
        <f t="shared" si="1"/>
        <v>ＦＣ．ＵＳＡ_11</v>
      </c>
      <c r="B100" s="1" t="s">
        <v>4988</v>
      </c>
      <c r="C100" s="1" t="str">
        <f>("11")</f>
        <v>11</v>
      </c>
      <c r="D100" s="1" t="s">
        <v>210</v>
      </c>
      <c r="E100" s="1" t="s">
        <v>5935</v>
      </c>
      <c r="F100" s="1" t="s">
        <v>5936</v>
      </c>
      <c r="G100" s="1">
        <v>4</v>
      </c>
      <c r="H100" s="1" t="s">
        <v>229</v>
      </c>
      <c r="I100" s="1" t="str">
        <f>("1312240012")</f>
        <v>1312240012</v>
      </c>
    </row>
    <row r="101" spans="1:9" x14ac:dyDescent="0.45">
      <c r="A101" s="2" t="str">
        <f t="shared" si="1"/>
        <v>ＦＣ．ＵＳＡ_12</v>
      </c>
      <c r="B101" s="1" t="s">
        <v>4988</v>
      </c>
      <c r="C101" s="1" t="str">
        <f>("12")</f>
        <v>12</v>
      </c>
      <c r="D101" s="1" t="s">
        <v>208</v>
      </c>
      <c r="E101" s="1" t="s">
        <v>8576</v>
      </c>
      <c r="F101" s="1" t="s">
        <v>8577</v>
      </c>
      <c r="G101" s="1">
        <v>4</v>
      </c>
      <c r="H101" s="1" t="s">
        <v>229</v>
      </c>
      <c r="I101" s="1" t="str">
        <f>("1305310113")</f>
        <v>1305310113</v>
      </c>
    </row>
    <row r="102" spans="1:9" x14ac:dyDescent="0.45">
      <c r="A102" s="2" t="str">
        <f t="shared" si="1"/>
        <v>ＦＣ．ＵＳＡ_13</v>
      </c>
      <c r="B102" s="1" t="s">
        <v>4988</v>
      </c>
      <c r="C102" s="1" t="str">
        <f>("13")</f>
        <v>13</v>
      </c>
      <c r="D102" s="1" t="s">
        <v>209</v>
      </c>
      <c r="E102" s="1" t="s">
        <v>5939</v>
      </c>
      <c r="F102" s="1" t="s">
        <v>5940</v>
      </c>
      <c r="G102" s="1">
        <v>4</v>
      </c>
      <c r="H102" s="1" t="s">
        <v>229</v>
      </c>
      <c r="I102" s="1" t="str">
        <f>("1304220039")</f>
        <v>1304220039</v>
      </c>
    </row>
    <row r="103" spans="1:9" x14ac:dyDescent="0.45">
      <c r="A103" s="2" t="str">
        <f t="shared" si="1"/>
        <v>ＦＣ．ＵＳＡ_14</v>
      </c>
      <c r="B103" s="1" t="s">
        <v>4988</v>
      </c>
      <c r="C103" s="1" t="str">
        <f>("14")</f>
        <v>14</v>
      </c>
      <c r="D103" s="1" t="s">
        <v>209</v>
      </c>
      <c r="E103" s="1" t="s">
        <v>8578</v>
      </c>
      <c r="F103" s="1" t="s">
        <v>8579</v>
      </c>
      <c r="G103" s="1">
        <v>3</v>
      </c>
      <c r="H103" s="1" t="s">
        <v>229</v>
      </c>
      <c r="I103" s="1" t="str">
        <f>("1209080145")</f>
        <v>1209080145</v>
      </c>
    </row>
    <row r="104" spans="1:9" x14ac:dyDescent="0.45">
      <c r="A104" s="2" t="str">
        <f t="shared" si="1"/>
        <v>ＦＣ．ＵＳＡ_15</v>
      </c>
      <c r="B104" s="1" t="s">
        <v>4988</v>
      </c>
      <c r="C104" s="1" t="str">
        <f>("15")</f>
        <v>15</v>
      </c>
      <c r="D104" s="1" t="s">
        <v>209</v>
      </c>
      <c r="E104" s="1" t="s">
        <v>8580</v>
      </c>
      <c r="F104" s="1" t="s">
        <v>8581</v>
      </c>
      <c r="G104" s="1">
        <v>3</v>
      </c>
      <c r="H104" s="1" t="s">
        <v>229</v>
      </c>
      <c r="I104" s="1" t="str">
        <f>("1212090126")</f>
        <v>1212090126</v>
      </c>
    </row>
    <row r="105" spans="1:9" x14ac:dyDescent="0.45">
      <c r="A105" s="2" t="str">
        <f t="shared" si="1"/>
        <v>ＦＣ．ＵＳＡ_16</v>
      </c>
      <c r="B105" s="1" t="s">
        <v>4988</v>
      </c>
      <c r="C105" s="1" t="str">
        <f>("16")</f>
        <v>16</v>
      </c>
      <c r="D105" s="1" t="s">
        <v>207</v>
      </c>
      <c r="E105" s="1" t="s">
        <v>5082</v>
      </c>
      <c r="F105" s="1" t="s">
        <v>5083</v>
      </c>
      <c r="G105" s="1">
        <v>5</v>
      </c>
      <c r="H105" s="1" t="s">
        <v>229</v>
      </c>
      <c r="I105" s="1" t="str">
        <f>("1207140038")</f>
        <v>1207140038</v>
      </c>
    </row>
    <row r="106" spans="1:9" x14ac:dyDescent="0.45">
      <c r="A106" s="2" t="str">
        <f t="shared" si="1"/>
        <v>ＦＣ　ＷＡＹＳ_1</v>
      </c>
      <c r="B106" s="1" t="s">
        <v>3271</v>
      </c>
      <c r="C106" s="1" t="str">
        <f>("1")</f>
        <v>1</v>
      </c>
      <c r="D106" s="1" t="s">
        <v>207</v>
      </c>
      <c r="E106" s="1" t="s">
        <v>5946</v>
      </c>
      <c r="F106" s="1" t="s">
        <v>5947</v>
      </c>
      <c r="G106" s="1">
        <v>6</v>
      </c>
      <c r="H106" s="1" t="s">
        <v>229</v>
      </c>
      <c r="I106" s="1" t="str">
        <f>("1104190209")</f>
        <v>1104190209</v>
      </c>
    </row>
    <row r="107" spans="1:9" x14ac:dyDescent="0.45">
      <c r="A107" s="2" t="str">
        <f t="shared" si="1"/>
        <v>ＦＣ　ＷＡＹＳ_2</v>
      </c>
      <c r="B107" s="1" t="s">
        <v>3271</v>
      </c>
      <c r="C107" s="1" t="str">
        <f>("2")</f>
        <v>2</v>
      </c>
      <c r="D107" s="1" t="s">
        <v>208</v>
      </c>
      <c r="E107" s="1" t="s">
        <v>5102</v>
      </c>
      <c r="F107" s="1" t="s">
        <v>5103</v>
      </c>
      <c r="G107" s="1">
        <v>6</v>
      </c>
      <c r="H107" s="1" t="s">
        <v>229</v>
      </c>
      <c r="I107" s="1" t="str">
        <f>("1104020151")</f>
        <v>1104020151</v>
      </c>
    </row>
    <row r="108" spans="1:9" x14ac:dyDescent="0.45">
      <c r="A108" s="2" t="str">
        <f t="shared" si="1"/>
        <v>ＦＣ　ＷＡＹＳ_3</v>
      </c>
      <c r="B108" s="1" t="s">
        <v>3271</v>
      </c>
      <c r="C108" s="1" t="str">
        <f>("3")</f>
        <v>3</v>
      </c>
      <c r="D108" s="1" t="s">
        <v>208</v>
      </c>
      <c r="E108" s="1" t="s">
        <v>5950</v>
      </c>
      <c r="F108" s="1" t="s">
        <v>5951</v>
      </c>
      <c r="G108" s="1">
        <v>6</v>
      </c>
      <c r="H108" s="1" t="s">
        <v>229</v>
      </c>
      <c r="I108" s="1" t="str">
        <f>("1108050236")</f>
        <v>1108050236</v>
      </c>
    </row>
    <row r="109" spans="1:9" x14ac:dyDescent="0.45">
      <c r="A109" s="2" t="str">
        <f t="shared" si="1"/>
        <v>ＦＣ　ＷＡＹＳ_4</v>
      </c>
      <c r="B109" s="1" t="s">
        <v>3271</v>
      </c>
      <c r="C109" s="1" t="str">
        <f>("4")</f>
        <v>4</v>
      </c>
      <c r="D109" s="1" t="s">
        <v>209</v>
      </c>
      <c r="E109" s="1" t="s">
        <v>5944</v>
      </c>
      <c r="F109" s="1" t="s">
        <v>5945</v>
      </c>
      <c r="G109" s="1">
        <v>6</v>
      </c>
      <c r="H109" s="1" t="s">
        <v>229</v>
      </c>
      <c r="I109" s="1" t="str">
        <f>("1109210238")</f>
        <v>1109210238</v>
      </c>
    </row>
    <row r="110" spans="1:9" x14ac:dyDescent="0.45">
      <c r="A110" s="2" t="str">
        <f t="shared" si="1"/>
        <v>ＦＣ　ＷＡＹＳ_5</v>
      </c>
      <c r="B110" s="1" t="s">
        <v>3271</v>
      </c>
      <c r="C110" s="1" t="str">
        <f>("5")</f>
        <v>5</v>
      </c>
      <c r="D110" s="1" t="s">
        <v>208</v>
      </c>
      <c r="E110" s="1" t="s">
        <v>5942</v>
      </c>
      <c r="F110" s="1" t="s">
        <v>5943</v>
      </c>
      <c r="G110" s="1">
        <v>6</v>
      </c>
      <c r="H110" s="1" t="s">
        <v>229</v>
      </c>
      <c r="I110" s="1" t="str">
        <f>("1111160169")</f>
        <v>1111160169</v>
      </c>
    </row>
    <row r="111" spans="1:9" x14ac:dyDescent="0.45">
      <c r="A111" s="2" t="str">
        <f t="shared" si="1"/>
        <v>ＦＣ　ＷＡＹＳ_6</v>
      </c>
      <c r="B111" s="1" t="s">
        <v>3271</v>
      </c>
      <c r="C111" s="1" t="str">
        <f>("6")</f>
        <v>6</v>
      </c>
      <c r="D111" s="1" t="s">
        <v>209</v>
      </c>
      <c r="E111" s="1" t="s">
        <v>5948</v>
      </c>
      <c r="F111" s="1" t="s">
        <v>5949</v>
      </c>
      <c r="G111" s="1">
        <v>6</v>
      </c>
      <c r="H111" s="1" t="s">
        <v>229</v>
      </c>
      <c r="I111" s="1" t="str">
        <f>("1107130197")</f>
        <v>1107130197</v>
      </c>
    </row>
    <row r="112" spans="1:9" x14ac:dyDescent="0.45">
      <c r="A112" s="2" t="str">
        <f t="shared" si="1"/>
        <v>ＦＣ　ＷＡＹＳ_7</v>
      </c>
      <c r="B112" s="1" t="s">
        <v>3271</v>
      </c>
      <c r="C112" s="1" t="str">
        <f>("7")</f>
        <v>7</v>
      </c>
      <c r="D112" s="1" t="s">
        <v>209</v>
      </c>
      <c r="E112" s="1" t="s">
        <v>5667</v>
      </c>
      <c r="F112" s="1" t="s">
        <v>5941</v>
      </c>
      <c r="G112" s="1">
        <v>6</v>
      </c>
      <c r="H112" s="1" t="s">
        <v>229</v>
      </c>
      <c r="I112" s="1" t="str">
        <f>("1201160168")</f>
        <v>1201160168</v>
      </c>
    </row>
    <row r="113" spans="1:10" x14ac:dyDescent="0.45">
      <c r="A113" s="2" t="str">
        <f t="shared" si="1"/>
        <v>ＦＣ　ＷＡＹＳ_8</v>
      </c>
      <c r="B113" s="1" t="s">
        <v>3271</v>
      </c>
      <c r="C113" s="1" t="str">
        <f>("8")</f>
        <v>8</v>
      </c>
      <c r="D113" s="1" t="s">
        <v>208</v>
      </c>
      <c r="E113" s="1" t="s">
        <v>8582</v>
      </c>
      <c r="F113" s="1" t="s">
        <v>8583</v>
      </c>
      <c r="G113" s="1">
        <v>6</v>
      </c>
      <c r="H113" s="1" t="s">
        <v>229</v>
      </c>
      <c r="I113" s="1" t="str">
        <f>("1107120254")</f>
        <v>1107120254</v>
      </c>
    </row>
    <row r="114" spans="1:10" x14ac:dyDescent="0.45">
      <c r="A114" s="2" t="str">
        <f t="shared" si="1"/>
        <v>ＦＣ　ＷＡＹＳ_9</v>
      </c>
      <c r="B114" s="1" t="s">
        <v>3271</v>
      </c>
      <c r="C114" s="1" t="str">
        <f>("9")</f>
        <v>9</v>
      </c>
      <c r="D114" s="1" t="s">
        <v>210</v>
      </c>
      <c r="E114" s="1" t="s">
        <v>8584</v>
      </c>
      <c r="F114" s="1" t="s">
        <v>8585</v>
      </c>
      <c r="G114" s="1">
        <v>6</v>
      </c>
      <c r="H114" s="1" t="s">
        <v>229</v>
      </c>
      <c r="I114" s="1" t="str">
        <f>("1202070215")</f>
        <v>1202070215</v>
      </c>
    </row>
    <row r="115" spans="1:10" x14ac:dyDescent="0.45">
      <c r="A115" s="2" t="str">
        <f t="shared" si="1"/>
        <v>ＦＣ　ＷＡＹＳ_10</v>
      </c>
      <c r="B115" s="1" t="s">
        <v>3271</v>
      </c>
      <c r="C115" s="1" t="str">
        <f>("10")</f>
        <v>10</v>
      </c>
      <c r="D115" s="1" t="s">
        <v>209</v>
      </c>
      <c r="E115" s="1" t="s">
        <v>5086</v>
      </c>
      <c r="F115" s="1" t="s">
        <v>5087</v>
      </c>
      <c r="G115" s="1">
        <v>6</v>
      </c>
      <c r="H115" s="1" t="s">
        <v>229</v>
      </c>
      <c r="I115" s="1" t="str">
        <f>("1106200086")</f>
        <v>1106200086</v>
      </c>
      <c r="J115" s="1" t="s">
        <v>1858</v>
      </c>
    </row>
    <row r="116" spans="1:10" x14ac:dyDescent="0.45">
      <c r="A116" s="2" t="str">
        <f t="shared" si="1"/>
        <v>ＦＣ　ＷＡＹＳ_11</v>
      </c>
      <c r="B116" s="1" t="s">
        <v>3271</v>
      </c>
      <c r="C116" s="1" t="str">
        <f>("11")</f>
        <v>11</v>
      </c>
      <c r="D116" s="1" t="s">
        <v>210</v>
      </c>
      <c r="E116" s="1" t="s">
        <v>8586</v>
      </c>
      <c r="F116" s="1" t="s">
        <v>8587</v>
      </c>
      <c r="G116" s="1">
        <v>6</v>
      </c>
      <c r="H116" s="1" t="s">
        <v>229</v>
      </c>
      <c r="I116" s="1" t="str">
        <f>("1104180226")</f>
        <v>1104180226</v>
      </c>
    </row>
    <row r="117" spans="1:10" x14ac:dyDescent="0.45">
      <c r="A117" s="2" t="str">
        <f t="shared" si="1"/>
        <v>ＦＣ　ＷＡＹＳ_12</v>
      </c>
      <c r="B117" s="1" t="s">
        <v>3271</v>
      </c>
      <c r="C117" s="1" t="str">
        <f>("12")</f>
        <v>12</v>
      </c>
      <c r="D117" s="1" t="s">
        <v>207</v>
      </c>
      <c r="E117" s="1" t="s">
        <v>8588</v>
      </c>
      <c r="F117" s="1" t="s">
        <v>8589</v>
      </c>
      <c r="G117" s="1">
        <v>5</v>
      </c>
      <c r="H117" s="1" t="s">
        <v>229</v>
      </c>
      <c r="I117" s="1" t="str">
        <f>("1204100207")</f>
        <v>1204100207</v>
      </c>
    </row>
    <row r="118" spans="1:10" x14ac:dyDescent="0.45">
      <c r="A118" s="2" t="str">
        <f t="shared" si="1"/>
        <v>ＦＣ　ＷＡＹＳ_13</v>
      </c>
      <c r="B118" s="1" t="s">
        <v>3271</v>
      </c>
      <c r="C118" s="1" t="str">
        <f>("13")</f>
        <v>13</v>
      </c>
      <c r="D118" s="1" t="s">
        <v>209</v>
      </c>
      <c r="E118" s="1" t="s">
        <v>8590</v>
      </c>
      <c r="F118" s="1" t="s">
        <v>8591</v>
      </c>
      <c r="G118" s="1">
        <v>5</v>
      </c>
      <c r="H118" s="1" t="s">
        <v>229</v>
      </c>
      <c r="I118" s="1" t="str">
        <f>("1303180153")</f>
        <v>1303180153</v>
      </c>
    </row>
    <row r="119" spans="1:10" x14ac:dyDescent="0.45">
      <c r="A119" s="2" t="str">
        <f t="shared" si="1"/>
        <v>ＦＣ　ＷＡＹＳ_14</v>
      </c>
      <c r="B119" s="1" t="s">
        <v>3271</v>
      </c>
      <c r="C119" s="1" t="str">
        <f>("14")</f>
        <v>14</v>
      </c>
      <c r="D119" s="1" t="s">
        <v>209</v>
      </c>
      <c r="E119" s="1" t="s">
        <v>5952</v>
      </c>
      <c r="F119" s="1" t="s">
        <v>5953</v>
      </c>
      <c r="G119" s="1">
        <v>5</v>
      </c>
      <c r="H119" s="1" t="s">
        <v>229</v>
      </c>
      <c r="I119" s="1" t="str">
        <f>("1207060185")</f>
        <v>1207060185</v>
      </c>
    </row>
    <row r="120" spans="1:10" x14ac:dyDescent="0.45">
      <c r="A120" s="2" t="str">
        <f t="shared" si="1"/>
        <v>ＦＣ　ＷＡＹＳ_15</v>
      </c>
      <c r="B120" s="1" t="s">
        <v>3271</v>
      </c>
      <c r="C120" s="1" t="str">
        <f>("15")</f>
        <v>15</v>
      </c>
      <c r="D120" s="1" t="s">
        <v>209</v>
      </c>
      <c r="E120" s="1" t="s">
        <v>8592</v>
      </c>
      <c r="F120" s="1" t="s">
        <v>8593</v>
      </c>
      <c r="G120" s="1">
        <v>5</v>
      </c>
      <c r="H120" s="1" t="s">
        <v>229</v>
      </c>
      <c r="I120" s="1" t="str">
        <f>("1207270168")</f>
        <v>1207270168</v>
      </c>
    </row>
    <row r="121" spans="1:10" x14ac:dyDescent="0.45">
      <c r="A121" s="2" t="str">
        <f t="shared" si="1"/>
        <v>ＦＣ　ＷＡＹＳ_17</v>
      </c>
      <c r="B121" s="1" t="s">
        <v>3271</v>
      </c>
      <c r="C121" s="1" t="str">
        <f>("17")</f>
        <v>17</v>
      </c>
      <c r="D121" s="1" t="s">
        <v>208</v>
      </c>
      <c r="E121" s="1" t="s">
        <v>8594</v>
      </c>
      <c r="F121" s="1" t="s">
        <v>8595</v>
      </c>
      <c r="G121" s="1">
        <v>5</v>
      </c>
      <c r="H121" s="1" t="s">
        <v>229</v>
      </c>
      <c r="I121" s="1" t="str">
        <f>("1206250165")</f>
        <v>1206250165</v>
      </c>
    </row>
    <row r="122" spans="1:10" x14ac:dyDescent="0.45">
      <c r="A122" s="2" t="str">
        <f t="shared" si="1"/>
        <v>四日市南ＳＳＣ_1</v>
      </c>
      <c r="B122" s="1" t="s">
        <v>4989</v>
      </c>
      <c r="C122" s="1" t="str">
        <f>("1")</f>
        <v>1</v>
      </c>
      <c r="D122" s="1" t="s">
        <v>207</v>
      </c>
      <c r="E122" s="1" t="s">
        <v>5960</v>
      </c>
      <c r="F122" s="1" t="s">
        <v>5961</v>
      </c>
      <c r="G122" s="1">
        <v>6</v>
      </c>
      <c r="H122" s="1" t="s">
        <v>229</v>
      </c>
      <c r="I122" s="1" t="str">
        <f>("1202010099")</f>
        <v>1202010099</v>
      </c>
    </row>
    <row r="123" spans="1:10" x14ac:dyDescent="0.45">
      <c r="A123" s="2" t="str">
        <f t="shared" si="1"/>
        <v>四日市南ＳＳＣ_2</v>
      </c>
      <c r="B123" s="1" t="s">
        <v>4989</v>
      </c>
      <c r="C123" s="1" t="str">
        <f>("2")</f>
        <v>2</v>
      </c>
      <c r="D123" s="1" t="s">
        <v>210</v>
      </c>
      <c r="E123" s="1" t="s">
        <v>8596</v>
      </c>
      <c r="F123" s="1" t="s">
        <v>8597</v>
      </c>
      <c r="G123" s="1">
        <v>5</v>
      </c>
      <c r="H123" s="1" t="s">
        <v>229</v>
      </c>
      <c r="I123" s="1" t="str">
        <f>("1205110140")</f>
        <v>1205110140</v>
      </c>
    </row>
    <row r="124" spans="1:10" x14ac:dyDescent="0.45">
      <c r="A124" s="2" t="str">
        <f t="shared" si="1"/>
        <v>四日市南ＳＳＣ_3</v>
      </c>
      <c r="B124" s="1" t="s">
        <v>4989</v>
      </c>
      <c r="C124" s="1" t="str">
        <f>("3")</f>
        <v>3</v>
      </c>
      <c r="D124" s="1" t="s">
        <v>208</v>
      </c>
      <c r="E124" s="1" t="s">
        <v>8598</v>
      </c>
      <c r="F124" s="1" t="s">
        <v>8599</v>
      </c>
      <c r="G124" s="1">
        <v>5</v>
      </c>
      <c r="H124" s="1" t="s">
        <v>229</v>
      </c>
      <c r="I124" s="1" t="str">
        <f>("1205300078")</f>
        <v>1205300078</v>
      </c>
    </row>
    <row r="125" spans="1:10" x14ac:dyDescent="0.45">
      <c r="A125" s="2" t="str">
        <f t="shared" si="1"/>
        <v>四日市南ＳＳＣ_4</v>
      </c>
      <c r="B125" s="1" t="s">
        <v>4989</v>
      </c>
      <c r="C125" s="1" t="str">
        <f>("4")</f>
        <v>4</v>
      </c>
      <c r="D125" s="1" t="s">
        <v>209</v>
      </c>
      <c r="E125" s="1" t="s">
        <v>8600</v>
      </c>
      <c r="F125" s="1" t="s">
        <v>8601</v>
      </c>
      <c r="G125" s="1">
        <v>5</v>
      </c>
      <c r="H125" s="1" t="s">
        <v>229</v>
      </c>
      <c r="I125" s="1" t="str">
        <f>("1209060112")</f>
        <v>1209060112</v>
      </c>
    </row>
    <row r="126" spans="1:10" x14ac:dyDescent="0.45">
      <c r="A126" s="2" t="str">
        <f t="shared" si="1"/>
        <v>四日市南ＳＳＣ_5</v>
      </c>
      <c r="B126" s="1" t="s">
        <v>4989</v>
      </c>
      <c r="C126" s="1" t="str">
        <f>("5")</f>
        <v>5</v>
      </c>
      <c r="D126" s="1" t="s">
        <v>208</v>
      </c>
      <c r="E126" s="1" t="s">
        <v>8602</v>
      </c>
      <c r="F126" s="1" t="s">
        <v>8603</v>
      </c>
      <c r="G126" s="1">
        <v>5</v>
      </c>
      <c r="H126" s="1" t="s">
        <v>229</v>
      </c>
      <c r="I126" s="1" t="str">
        <f>("1205180083")</f>
        <v>1205180083</v>
      </c>
    </row>
    <row r="127" spans="1:10" x14ac:dyDescent="0.45">
      <c r="A127" s="2" t="str">
        <f t="shared" si="1"/>
        <v>四日市南ＳＳＣ_6</v>
      </c>
      <c r="B127" s="1" t="s">
        <v>4989</v>
      </c>
      <c r="C127" s="1" t="str">
        <f>("6")</f>
        <v>6</v>
      </c>
      <c r="D127" s="1" t="s">
        <v>210</v>
      </c>
      <c r="E127" s="1" t="s">
        <v>8604</v>
      </c>
      <c r="F127" s="1" t="s">
        <v>8605</v>
      </c>
      <c r="G127" s="1">
        <v>5</v>
      </c>
      <c r="H127" s="1" t="s">
        <v>229</v>
      </c>
      <c r="I127" s="1" t="str">
        <f>("1301250133")</f>
        <v>1301250133</v>
      </c>
    </row>
    <row r="128" spans="1:10" x14ac:dyDescent="0.45">
      <c r="A128" s="2" t="str">
        <f t="shared" si="1"/>
        <v>四日市南ＳＳＣ_7</v>
      </c>
      <c r="B128" s="1" t="s">
        <v>4989</v>
      </c>
      <c r="C128" s="1" t="str">
        <f>("7")</f>
        <v>7</v>
      </c>
      <c r="D128" s="1" t="s">
        <v>209</v>
      </c>
      <c r="E128" s="1" t="s">
        <v>5954</v>
      </c>
      <c r="F128" s="1" t="s">
        <v>5955</v>
      </c>
      <c r="G128" s="1">
        <v>6</v>
      </c>
      <c r="H128" s="1" t="s">
        <v>229</v>
      </c>
      <c r="I128" s="1" t="str">
        <f>("1108070126")</f>
        <v>1108070126</v>
      </c>
      <c r="J128" s="1" t="s">
        <v>1858</v>
      </c>
    </row>
    <row r="129" spans="1:9" x14ac:dyDescent="0.45">
      <c r="A129" s="2" t="str">
        <f t="shared" ref="A129:A192" si="2">CONCATENATE(B129,"_",C129)</f>
        <v>四日市南ＳＳＣ_8</v>
      </c>
      <c r="B129" s="1" t="s">
        <v>4989</v>
      </c>
      <c r="C129" s="1" t="str">
        <f>("8")</f>
        <v>8</v>
      </c>
      <c r="D129" s="1" t="s">
        <v>208</v>
      </c>
      <c r="E129" s="1" t="s">
        <v>5090</v>
      </c>
      <c r="F129" s="1" t="s">
        <v>5091</v>
      </c>
      <c r="G129" s="1">
        <v>6</v>
      </c>
      <c r="H129" s="1" t="s">
        <v>229</v>
      </c>
      <c r="I129" s="1" t="str">
        <f>("1202210001")</f>
        <v>1202210001</v>
      </c>
    </row>
    <row r="130" spans="1:9" x14ac:dyDescent="0.45">
      <c r="A130" s="2" t="str">
        <f t="shared" si="2"/>
        <v>四日市南ＳＳＣ_9</v>
      </c>
      <c r="B130" s="1" t="s">
        <v>4989</v>
      </c>
      <c r="C130" s="1" t="str">
        <f>("9")</f>
        <v>9</v>
      </c>
      <c r="D130" s="1" t="s">
        <v>210</v>
      </c>
      <c r="E130" s="1" t="s">
        <v>5958</v>
      </c>
      <c r="F130" s="1" t="s">
        <v>5959</v>
      </c>
      <c r="G130" s="1">
        <v>6</v>
      </c>
      <c r="H130" s="1" t="s">
        <v>229</v>
      </c>
      <c r="I130" s="1" t="str">
        <f>("1111070013")</f>
        <v>1111070013</v>
      </c>
    </row>
    <row r="131" spans="1:9" x14ac:dyDescent="0.45">
      <c r="A131" s="2" t="str">
        <f t="shared" si="2"/>
        <v>四日市南ＳＳＣ_10</v>
      </c>
      <c r="B131" s="1" t="s">
        <v>4989</v>
      </c>
      <c r="C131" s="1" t="str">
        <f>("10")</f>
        <v>10</v>
      </c>
      <c r="D131" s="1" t="s">
        <v>209</v>
      </c>
      <c r="E131" s="1" t="s">
        <v>5088</v>
      </c>
      <c r="F131" s="1" t="s">
        <v>5089</v>
      </c>
      <c r="G131" s="1">
        <v>6</v>
      </c>
      <c r="H131" s="1" t="s">
        <v>229</v>
      </c>
      <c r="I131" s="1" t="str">
        <f>("1201240108")</f>
        <v>1201240108</v>
      </c>
    </row>
    <row r="132" spans="1:9" x14ac:dyDescent="0.45">
      <c r="A132" s="2" t="str">
        <f t="shared" si="2"/>
        <v>四日市南ＳＳＣ_11</v>
      </c>
      <c r="B132" s="1" t="s">
        <v>4989</v>
      </c>
      <c r="C132" s="1" t="str">
        <f>("11")</f>
        <v>11</v>
      </c>
      <c r="D132" s="1" t="s">
        <v>209</v>
      </c>
      <c r="E132" s="1" t="s">
        <v>5956</v>
      </c>
      <c r="F132" s="1" t="s">
        <v>5957</v>
      </c>
      <c r="G132" s="1">
        <v>6</v>
      </c>
      <c r="H132" s="1" t="s">
        <v>229</v>
      </c>
      <c r="I132" s="1" t="str">
        <f>("1107030125")</f>
        <v>1107030125</v>
      </c>
    </row>
    <row r="133" spans="1:9" x14ac:dyDescent="0.45">
      <c r="A133" s="2" t="str">
        <f t="shared" si="2"/>
        <v>四日市南ＳＳＣ_12</v>
      </c>
      <c r="B133" s="1" t="s">
        <v>4989</v>
      </c>
      <c r="C133" s="1" t="str">
        <f>("12")</f>
        <v>12</v>
      </c>
      <c r="D133" s="1" t="s">
        <v>208</v>
      </c>
      <c r="E133" s="1" t="s">
        <v>8606</v>
      </c>
      <c r="F133" s="1" t="s">
        <v>8607</v>
      </c>
      <c r="G133" s="1">
        <v>5</v>
      </c>
      <c r="H133" s="1" t="s">
        <v>231</v>
      </c>
      <c r="I133" s="1" t="str">
        <f>("1206050147")</f>
        <v>1206050147</v>
      </c>
    </row>
    <row r="134" spans="1:9" x14ac:dyDescent="0.45">
      <c r="A134" s="2" t="str">
        <f t="shared" si="2"/>
        <v>四日市南ＳＳＣ_13</v>
      </c>
      <c r="B134" s="1" t="s">
        <v>4989</v>
      </c>
      <c r="C134" s="1" t="str">
        <f>("13")</f>
        <v>13</v>
      </c>
      <c r="D134" s="1" t="s">
        <v>209</v>
      </c>
      <c r="E134" s="1" t="s">
        <v>8608</v>
      </c>
      <c r="F134" s="1" t="s">
        <v>8609</v>
      </c>
      <c r="G134" s="1">
        <v>5</v>
      </c>
      <c r="H134" s="1" t="s">
        <v>229</v>
      </c>
      <c r="I134" s="1" t="str">
        <f>("1212010104")</f>
        <v>1212010104</v>
      </c>
    </row>
    <row r="135" spans="1:9" x14ac:dyDescent="0.45">
      <c r="A135" s="2" t="str">
        <f t="shared" si="2"/>
        <v>四日市南ＳＳＣ_14</v>
      </c>
      <c r="B135" s="1" t="s">
        <v>4989</v>
      </c>
      <c r="C135" s="1" t="str">
        <f>("14")</f>
        <v>14</v>
      </c>
      <c r="D135" s="1" t="s">
        <v>209</v>
      </c>
      <c r="E135" s="1" t="s">
        <v>8610</v>
      </c>
      <c r="F135" s="1" t="s">
        <v>8611</v>
      </c>
      <c r="G135" s="1">
        <v>5</v>
      </c>
      <c r="H135" s="1" t="s">
        <v>229</v>
      </c>
      <c r="I135" s="1" t="str">
        <f>("1208210137")</f>
        <v>1208210137</v>
      </c>
    </row>
    <row r="136" spans="1:9" x14ac:dyDescent="0.45">
      <c r="A136" s="2" t="str">
        <f t="shared" si="2"/>
        <v>四日市南ＳＳＣ_15</v>
      </c>
      <c r="B136" s="1" t="s">
        <v>4989</v>
      </c>
      <c r="C136" s="1" t="str">
        <f>("15")</f>
        <v>15</v>
      </c>
      <c r="D136" s="1" t="s">
        <v>209</v>
      </c>
      <c r="E136" s="1" t="s">
        <v>8612</v>
      </c>
      <c r="F136" s="1" t="s">
        <v>8613</v>
      </c>
      <c r="G136" s="1">
        <v>5</v>
      </c>
      <c r="H136" s="1" t="s">
        <v>229</v>
      </c>
      <c r="I136" s="1" t="str">
        <f>("1204160145")</f>
        <v>1204160145</v>
      </c>
    </row>
    <row r="137" spans="1:9" x14ac:dyDescent="0.45">
      <c r="A137" s="2" t="str">
        <f t="shared" si="2"/>
        <v>四日市南ＳＳＣ_16</v>
      </c>
      <c r="B137" s="1" t="s">
        <v>4989</v>
      </c>
      <c r="C137" s="1" t="str">
        <f>("16")</f>
        <v>16</v>
      </c>
      <c r="D137" s="1" t="s">
        <v>207</v>
      </c>
      <c r="E137" s="1" t="s">
        <v>8614</v>
      </c>
      <c r="F137" s="1" t="s">
        <v>8615</v>
      </c>
      <c r="G137" s="1">
        <v>4</v>
      </c>
      <c r="H137" s="1" t="s">
        <v>229</v>
      </c>
      <c r="I137" s="1" t="str">
        <f>("1306180150")</f>
        <v>1306180150</v>
      </c>
    </row>
    <row r="138" spans="1:9" x14ac:dyDescent="0.45">
      <c r="A138" s="2" t="str">
        <f t="shared" si="2"/>
        <v>四日市北ＪＦＣ_1</v>
      </c>
      <c r="B138" s="1" t="s">
        <v>4990</v>
      </c>
      <c r="C138" s="1" t="str">
        <f>("1")</f>
        <v>1</v>
      </c>
      <c r="D138" s="1" t="s">
        <v>207</v>
      </c>
      <c r="E138" s="1" t="s">
        <v>8616</v>
      </c>
      <c r="F138" s="1" t="s">
        <v>8617</v>
      </c>
      <c r="G138" s="1">
        <v>6</v>
      </c>
      <c r="H138" s="1" t="s">
        <v>229</v>
      </c>
      <c r="I138" s="1" t="str">
        <f>("1104050260")</f>
        <v>1104050260</v>
      </c>
    </row>
    <row r="139" spans="1:9" x14ac:dyDescent="0.45">
      <c r="A139" s="2" t="str">
        <f t="shared" si="2"/>
        <v>四日市北ＪＦＣ_2</v>
      </c>
      <c r="B139" s="1" t="s">
        <v>4990</v>
      </c>
      <c r="C139" s="1" t="str">
        <f>("2")</f>
        <v>2</v>
      </c>
      <c r="D139" s="1" t="s">
        <v>208</v>
      </c>
      <c r="E139" s="1" t="s">
        <v>5094</v>
      </c>
      <c r="F139" s="1" t="s">
        <v>5095</v>
      </c>
      <c r="G139" s="1">
        <v>6</v>
      </c>
      <c r="H139" s="1" t="s">
        <v>229</v>
      </c>
      <c r="I139" s="1" t="str">
        <f>("1109290055")</f>
        <v>1109290055</v>
      </c>
    </row>
    <row r="140" spans="1:9" x14ac:dyDescent="0.45">
      <c r="A140" s="2" t="str">
        <f t="shared" si="2"/>
        <v>四日市北ＪＦＣ_3</v>
      </c>
      <c r="B140" s="1" t="s">
        <v>4990</v>
      </c>
      <c r="C140" s="1" t="str">
        <f>("3")</f>
        <v>3</v>
      </c>
      <c r="D140" s="1" t="s">
        <v>208</v>
      </c>
      <c r="E140" s="1" t="s">
        <v>5962</v>
      </c>
      <c r="F140" s="1" t="s">
        <v>5963</v>
      </c>
      <c r="G140" s="1">
        <v>6</v>
      </c>
      <c r="H140" s="1" t="s">
        <v>229</v>
      </c>
      <c r="I140" s="1" t="str">
        <f>("1105200189")</f>
        <v>1105200189</v>
      </c>
    </row>
    <row r="141" spans="1:9" x14ac:dyDescent="0.45">
      <c r="A141" s="2" t="str">
        <f t="shared" si="2"/>
        <v>四日市北ＪＦＣ_4</v>
      </c>
      <c r="B141" s="1" t="s">
        <v>4990</v>
      </c>
      <c r="C141" s="1" t="str">
        <f>("4")</f>
        <v>4</v>
      </c>
      <c r="D141" s="1" t="s">
        <v>209</v>
      </c>
      <c r="E141" s="1" t="s">
        <v>8618</v>
      </c>
      <c r="F141" s="1" t="s">
        <v>8619</v>
      </c>
      <c r="G141" s="1">
        <v>4</v>
      </c>
      <c r="H141" s="1" t="s">
        <v>229</v>
      </c>
      <c r="I141" s="1" t="str">
        <f>("1306270119")</f>
        <v>1306270119</v>
      </c>
    </row>
    <row r="142" spans="1:9" x14ac:dyDescent="0.45">
      <c r="A142" s="2" t="str">
        <f t="shared" si="2"/>
        <v>四日市北ＪＦＣ_5</v>
      </c>
      <c r="B142" s="1" t="s">
        <v>4990</v>
      </c>
      <c r="C142" s="1" t="str">
        <f>("5")</f>
        <v>5</v>
      </c>
      <c r="D142" s="1" t="s">
        <v>209</v>
      </c>
      <c r="E142" s="1" t="s">
        <v>5100</v>
      </c>
      <c r="F142" s="1" t="s">
        <v>5101</v>
      </c>
      <c r="G142" s="1">
        <v>5</v>
      </c>
      <c r="H142" s="1" t="s">
        <v>229</v>
      </c>
      <c r="I142" s="1" t="str">
        <f>("1208170012")</f>
        <v>1208170012</v>
      </c>
    </row>
    <row r="143" spans="1:9" x14ac:dyDescent="0.45">
      <c r="A143" s="2" t="str">
        <f t="shared" si="2"/>
        <v>四日市北ＪＦＣ_6</v>
      </c>
      <c r="B143" s="1" t="s">
        <v>4990</v>
      </c>
      <c r="C143" s="1" t="str">
        <f>("6")</f>
        <v>6</v>
      </c>
      <c r="D143" s="1" t="s">
        <v>209</v>
      </c>
      <c r="E143" s="1" t="s">
        <v>5098</v>
      </c>
      <c r="F143" s="1" t="s">
        <v>5099</v>
      </c>
      <c r="G143" s="1">
        <v>6</v>
      </c>
      <c r="H143" s="1" t="s">
        <v>229</v>
      </c>
      <c r="I143" s="1" t="str">
        <f>("1112110065")</f>
        <v>1112110065</v>
      </c>
    </row>
    <row r="144" spans="1:9" x14ac:dyDescent="0.45">
      <c r="A144" s="2" t="str">
        <f t="shared" si="2"/>
        <v>四日市北ＪＦＣ_7</v>
      </c>
      <c r="B144" s="1" t="s">
        <v>4990</v>
      </c>
      <c r="C144" s="1" t="str">
        <f>("7")</f>
        <v>7</v>
      </c>
      <c r="D144" s="1" t="s">
        <v>210</v>
      </c>
      <c r="E144" s="1" t="s">
        <v>8620</v>
      </c>
      <c r="F144" s="1" t="s">
        <v>8621</v>
      </c>
      <c r="G144" s="1">
        <v>4</v>
      </c>
      <c r="H144" s="1" t="s">
        <v>231</v>
      </c>
      <c r="I144" s="1" t="str">
        <f>("1307020138")</f>
        <v>1307020138</v>
      </c>
    </row>
    <row r="145" spans="1:10" x14ac:dyDescent="0.45">
      <c r="A145" s="2" t="str">
        <f t="shared" si="2"/>
        <v>四日市北ＪＦＣ_8</v>
      </c>
      <c r="B145" s="1" t="s">
        <v>4990</v>
      </c>
      <c r="C145" s="1" t="str">
        <f>("8")</f>
        <v>8</v>
      </c>
      <c r="D145" s="1" t="s">
        <v>209</v>
      </c>
      <c r="E145" s="1" t="s">
        <v>8622</v>
      </c>
      <c r="F145" s="1" t="s">
        <v>8623</v>
      </c>
      <c r="G145" s="1">
        <v>5</v>
      </c>
      <c r="H145" s="1" t="s">
        <v>231</v>
      </c>
      <c r="I145" s="1" t="str">
        <f>("1205140226")</f>
        <v>1205140226</v>
      </c>
    </row>
    <row r="146" spans="1:10" x14ac:dyDescent="0.45">
      <c r="A146" s="2" t="str">
        <f t="shared" si="2"/>
        <v>四日市北ＪＦＣ_9</v>
      </c>
      <c r="B146" s="1" t="s">
        <v>4990</v>
      </c>
      <c r="C146" s="1" t="str">
        <f>("9")</f>
        <v>9</v>
      </c>
      <c r="D146" s="1" t="s">
        <v>208</v>
      </c>
      <c r="E146" s="1" t="s">
        <v>5964</v>
      </c>
      <c r="F146" s="1" t="s">
        <v>5965</v>
      </c>
      <c r="G146" s="1">
        <v>6</v>
      </c>
      <c r="H146" s="1" t="s">
        <v>231</v>
      </c>
      <c r="I146" s="1" t="str">
        <f>("1105250224")</f>
        <v>1105250224</v>
      </c>
    </row>
    <row r="147" spans="1:10" x14ac:dyDescent="0.45">
      <c r="A147" s="2" t="str">
        <f t="shared" si="2"/>
        <v>四日市北ＪＦＣ_10</v>
      </c>
      <c r="B147" s="1" t="s">
        <v>4990</v>
      </c>
      <c r="C147" s="1" t="str">
        <f>("10")</f>
        <v>10</v>
      </c>
      <c r="D147" s="1" t="s">
        <v>209</v>
      </c>
      <c r="E147" s="1" t="s">
        <v>5092</v>
      </c>
      <c r="F147" s="1" t="s">
        <v>5093</v>
      </c>
      <c r="G147" s="1">
        <v>6</v>
      </c>
      <c r="H147" s="1" t="s">
        <v>229</v>
      </c>
      <c r="I147" s="1" t="str">
        <f>("1107200049")</f>
        <v>1107200049</v>
      </c>
    </row>
    <row r="148" spans="1:10" x14ac:dyDescent="0.45">
      <c r="A148" s="2" t="str">
        <f t="shared" si="2"/>
        <v>四日市北ＪＦＣ_11</v>
      </c>
      <c r="B148" s="1" t="s">
        <v>4990</v>
      </c>
      <c r="C148" s="1" t="str">
        <f>("11")</f>
        <v>11</v>
      </c>
      <c r="D148" s="1" t="s">
        <v>209</v>
      </c>
      <c r="E148" s="1" t="s">
        <v>5096</v>
      </c>
      <c r="F148" s="1" t="s">
        <v>5097</v>
      </c>
      <c r="G148" s="1">
        <v>6</v>
      </c>
      <c r="H148" s="1" t="s">
        <v>229</v>
      </c>
      <c r="I148" s="1" t="str">
        <f>("1105260141")</f>
        <v>1105260141</v>
      </c>
      <c r="J148" s="1" t="s">
        <v>1858</v>
      </c>
    </row>
    <row r="149" spans="1:10" x14ac:dyDescent="0.45">
      <c r="A149" s="2" t="str">
        <f t="shared" si="2"/>
        <v>四日市北ＪＦＣ_12</v>
      </c>
      <c r="B149" s="1" t="s">
        <v>4990</v>
      </c>
      <c r="C149" s="1" t="str">
        <f>("12")</f>
        <v>12</v>
      </c>
      <c r="D149" s="1" t="s">
        <v>210</v>
      </c>
      <c r="E149" s="1" t="s">
        <v>8624</v>
      </c>
      <c r="F149" s="1" t="s">
        <v>8625</v>
      </c>
      <c r="G149" s="1">
        <v>4</v>
      </c>
      <c r="H149" s="1" t="s">
        <v>229</v>
      </c>
      <c r="I149" s="1" t="str">
        <f>("1306170113")</f>
        <v>1306170113</v>
      </c>
    </row>
    <row r="150" spans="1:10" x14ac:dyDescent="0.45">
      <c r="A150" s="2" t="str">
        <f t="shared" si="2"/>
        <v>四日市北ＪＦＣ_16</v>
      </c>
      <c r="B150" s="1" t="s">
        <v>4990</v>
      </c>
      <c r="C150" s="1" t="str">
        <f>("16")</f>
        <v>16</v>
      </c>
      <c r="D150" s="1" t="s">
        <v>207</v>
      </c>
      <c r="E150" s="1" t="s">
        <v>8626</v>
      </c>
      <c r="F150" s="1" t="s">
        <v>8627</v>
      </c>
      <c r="G150" s="1">
        <v>3</v>
      </c>
      <c r="H150" s="1" t="s">
        <v>229</v>
      </c>
      <c r="I150" s="1" t="str">
        <f>("1405220115")</f>
        <v>1405220115</v>
      </c>
    </row>
    <row r="151" spans="1:10" x14ac:dyDescent="0.45">
      <c r="A151" s="2" t="str">
        <f t="shared" si="2"/>
        <v>きつきＦＣ_1</v>
      </c>
      <c r="B151" s="1" t="s">
        <v>213</v>
      </c>
      <c r="C151" s="1" t="str">
        <f>("1")</f>
        <v>1</v>
      </c>
      <c r="D151" s="1" t="s">
        <v>207</v>
      </c>
      <c r="E151" s="1" t="s">
        <v>5104</v>
      </c>
      <c r="F151" s="1" t="s">
        <v>3502</v>
      </c>
      <c r="G151" s="1">
        <v>6</v>
      </c>
      <c r="H151" s="1" t="s">
        <v>229</v>
      </c>
      <c r="I151" s="1" t="str">
        <f>("1108140031")</f>
        <v>1108140031</v>
      </c>
    </row>
    <row r="152" spans="1:10" x14ac:dyDescent="0.45">
      <c r="A152" s="2" t="str">
        <f t="shared" si="2"/>
        <v>きつきＦＣ_2</v>
      </c>
      <c r="B152" s="1" t="s">
        <v>213</v>
      </c>
      <c r="C152" s="1" t="str">
        <f>("2")</f>
        <v>2</v>
      </c>
      <c r="D152" s="1" t="s">
        <v>209</v>
      </c>
      <c r="E152" s="1" t="s">
        <v>5105</v>
      </c>
      <c r="F152" s="1" t="s">
        <v>5106</v>
      </c>
      <c r="G152" s="1">
        <v>4</v>
      </c>
      <c r="H152" s="1" t="s">
        <v>229</v>
      </c>
      <c r="I152" s="1" t="str">
        <f>("1312210001")</f>
        <v>1312210001</v>
      </c>
    </row>
    <row r="153" spans="1:10" x14ac:dyDescent="0.45">
      <c r="A153" s="2" t="str">
        <f t="shared" si="2"/>
        <v>きつきＦＣ_3</v>
      </c>
      <c r="B153" s="1" t="s">
        <v>213</v>
      </c>
      <c r="C153" s="1" t="str">
        <f>("3")</f>
        <v>3</v>
      </c>
      <c r="D153" s="1" t="s">
        <v>208</v>
      </c>
      <c r="E153" s="1" t="s">
        <v>8628</v>
      </c>
      <c r="F153" s="1" t="s">
        <v>8629</v>
      </c>
      <c r="G153" s="1">
        <v>5</v>
      </c>
      <c r="H153" s="1" t="s">
        <v>229</v>
      </c>
      <c r="I153" s="1" t="str">
        <f>("1205100212")</f>
        <v>1205100212</v>
      </c>
    </row>
    <row r="154" spans="1:10" x14ac:dyDescent="0.45">
      <c r="A154" s="2" t="str">
        <f t="shared" si="2"/>
        <v>きつきＦＣ_4</v>
      </c>
      <c r="B154" s="1" t="s">
        <v>213</v>
      </c>
      <c r="C154" s="1" t="str">
        <f>("4")</f>
        <v>4</v>
      </c>
      <c r="D154" s="1" t="s">
        <v>208</v>
      </c>
      <c r="E154" s="1" t="s">
        <v>8630</v>
      </c>
      <c r="F154" s="1" t="s">
        <v>8631</v>
      </c>
      <c r="G154" s="1">
        <v>6</v>
      </c>
      <c r="H154" s="1" t="s">
        <v>229</v>
      </c>
      <c r="I154" s="1" t="str">
        <f>("1104050274")</f>
        <v>1104050274</v>
      </c>
    </row>
    <row r="155" spans="1:10" x14ac:dyDescent="0.45">
      <c r="A155" s="2" t="str">
        <f t="shared" si="2"/>
        <v>きつきＦＣ_5</v>
      </c>
      <c r="B155" s="1" t="s">
        <v>213</v>
      </c>
      <c r="C155" s="1" t="str">
        <f>("5")</f>
        <v>5</v>
      </c>
      <c r="D155" s="1" t="s">
        <v>208</v>
      </c>
      <c r="E155" s="1" t="s">
        <v>3283</v>
      </c>
      <c r="F155" s="1" t="s">
        <v>3284</v>
      </c>
      <c r="G155" s="1">
        <v>6</v>
      </c>
      <c r="H155" s="1" t="s">
        <v>229</v>
      </c>
      <c r="I155" s="1" t="str">
        <f>("1201130007")</f>
        <v>1201130007</v>
      </c>
    </row>
    <row r="156" spans="1:10" x14ac:dyDescent="0.45">
      <c r="A156" s="2" t="str">
        <f t="shared" si="2"/>
        <v>きつきＦＣ_6</v>
      </c>
      <c r="B156" s="1" t="s">
        <v>213</v>
      </c>
      <c r="C156" s="1" t="str">
        <f>("6")</f>
        <v>6</v>
      </c>
      <c r="D156" s="1" t="s">
        <v>208</v>
      </c>
      <c r="E156" s="1" t="s">
        <v>3281</v>
      </c>
      <c r="F156" s="1" t="s">
        <v>3282</v>
      </c>
      <c r="G156" s="1">
        <v>6</v>
      </c>
      <c r="H156" s="1" t="s">
        <v>231</v>
      </c>
      <c r="I156" s="1" t="str">
        <f>("1106160012")</f>
        <v>1106160012</v>
      </c>
    </row>
    <row r="157" spans="1:10" x14ac:dyDescent="0.45">
      <c r="A157" s="2" t="str">
        <f t="shared" si="2"/>
        <v>きつきＦＣ_7</v>
      </c>
      <c r="B157" s="1" t="s">
        <v>213</v>
      </c>
      <c r="C157" s="1" t="str">
        <f>("7")</f>
        <v>7</v>
      </c>
      <c r="D157" s="1" t="s">
        <v>209</v>
      </c>
      <c r="E157" s="1" t="s">
        <v>3287</v>
      </c>
      <c r="F157" s="1" t="s">
        <v>3288</v>
      </c>
      <c r="G157" s="1">
        <v>6</v>
      </c>
      <c r="H157" s="1" t="s">
        <v>229</v>
      </c>
      <c r="I157" s="1" t="str">
        <f>("1201130012")</f>
        <v>1201130012</v>
      </c>
    </row>
    <row r="158" spans="1:10" x14ac:dyDescent="0.45">
      <c r="A158" s="2" t="str">
        <f t="shared" si="2"/>
        <v>きつきＦＣ_8</v>
      </c>
      <c r="B158" s="1" t="s">
        <v>213</v>
      </c>
      <c r="C158" s="1" t="str">
        <f>("8")</f>
        <v>8</v>
      </c>
      <c r="D158" s="1" t="s">
        <v>208</v>
      </c>
      <c r="E158" s="1" t="s">
        <v>5109</v>
      </c>
      <c r="F158" s="1" t="s">
        <v>5110</v>
      </c>
      <c r="G158" s="1">
        <v>6</v>
      </c>
      <c r="H158" s="1" t="s">
        <v>229</v>
      </c>
      <c r="I158" s="1" t="str">
        <f>("1110040180")</f>
        <v>1110040180</v>
      </c>
    </row>
    <row r="159" spans="1:10" x14ac:dyDescent="0.45">
      <c r="A159" s="2" t="str">
        <f t="shared" si="2"/>
        <v>きつきＦＣ_9</v>
      </c>
      <c r="B159" s="1" t="s">
        <v>213</v>
      </c>
      <c r="C159" s="1" t="str">
        <f>("9")</f>
        <v>9</v>
      </c>
      <c r="D159" s="1" t="s">
        <v>210</v>
      </c>
      <c r="E159" s="1" t="s">
        <v>5107</v>
      </c>
      <c r="F159" s="1" t="s">
        <v>5108</v>
      </c>
      <c r="G159" s="1">
        <v>5</v>
      </c>
      <c r="H159" s="1" t="s">
        <v>229</v>
      </c>
      <c r="I159" s="1" t="str">
        <f>("1210220008")</f>
        <v>1210220008</v>
      </c>
    </row>
    <row r="160" spans="1:10" x14ac:dyDescent="0.45">
      <c r="A160" s="2" t="str">
        <f t="shared" si="2"/>
        <v>きつきＦＣ_10</v>
      </c>
      <c r="B160" s="1" t="s">
        <v>213</v>
      </c>
      <c r="C160" s="1" t="str">
        <f>("10")</f>
        <v>10</v>
      </c>
      <c r="D160" s="1" t="s">
        <v>208</v>
      </c>
      <c r="E160" s="1" t="s">
        <v>3285</v>
      </c>
      <c r="F160" s="1" t="s">
        <v>3286</v>
      </c>
      <c r="G160" s="1">
        <v>6</v>
      </c>
      <c r="H160" s="1" t="s">
        <v>229</v>
      </c>
      <c r="I160" s="1" t="str">
        <f>("1110020020")</f>
        <v>1110020020</v>
      </c>
      <c r="J160" s="1" t="s">
        <v>1858</v>
      </c>
    </row>
    <row r="161" spans="1:10" x14ac:dyDescent="0.45">
      <c r="A161" s="2" t="str">
        <f t="shared" si="2"/>
        <v>きつきＦＣ_11</v>
      </c>
      <c r="B161" s="1" t="s">
        <v>213</v>
      </c>
      <c r="C161" s="1" t="str">
        <f>("11")</f>
        <v>11</v>
      </c>
      <c r="D161" s="1" t="s">
        <v>210</v>
      </c>
      <c r="E161" s="1" t="s">
        <v>3279</v>
      </c>
      <c r="F161" s="1" t="s">
        <v>3280</v>
      </c>
      <c r="G161" s="1">
        <v>6</v>
      </c>
      <c r="H161" s="1" t="s">
        <v>229</v>
      </c>
      <c r="I161" s="1" t="str">
        <f>("1111120020")</f>
        <v>1111120020</v>
      </c>
    </row>
    <row r="162" spans="1:10" x14ac:dyDescent="0.45">
      <c r="A162" s="2" t="str">
        <f t="shared" si="2"/>
        <v>きつきＦＣ_16</v>
      </c>
      <c r="B162" s="1" t="s">
        <v>213</v>
      </c>
      <c r="C162" s="1" t="str">
        <f>("16")</f>
        <v>16</v>
      </c>
      <c r="D162" s="1" t="s">
        <v>207</v>
      </c>
      <c r="E162" s="1" t="s">
        <v>8632</v>
      </c>
      <c r="F162" s="1" t="s">
        <v>8633</v>
      </c>
      <c r="G162" s="1">
        <v>6</v>
      </c>
      <c r="H162" s="1" t="s">
        <v>229</v>
      </c>
      <c r="I162" s="1" t="str">
        <f>("1108020264")</f>
        <v>1108020264</v>
      </c>
    </row>
    <row r="163" spans="1:10" x14ac:dyDescent="0.45">
      <c r="A163" s="2" t="str">
        <f t="shared" si="2"/>
        <v>東　Ｆ．Ｃ．_1</v>
      </c>
      <c r="B163" s="1" t="s">
        <v>5837</v>
      </c>
      <c r="C163" s="1" t="str">
        <f>("1")</f>
        <v>1</v>
      </c>
      <c r="D163" s="1" t="s">
        <v>207</v>
      </c>
      <c r="E163" s="1" t="s">
        <v>5966</v>
      </c>
      <c r="F163" s="1" t="s">
        <v>5967</v>
      </c>
      <c r="G163" s="1">
        <v>5</v>
      </c>
      <c r="H163" s="1" t="s">
        <v>229</v>
      </c>
      <c r="I163" s="1" t="str">
        <f>("1205150001")</f>
        <v>1205150001</v>
      </c>
    </row>
    <row r="164" spans="1:10" x14ac:dyDescent="0.45">
      <c r="A164" s="2" t="str">
        <f t="shared" si="2"/>
        <v>東　Ｆ．Ｃ．_2</v>
      </c>
      <c r="B164" s="1" t="s">
        <v>5837</v>
      </c>
      <c r="C164" s="1" t="str">
        <f>("2")</f>
        <v>2</v>
      </c>
      <c r="D164" s="1" t="s">
        <v>208</v>
      </c>
      <c r="E164" s="1" t="s">
        <v>8634</v>
      </c>
      <c r="F164" s="1" t="s">
        <v>8635</v>
      </c>
      <c r="G164" s="1">
        <v>4</v>
      </c>
      <c r="H164" s="1" t="s">
        <v>229</v>
      </c>
      <c r="I164" s="1" t="str">
        <f>("1401110050")</f>
        <v>1401110050</v>
      </c>
    </row>
    <row r="165" spans="1:10" x14ac:dyDescent="0.45">
      <c r="A165" s="2" t="str">
        <f t="shared" si="2"/>
        <v>東　Ｆ．Ｃ．_3</v>
      </c>
      <c r="B165" s="1" t="s">
        <v>5837</v>
      </c>
      <c r="C165" s="1" t="str">
        <f>("3")</f>
        <v>3</v>
      </c>
      <c r="D165" s="1" t="s">
        <v>209</v>
      </c>
      <c r="E165" s="1" t="s">
        <v>8636</v>
      </c>
      <c r="F165" s="1" t="s">
        <v>8637</v>
      </c>
      <c r="G165" s="1">
        <v>4</v>
      </c>
      <c r="H165" s="1" t="s">
        <v>229</v>
      </c>
      <c r="I165" s="1" t="str">
        <f>("1307100144")</f>
        <v>1307100144</v>
      </c>
    </row>
    <row r="166" spans="1:10" x14ac:dyDescent="0.45">
      <c r="A166" s="2" t="str">
        <f t="shared" si="2"/>
        <v>東　Ｆ．Ｃ．_4</v>
      </c>
      <c r="B166" s="1" t="s">
        <v>5837</v>
      </c>
      <c r="C166" s="1" t="str">
        <f>("4")</f>
        <v>4</v>
      </c>
      <c r="D166" s="1" t="s">
        <v>208</v>
      </c>
      <c r="E166" s="1" t="s">
        <v>8638</v>
      </c>
      <c r="F166" s="1" t="s">
        <v>8639</v>
      </c>
      <c r="G166" s="1">
        <v>4</v>
      </c>
      <c r="H166" s="1" t="s">
        <v>229</v>
      </c>
      <c r="I166" s="1" t="str">
        <f>("1310280019")</f>
        <v>1310280019</v>
      </c>
    </row>
    <row r="167" spans="1:10" x14ac:dyDescent="0.45">
      <c r="A167" s="2" t="str">
        <f t="shared" si="2"/>
        <v>東　Ｆ．Ｃ．_5</v>
      </c>
      <c r="B167" s="1" t="s">
        <v>5837</v>
      </c>
      <c r="C167" s="1" t="str">
        <f>("5")</f>
        <v>5</v>
      </c>
      <c r="D167" s="1" t="s">
        <v>208</v>
      </c>
      <c r="E167" s="1" t="s">
        <v>5115</v>
      </c>
      <c r="F167" s="1" t="s">
        <v>5116</v>
      </c>
      <c r="G167" s="1">
        <v>6</v>
      </c>
      <c r="H167" s="1" t="s">
        <v>229</v>
      </c>
      <c r="I167" s="1" t="str">
        <f>("1111220012")</f>
        <v>1111220012</v>
      </c>
      <c r="J167" s="1" t="s">
        <v>1858</v>
      </c>
    </row>
    <row r="168" spans="1:10" x14ac:dyDescent="0.45">
      <c r="A168" s="2" t="str">
        <f t="shared" si="2"/>
        <v>東　Ｆ．Ｃ．_6</v>
      </c>
      <c r="B168" s="1" t="s">
        <v>5837</v>
      </c>
      <c r="C168" s="1" t="str">
        <f>("6")</f>
        <v>6</v>
      </c>
      <c r="D168" s="1" t="s">
        <v>209</v>
      </c>
      <c r="E168" s="1" t="s">
        <v>8640</v>
      </c>
      <c r="F168" s="1" t="s">
        <v>8641</v>
      </c>
      <c r="G168" s="1">
        <v>5</v>
      </c>
      <c r="H168" s="1" t="s">
        <v>229</v>
      </c>
      <c r="I168" s="1" t="str">
        <f>("1210310160")</f>
        <v>1210310160</v>
      </c>
    </row>
    <row r="169" spans="1:10" x14ac:dyDescent="0.45">
      <c r="A169" s="2" t="str">
        <f t="shared" si="2"/>
        <v>東　Ｆ．Ｃ．_7</v>
      </c>
      <c r="B169" s="1" t="s">
        <v>5837</v>
      </c>
      <c r="C169" s="1" t="str">
        <f>("7")</f>
        <v>7</v>
      </c>
      <c r="D169" s="1" t="s">
        <v>208</v>
      </c>
      <c r="E169" s="1" t="s">
        <v>5119</v>
      </c>
      <c r="F169" s="1" t="s">
        <v>5120</v>
      </c>
      <c r="G169" s="1">
        <v>6</v>
      </c>
      <c r="H169" s="1" t="s">
        <v>229</v>
      </c>
      <c r="I169" s="1" t="str">
        <f>("1108210126")</f>
        <v>1108210126</v>
      </c>
    </row>
    <row r="170" spans="1:10" x14ac:dyDescent="0.45">
      <c r="A170" s="2" t="str">
        <f t="shared" si="2"/>
        <v>東　Ｆ．Ｃ．_8</v>
      </c>
      <c r="B170" s="1" t="s">
        <v>5837</v>
      </c>
      <c r="C170" s="1" t="str">
        <f>("8")</f>
        <v>8</v>
      </c>
      <c r="D170" s="1" t="s">
        <v>209</v>
      </c>
      <c r="E170" s="1" t="s">
        <v>8642</v>
      </c>
      <c r="F170" s="1" t="s">
        <v>8643</v>
      </c>
      <c r="G170" s="1">
        <v>6</v>
      </c>
      <c r="H170" s="1" t="s">
        <v>231</v>
      </c>
      <c r="I170" s="1" t="str">
        <f>("1110300150")</f>
        <v>1110300150</v>
      </c>
    </row>
    <row r="171" spans="1:10" x14ac:dyDescent="0.45">
      <c r="A171" s="2" t="str">
        <f t="shared" si="2"/>
        <v>東　Ｆ．Ｃ．_9</v>
      </c>
      <c r="B171" s="1" t="s">
        <v>5837</v>
      </c>
      <c r="C171" s="1" t="str">
        <f>("9")</f>
        <v>9</v>
      </c>
      <c r="D171" s="1" t="s">
        <v>209</v>
      </c>
      <c r="E171" s="1" t="s">
        <v>5121</v>
      </c>
      <c r="F171" s="1" t="s">
        <v>5122</v>
      </c>
      <c r="G171" s="1">
        <v>5</v>
      </c>
      <c r="H171" s="1" t="s">
        <v>229</v>
      </c>
      <c r="I171" s="1" t="str">
        <f>("1208020003")</f>
        <v>1208020003</v>
      </c>
    </row>
    <row r="172" spans="1:10" x14ac:dyDescent="0.45">
      <c r="A172" s="2" t="str">
        <f t="shared" si="2"/>
        <v>東　Ｆ．Ｃ．_11</v>
      </c>
      <c r="B172" s="1" t="s">
        <v>5837</v>
      </c>
      <c r="C172" s="1" t="str">
        <f>("11")</f>
        <v>11</v>
      </c>
      <c r="D172" s="1" t="s">
        <v>209</v>
      </c>
      <c r="E172" s="1" t="s">
        <v>5117</v>
      </c>
      <c r="F172" s="1" t="s">
        <v>5118</v>
      </c>
      <c r="G172" s="1">
        <v>6</v>
      </c>
      <c r="H172" s="1" t="s">
        <v>229</v>
      </c>
      <c r="I172" s="1" t="str">
        <f>("1106210028")</f>
        <v>1106210028</v>
      </c>
    </row>
    <row r="173" spans="1:10" x14ac:dyDescent="0.45">
      <c r="A173" s="2" t="str">
        <f t="shared" si="2"/>
        <v>東　Ｆ．Ｃ．_12</v>
      </c>
      <c r="B173" s="1" t="s">
        <v>5837</v>
      </c>
      <c r="C173" s="1" t="str">
        <f>("12")</f>
        <v>12</v>
      </c>
      <c r="D173" s="1" t="s">
        <v>207</v>
      </c>
      <c r="E173" s="1" t="s">
        <v>8644</v>
      </c>
      <c r="F173" s="1" t="s">
        <v>8645</v>
      </c>
      <c r="G173" s="1">
        <v>5</v>
      </c>
      <c r="H173" s="1" t="s">
        <v>229</v>
      </c>
      <c r="I173" s="1" t="str">
        <f>("1211290124")</f>
        <v>1211290124</v>
      </c>
    </row>
    <row r="174" spans="1:10" x14ac:dyDescent="0.45">
      <c r="A174" s="2" t="str">
        <f t="shared" si="2"/>
        <v>東　Ｆ．Ｃ．_13</v>
      </c>
      <c r="B174" s="1" t="s">
        <v>5837</v>
      </c>
      <c r="C174" s="1" t="str">
        <f>("13")</f>
        <v>13</v>
      </c>
      <c r="D174" s="1" t="s">
        <v>210</v>
      </c>
      <c r="E174" s="1" t="s">
        <v>8646</v>
      </c>
      <c r="F174" s="1" t="s">
        <v>8647</v>
      </c>
      <c r="G174" s="1">
        <v>4</v>
      </c>
      <c r="H174" s="1" t="s">
        <v>229</v>
      </c>
      <c r="I174" s="1" t="str">
        <f>("1308080068")</f>
        <v>1308080068</v>
      </c>
    </row>
    <row r="175" spans="1:10" x14ac:dyDescent="0.45">
      <c r="A175" s="2" t="str">
        <f t="shared" si="2"/>
        <v>東　Ｆ．Ｃ．_14</v>
      </c>
      <c r="B175" s="1" t="s">
        <v>5837</v>
      </c>
      <c r="C175" s="1" t="str">
        <f>("14")</f>
        <v>14</v>
      </c>
      <c r="D175" s="1" t="s">
        <v>210</v>
      </c>
      <c r="E175" s="1" t="s">
        <v>8648</v>
      </c>
      <c r="F175" s="1" t="s">
        <v>8649</v>
      </c>
      <c r="G175" s="1">
        <v>4</v>
      </c>
      <c r="H175" s="1" t="s">
        <v>229</v>
      </c>
      <c r="I175" s="1" t="str">
        <f>("1310160018")</f>
        <v>1310160018</v>
      </c>
    </row>
    <row r="176" spans="1:10" x14ac:dyDescent="0.45">
      <c r="A176" s="2" t="str">
        <f t="shared" si="2"/>
        <v>東　Ｆ．Ｃ．_16</v>
      </c>
      <c r="B176" s="1" t="s">
        <v>5837</v>
      </c>
      <c r="C176" s="1" t="str">
        <f>("16")</f>
        <v>16</v>
      </c>
      <c r="D176" s="1" t="s">
        <v>207</v>
      </c>
      <c r="E176" s="1" t="s">
        <v>8650</v>
      </c>
      <c r="F176" s="1" t="s">
        <v>8651</v>
      </c>
      <c r="G176" s="1">
        <v>3</v>
      </c>
      <c r="H176" s="1" t="s">
        <v>229</v>
      </c>
      <c r="I176" s="1" t="str">
        <f>("1412050001")</f>
        <v>1412050001</v>
      </c>
    </row>
    <row r="177" spans="1:10" x14ac:dyDescent="0.45">
      <c r="A177" s="2" t="str">
        <f t="shared" si="2"/>
        <v>東　Ｆ．Ｃ．_18</v>
      </c>
      <c r="B177" s="1" t="s">
        <v>5837</v>
      </c>
      <c r="C177" s="1" t="str">
        <f>("18")</f>
        <v>18</v>
      </c>
      <c r="D177" s="1" t="s">
        <v>209</v>
      </c>
      <c r="E177" s="1" t="s">
        <v>8652</v>
      </c>
      <c r="F177" s="1" t="s">
        <v>8653</v>
      </c>
      <c r="G177" s="1">
        <v>6</v>
      </c>
      <c r="H177" s="1" t="s">
        <v>229</v>
      </c>
      <c r="I177" s="1" t="str">
        <f>("1111180218")</f>
        <v>1111180218</v>
      </c>
    </row>
    <row r="178" spans="1:10" x14ac:dyDescent="0.45">
      <c r="A178" s="2" t="str">
        <f t="shared" si="2"/>
        <v>八坂少年サッカークラブ_1</v>
      </c>
      <c r="B178" s="1" t="s">
        <v>4991</v>
      </c>
      <c r="C178" s="1" t="str">
        <f>("1")</f>
        <v>1</v>
      </c>
      <c r="D178" s="1" t="s">
        <v>207</v>
      </c>
      <c r="E178" s="1" t="s">
        <v>5982</v>
      </c>
      <c r="F178" s="1" t="s">
        <v>5983</v>
      </c>
      <c r="G178" s="1">
        <v>6</v>
      </c>
      <c r="H178" s="1" t="s">
        <v>229</v>
      </c>
      <c r="I178" s="1" t="str">
        <f>("1202140047")</f>
        <v>1202140047</v>
      </c>
    </row>
    <row r="179" spans="1:10" x14ac:dyDescent="0.45">
      <c r="A179" s="2" t="str">
        <f t="shared" si="2"/>
        <v>八坂少年サッカークラブ_2</v>
      </c>
      <c r="B179" s="1" t="s">
        <v>4991</v>
      </c>
      <c r="C179" s="1" t="str">
        <f>("2")</f>
        <v>2</v>
      </c>
      <c r="D179" s="1" t="s">
        <v>208</v>
      </c>
      <c r="E179" s="1" t="s">
        <v>5970</v>
      </c>
      <c r="F179" s="1" t="s">
        <v>5971</v>
      </c>
      <c r="G179" s="1">
        <v>6</v>
      </c>
      <c r="H179" s="1" t="s">
        <v>229</v>
      </c>
      <c r="I179" s="1" t="str">
        <f>("1104050073")</f>
        <v>1104050073</v>
      </c>
      <c r="J179" s="1" t="s">
        <v>1858</v>
      </c>
    </row>
    <row r="180" spans="1:10" x14ac:dyDescent="0.45">
      <c r="A180" s="2" t="str">
        <f t="shared" si="2"/>
        <v>八坂少年サッカークラブ_3</v>
      </c>
      <c r="B180" s="1" t="s">
        <v>4991</v>
      </c>
      <c r="C180" s="1" t="str">
        <f>("3")</f>
        <v>3</v>
      </c>
      <c r="D180" s="1" t="s">
        <v>208</v>
      </c>
      <c r="E180" s="1" t="s">
        <v>5976</v>
      </c>
      <c r="F180" s="1" t="s">
        <v>5977</v>
      </c>
      <c r="G180" s="1">
        <v>5</v>
      </c>
      <c r="H180" s="1" t="s">
        <v>229</v>
      </c>
      <c r="I180" s="1" t="str">
        <f>("1205080032")</f>
        <v>1205080032</v>
      </c>
    </row>
    <row r="181" spans="1:10" x14ac:dyDescent="0.45">
      <c r="A181" s="2" t="str">
        <f t="shared" si="2"/>
        <v>八坂少年サッカークラブ_4</v>
      </c>
      <c r="B181" s="1" t="s">
        <v>4991</v>
      </c>
      <c r="C181" s="1" t="str">
        <f>("4")</f>
        <v>4</v>
      </c>
      <c r="D181" s="1" t="s">
        <v>210</v>
      </c>
      <c r="E181" s="1" t="s">
        <v>5978</v>
      </c>
      <c r="F181" s="1" t="s">
        <v>5979</v>
      </c>
      <c r="G181" s="1">
        <v>5</v>
      </c>
      <c r="H181" s="1" t="s">
        <v>229</v>
      </c>
      <c r="I181" s="1" t="str">
        <f>("1301260024")</f>
        <v>1301260024</v>
      </c>
    </row>
    <row r="182" spans="1:10" x14ac:dyDescent="0.45">
      <c r="A182" s="2" t="str">
        <f t="shared" si="2"/>
        <v>八坂少年サッカークラブ_5</v>
      </c>
      <c r="B182" s="1" t="s">
        <v>4991</v>
      </c>
      <c r="C182" s="1" t="str">
        <f>("5")</f>
        <v>5</v>
      </c>
      <c r="D182" s="1" t="s">
        <v>209</v>
      </c>
      <c r="E182" s="1" t="s">
        <v>5968</v>
      </c>
      <c r="F182" s="1" t="s">
        <v>5969</v>
      </c>
      <c r="G182" s="1">
        <v>6</v>
      </c>
      <c r="H182" s="1" t="s">
        <v>229</v>
      </c>
      <c r="I182" s="1" t="str">
        <f>("1105280038")</f>
        <v>1105280038</v>
      </c>
    </row>
    <row r="183" spans="1:10" x14ac:dyDescent="0.45">
      <c r="A183" s="2" t="str">
        <f t="shared" si="2"/>
        <v>八坂少年サッカークラブ_6</v>
      </c>
      <c r="B183" s="1" t="s">
        <v>4991</v>
      </c>
      <c r="C183" s="1" t="str">
        <f>("6")</f>
        <v>6</v>
      </c>
      <c r="D183" s="1" t="s">
        <v>209</v>
      </c>
      <c r="E183" s="1" t="s">
        <v>8654</v>
      </c>
      <c r="F183" s="1" t="s">
        <v>8655</v>
      </c>
      <c r="G183" s="1">
        <v>3</v>
      </c>
      <c r="H183" s="1" t="s">
        <v>229</v>
      </c>
      <c r="I183" s="1" t="str">
        <f>("1407190022")</f>
        <v>1407190022</v>
      </c>
    </row>
    <row r="184" spans="1:10" x14ac:dyDescent="0.45">
      <c r="A184" s="2" t="str">
        <f t="shared" si="2"/>
        <v>八坂少年サッカークラブ_7</v>
      </c>
      <c r="B184" s="1" t="s">
        <v>4991</v>
      </c>
      <c r="C184" s="1" t="str">
        <f>("7")</f>
        <v>7</v>
      </c>
      <c r="D184" s="1" t="s">
        <v>210</v>
      </c>
      <c r="E184" s="1" t="s">
        <v>8656</v>
      </c>
      <c r="F184" s="1" t="s">
        <v>8657</v>
      </c>
      <c r="G184" s="1">
        <v>3</v>
      </c>
      <c r="H184" s="1" t="s">
        <v>229</v>
      </c>
      <c r="I184" s="1" t="str">
        <f>("1410280020")</f>
        <v>1410280020</v>
      </c>
    </row>
    <row r="185" spans="1:10" x14ac:dyDescent="0.45">
      <c r="A185" s="2" t="str">
        <f t="shared" si="2"/>
        <v>八坂少年サッカークラブ_8</v>
      </c>
      <c r="B185" s="1" t="s">
        <v>4991</v>
      </c>
      <c r="C185" s="1" t="str">
        <f>("8")</f>
        <v>8</v>
      </c>
      <c r="D185" s="1" t="s">
        <v>209</v>
      </c>
      <c r="E185" s="1" t="s">
        <v>8658</v>
      </c>
      <c r="F185" s="1" t="s">
        <v>8659</v>
      </c>
      <c r="G185" s="1">
        <v>3</v>
      </c>
      <c r="H185" s="1" t="s">
        <v>229</v>
      </c>
      <c r="I185" s="1" t="str">
        <f>("1406110041")</f>
        <v>1406110041</v>
      </c>
    </row>
    <row r="186" spans="1:10" x14ac:dyDescent="0.45">
      <c r="A186" s="2" t="str">
        <f t="shared" si="2"/>
        <v>八坂少年サッカークラブ_9</v>
      </c>
      <c r="B186" s="1" t="s">
        <v>4991</v>
      </c>
      <c r="C186" s="1" t="str">
        <f>("9")</f>
        <v>9</v>
      </c>
      <c r="D186" s="1" t="s">
        <v>209</v>
      </c>
      <c r="E186" s="1" t="s">
        <v>5972</v>
      </c>
      <c r="F186" s="1" t="s">
        <v>5973</v>
      </c>
      <c r="G186" s="1">
        <v>4</v>
      </c>
      <c r="H186" s="1" t="s">
        <v>229</v>
      </c>
      <c r="I186" s="1" t="str">
        <f>("1312130060")</f>
        <v>1312130060</v>
      </c>
    </row>
    <row r="187" spans="1:10" x14ac:dyDescent="0.45">
      <c r="A187" s="2" t="str">
        <f t="shared" si="2"/>
        <v>八坂少年サッカークラブ_10</v>
      </c>
      <c r="B187" s="1" t="s">
        <v>4991</v>
      </c>
      <c r="C187" s="1" t="str">
        <f>("10")</f>
        <v>10</v>
      </c>
      <c r="D187" s="1" t="s">
        <v>209</v>
      </c>
      <c r="E187" s="1" t="s">
        <v>5974</v>
      </c>
      <c r="F187" s="1" t="s">
        <v>5975</v>
      </c>
      <c r="G187" s="1">
        <v>4</v>
      </c>
      <c r="H187" s="1" t="s">
        <v>229</v>
      </c>
      <c r="I187" s="1" t="str">
        <f>("1309250073")</f>
        <v>1309250073</v>
      </c>
    </row>
    <row r="188" spans="1:10" x14ac:dyDescent="0.45">
      <c r="A188" s="2" t="str">
        <f t="shared" si="2"/>
        <v>八坂少年サッカークラブ_11</v>
      </c>
      <c r="B188" s="1" t="s">
        <v>4991</v>
      </c>
      <c r="C188" s="1" t="str">
        <f>("11")</f>
        <v>11</v>
      </c>
      <c r="D188" s="1" t="s">
        <v>210</v>
      </c>
      <c r="E188" s="1" t="s">
        <v>8660</v>
      </c>
      <c r="F188" s="1" t="s">
        <v>8661</v>
      </c>
      <c r="G188" s="1">
        <v>3</v>
      </c>
      <c r="H188" s="1" t="s">
        <v>229</v>
      </c>
      <c r="I188" s="1" t="str">
        <f>("1503260037")</f>
        <v>1503260037</v>
      </c>
    </row>
    <row r="189" spans="1:10" x14ac:dyDescent="0.45">
      <c r="A189" s="2" t="str">
        <f t="shared" si="2"/>
        <v>八坂少年サッカークラブ_12</v>
      </c>
      <c r="B189" s="1" t="s">
        <v>4991</v>
      </c>
      <c r="C189" s="1" t="str">
        <f>("12")</f>
        <v>12</v>
      </c>
      <c r="D189" s="1" t="s">
        <v>210</v>
      </c>
      <c r="E189" s="1" t="s">
        <v>8662</v>
      </c>
      <c r="F189" s="1" t="s">
        <v>8663</v>
      </c>
      <c r="G189" s="1">
        <v>2</v>
      </c>
      <c r="H189" s="1" t="s">
        <v>229</v>
      </c>
      <c r="I189" s="1" t="str">
        <f>("1507160017")</f>
        <v>1507160017</v>
      </c>
    </row>
    <row r="190" spans="1:10" x14ac:dyDescent="0.45">
      <c r="A190" s="2" t="str">
        <f t="shared" si="2"/>
        <v>八坂少年サッカークラブ_13</v>
      </c>
      <c r="B190" s="1" t="s">
        <v>4991</v>
      </c>
      <c r="C190" s="1" t="str">
        <f>("13")</f>
        <v>13</v>
      </c>
      <c r="D190" s="1" t="s">
        <v>208</v>
      </c>
      <c r="E190" s="1" t="s">
        <v>5980</v>
      </c>
      <c r="F190" s="1" t="s">
        <v>5981</v>
      </c>
      <c r="G190" s="1">
        <v>5</v>
      </c>
      <c r="H190" s="1" t="s">
        <v>229</v>
      </c>
      <c r="I190" s="1" t="str">
        <f>("1209090022")</f>
        <v>1209090022</v>
      </c>
    </row>
    <row r="191" spans="1:10" x14ac:dyDescent="0.45">
      <c r="A191" s="2" t="str">
        <f t="shared" si="2"/>
        <v>国東ジュニアサッカークラブ_1</v>
      </c>
      <c r="B191" s="1" t="s">
        <v>5984</v>
      </c>
      <c r="C191" s="1" t="str">
        <f>("1")</f>
        <v>1</v>
      </c>
      <c r="D191" s="1" t="s">
        <v>207</v>
      </c>
      <c r="E191" s="1" t="s">
        <v>5985</v>
      </c>
      <c r="F191" s="1" t="s">
        <v>5986</v>
      </c>
      <c r="G191" s="1">
        <v>6</v>
      </c>
      <c r="H191" s="1" t="s">
        <v>229</v>
      </c>
      <c r="I191" s="1" t="str">
        <f>("1202150113")</f>
        <v>1202150113</v>
      </c>
    </row>
    <row r="192" spans="1:10" x14ac:dyDescent="0.45">
      <c r="A192" s="2" t="str">
        <f t="shared" si="2"/>
        <v>国東ジュニアサッカークラブ_2</v>
      </c>
      <c r="B192" s="1" t="s">
        <v>5984</v>
      </c>
      <c r="C192" s="1" t="str">
        <f>("2")</f>
        <v>2</v>
      </c>
      <c r="D192" s="1" t="s">
        <v>208</v>
      </c>
      <c r="E192" s="1" t="s">
        <v>8664</v>
      </c>
      <c r="F192" s="1" t="s">
        <v>8665</v>
      </c>
      <c r="G192" s="1">
        <v>4</v>
      </c>
      <c r="H192" s="1" t="s">
        <v>231</v>
      </c>
      <c r="I192" s="1" t="str">
        <f>("1307220159")</f>
        <v>1307220159</v>
      </c>
    </row>
    <row r="193" spans="1:10" x14ac:dyDescent="0.45">
      <c r="A193" s="2" t="str">
        <f t="shared" ref="A193:A256" si="3">CONCATENATE(B193,"_",C193)</f>
        <v>国東ジュニアサッカークラブ_3</v>
      </c>
      <c r="B193" s="1" t="s">
        <v>5984</v>
      </c>
      <c r="C193" s="1" t="str">
        <f>("3")</f>
        <v>3</v>
      </c>
      <c r="D193" s="1" t="s">
        <v>208</v>
      </c>
      <c r="E193" s="1" t="s">
        <v>8666</v>
      </c>
      <c r="F193" s="1" t="s">
        <v>8667</v>
      </c>
      <c r="G193" s="1">
        <v>4</v>
      </c>
      <c r="H193" s="1" t="s">
        <v>231</v>
      </c>
      <c r="I193" s="1" t="str">
        <f>("1312190127")</f>
        <v>1312190127</v>
      </c>
    </row>
    <row r="194" spans="1:10" x14ac:dyDescent="0.45">
      <c r="A194" s="2" t="str">
        <f t="shared" si="3"/>
        <v>国東ジュニアサッカークラブ_4</v>
      </c>
      <c r="B194" s="1" t="s">
        <v>5984</v>
      </c>
      <c r="C194" s="1" t="str">
        <f>("4")</f>
        <v>4</v>
      </c>
      <c r="D194" s="1" t="s">
        <v>208</v>
      </c>
      <c r="E194" s="1" t="s">
        <v>8668</v>
      </c>
      <c r="F194" s="1" t="s">
        <v>8669</v>
      </c>
      <c r="G194" s="1">
        <v>4</v>
      </c>
      <c r="H194" s="1" t="s">
        <v>229</v>
      </c>
      <c r="I194" s="1" t="str">
        <f>("1402100113")</f>
        <v>1402100113</v>
      </c>
    </row>
    <row r="195" spans="1:10" x14ac:dyDescent="0.45">
      <c r="A195" s="2" t="str">
        <f t="shared" si="3"/>
        <v>国東ジュニアサッカークラブ_5</v>
      </c>
      <c r="B195" s="1" t="s">
        <v>5984</v>
      </c>
      <c r="C195" s="1" t="str">
        <f>("5")</f>
        <v>5</v>
      </c>
      <c r="D195" s="1" t="s">
        <v>208</v>
      </c>
      <c r="E195" s="1" t="s">
        <v>5125</v>
      </c>
      <c r="F195" s="1" t="s">
        <v>5126</v>
      </c>
      <c r="G195" s="1">
        <v>5</v>
      </c>
      <c r="H195" s="1" t="s">
        <v>231</v>
      </c>
      <c r="I195" s="1" t="str">
        <f>("1207050022")</f>
        <v>1207050022</v>
      </c>
    </row>
    <row r="196" spans="1:10" x14ac:dyDescent="0.45">
      <c r="A196" s="2" t="str">
        <f t="shared" si="3"/>
        <v>国東ジュニアサッカークラブ_6</v>
      </c>
      <c r="B196" s="1" t="s">
        <v>5984</v>
      </c>
      <c r="C196" s="1" t="str">
        <f>("6")</f>
        <v>6</v>
      </c>
      <c r="D196" s="1" t="s">
        <v>209</v>
      </c>
      <c r="E196" s="1" t="s">
        <v>5991</v>
      </c>
      <c r="F196" s="1" t="s">
        <v>5992</v>
      </c>
      <c r="G196" s="1">
        <v>6</v>
      </c>
      <c r="H196" s="1" t="s">
        <v>229</v>
      </c>
      <c r="I196" s="1" t="str">
        <f>("1107210228")</f>
        <v>1107210228</v>
      </c>
    </row>
    <row r="197" spans="1:10" x14ac:dyDescent="0.45">
      <c r="A197" s="2" t="str">
        <f t="shared" si="3"/>
        <v>国東ジュニアサッカークラブ_7</v>
      </c>
      <c r="B197" s="1" t="s">
        <v>5984</v>
      </c>
      <c r="C197" s="1" t="str">
        <f>("7")</f>
        <v>7</v>
      </c>
      <c r="D197" s="1" t="s">
        <v>209</v>
      </c>
      <c r="E197" s="1" t="s">
        <v>5989</v>
      </c>
      <c r="F197" s="1" t="s">
        <v>5990</v>
      </c>
      <c r="G197" s="1">
        <v>6</v>
      </c>
      <c r="H197" s="1" t="s">
        <v>229</v>
      </c>
      <c r="I197" s="1" t="str">
        <f>("1201050107")</f>
        <v>1201050107</v>
      </c>
    </row>
    <row r="198" spans="1:10" x14ac:dyDescent="0.45">
      <c r="A198" s="2" t="str">
        <f t="shared" si="3"/>
        <v>国東ジュニアサッカークラブ_8</v>
      </c>
      <c r="B198" s="1" t="s">
        <v>5984</v>
      </c>
      <c r="C198" s="1" t="str">
        <f>("8")</f>
        <v>8</v>
      </c>
      <c r="D198" s="1" t="s">
        <v>208</v>
      </c>
      <c r="E198" s="1" t="s">
        <v>5123</v>
      </c>
      <c r="F198" s="1" t="s">
        <v>5124</v>
      </c>
      <c r="G198" s="1">
        <v>6</v>
      </c>
      <c r="H198" s="1" t="s">
        <v>229</v>
      </c>
      <c r="I198" s="1" t="str">
        <f>("1106020095")</f>
        <v>1106020095</v>
      </c>
    </row>
    <row r="199" spans="1:10" x14ac:dyDescent="0.45">
      <c r="A199" s="2" t="str">
        <f t="shared" si="3"/>
        <v>国東ジュニアサッカークラブ_9</v>
      </c>
      <c r="B199" s="1" t="s">
        <v>5984</v>
      </c>
      <c r="C199" s="1" t="str">
        <f>("9")</f>
        <v>9</v>
      </c>
      <c r="D199" s="1" t="s">
        <v>210</v>
      </c>
      <c r="E199" s="1" t="s">
        <v>5132</v>
      </c>
      <c r="F199" s="1" t="s">
        <v>5133</v>
      </c>
      <c r="G199" s="1">
        <v>6</v>
      </c>
      <c r="H199" s="1" t="s">
        <v>229</v>
      </c>
      <c r="I199" s="1" t="str">
        <f>("1203070069")</f>
        <v>1203070069</v>
      </c>
    </row>
    <row r="200" spans="1:10" x14ac:dyDescent="0.45">
      <c r="A200" s="2" t="str">
        <f t="shared" si="3"/>
        <v>国東ジュニアサッカークラブ_10</v>
      </c>
      <c r="B200" s="1" t="s">
        <v>5984</v>
      </c>
      <c r="C200" s="1" t="str">
        <f>("10")</f>
        <v>10</v>
      </c>
      <c r="D200" s="1" t="s">
        <v>209</v>
      </c>
      <c r="E200" s="1" t="s">
        <v>5129</v>
      </c>
      <c r="F200" s="1" t="s">
        <v>3849</v>
      </c>
      <c r="G200" s="1">
        <v>6</v>
      </c>
      <c r="H200" s="1" t="s">
        <v>229</v>
      </c>
      <c r="I200" s="1" t="str">
        <f>("1109180085")</f>
        <v>1109180085</v>
      </c>
      <c r="J200" s="1" t="s">
        <v>1858</v>
      </c>
    </row>
    <row r="201" spans="1:10" x14ac:dyDescent="0.45">
      <c r="A201" s="2" t="str">
        <f t="shared" si="3"/>
        <v>国東ジュニアサッカークラブ_11</v>
      </c>
      <c r="B201" s="1" t="s">
        <v>5984</v>
      </c>
      <c r="C201" s="1" t="str">
        <f>("11")</f>
        <v>11</v>
      </c>
      <c r="D201" s="1" t="s">
        <v>210</v>
      </c>
      <c r="E201" s="1" t="s">
        <v>5130</v>
      </c>
      <c r="F201" s="1" t="s">
        <v>5131</v>
      </c>
      <c r="G201" s="1">
        <v>6</v>
      </c>
      <c r="H201" s="1" t="s">
        <v>229</v>
      </c>
      <c r="I201" s="1" t="str">
        <f>("1108200074")</f>
        <v>1108200074</v>
      </c>
    </row>
    <row r="202" spans="1:10" x14ac:dyDescent="0.45">
      <c r="A202" s="2" t="str">
        <f t="shared" si="3"/>
        <v>国東ジュニアサッカークラブ_12</v>
      </c>
      <c r="B202" s="1" t="s">
        <v>5984</v>
      </c>
      <c r="C202" s="1" t="str">
        <f>("12")</f>
        <v>12</v>
      </c>
      <c r="D202" s="1" t="s">
        <v>209</v>
      </c>
      <c r="E202" s="1" t="s">
        <v>8670</v>
      </c>
      <c r="F202" s="1" t="s">
        <v>8671</v>
      </c>
      <c r="G202" s="1">
        <v>3</v>
      </c>
      <c r="H202" s="1" t="s">
        <v>231</v>
      </c>
      <c r="I202" s="1" t="str">
        <f>("1404100127")</f>
        <v>1404100127</v>
      </c>
    </row>
    <row r="203" spans="1:10" x14ac:dyDescent="0.45">
      <c r="A203" s="2" t="str">
        <f t="shared" si="3"/>
        <v>国東ジュニアサッカークラブ_13</v>
      </c>
      <c r="B203" s="1" t="s">
        <v>5984</v>
      </c>
      <c r="C203" s="1" t="str">
        <f>("13")</f>
        <v>13</v>
      </c>
      <c r="D203" s="1" t="s">
        <v>209</v>
      </c>
      <c r="E203" s="1" t="s">
        <v>8672</v>
      </c>
      <c r="F203" s="1" t="s">
        <v>8673</v>
      </c>
      <c r="G203" s="1">
        <v>3</v>
      </c>
      <c r="H203" s="1" t="s">
        <v>229</v>
      </c>
      <c r="I203" s="1" t="str">
        <f>("1502170062")</f>
        <v>1502170062</v>
      </c>
    </row>
    <row r="204" spans="1:10" x14ac:dyDescent="0.45">
      <c r="A204" s="2" t="str">
        <f t="shared" si="3"/>
        <v>国東ジュニアサッカークラブ_14</v>
      </c>
      <c r="B204" s="1" t="s">
        <v>5984</v>
      </c>
      <c r="C204" s="1" t="str">
        <f>("14")</f>
        <v>14</v>
      </c>
      <c r="D204" s="1" t="s">
        <v>210</v>
      </c>
      <c r="E204" s="1" t="s">
        <v>8674</v>
      </c>
      <c r="F204" s="1" t="s">
        <v>8675</v>
      </c>
      <c r="G204" s="1">
        <v>2</v>
      </c>
      <c r="H204" s="1" t="s">
        <v>229</v>
      </c>
      <c r="I204" s="1" t="str">
        <f>("1504160048")</f>
        <v>1504160048</v>
      </c>
    </row>
    <row r="205" spans="1:10" x14ac:dyDescent="0.45">
      <c r="A205" s="2" t="str">
        <f t="shared" si="3"/>
        <v>国東ジュニアサッカークラブ_15</v>
      </c>
      <c r="B205" s="1" t="s">
        <v>5984</v>
      </c>
      <c r="C205" s="1" t="str">
        <f>("15")</f>
        <v>15</v>
      </c>
      <c r="D205" s="1" t="s">
        <v>209</v>
      </c>
      <c r="E205" s="1" t="s">
        <v>8676</v>
      </c>
      <c r="F205" s="1" t="s">
        <v>8677</v>
      </c>
      <c r="G205" s="1">
        <v>5</v>
      </c>
      <c r="H205" s="1" t="s">
        <v>229</v>
      </c>
      <c r="I205" s="1" t="str">
        <f>("1204180192")</f>
        <v>1204180192</v>
      </c>
    </row>
    <row r="206" spans="1:10" x14ac:dyDescent="0.45">
      <c r="A206" s="2" t="str">
        <f t="shared" si="3"/>
        <v>国東ジュニアサッカークラブ_16</v>
      </c>
      <c r="B206" s="1" t="s">
        <v>5984</v>
      </c>
      <c r="C206" s="1" t="str">
        <f>("16")</f>
        <v>16</v>
      </c>
      <c r="D206" s="1" t="s">
        <v>209</v>
      </c>
      <c r="E206" s="1" t="s">
        <v>5987</v>
      </c>
      <c r="F206" s="1" t="s">
        <v>5988</v>
      </c>
      <c r="G206" s="1">
        <v>6</v>
      </c>
      <c r="H206" s="1" t="s">
        <v>229</v>
      </c>
      <c r="I206" s="1" t="str">
        <f>("1108060105")</f>
        <v>1108060105</v>
      </c>
    </row>
    <row r="207" spans="1:10" x14ac:dyDescent="0.45">
      <c r="A207" s="2" t="str">
        <f t="shared" si="3"/>
        <v>はやぶさフットボールクラブ_1</v>
      </c>
      <c r="B207" s="1" t="s">
        <v>4992</v>
      </c>
      <c r="C207" s="1" t="str">
        <f>("1")</f>
        <v>1</v>
      </c>
      <c r="D207" s="1" t="s">
        <v>207</v>
      </c>
      <c r="E207" s="1" t="s">
        <v>5995</v>
      </c>
      <c r="F207" s="1" t="s">
        <v>5996</v>
      </c>
      <c r="G207" s="1">
        <v>6</v>
      </c>
      <c r="H207" s="1" t="s">
        <v>229</v>
      </c>
      <c r="I207" s="1" t="str">
        <f>("1110100064")</f>
        <v>1110100064</v>
      </c>
      <c r="J207" s="1" t="s">
        <v>1858</v>
      </c>
    </row>
    <row r="208" spans="1:10" x14ac:dyDescent="0.45">
      <c r="A208" s="2" t="str">
        <f t="shared" si="3"/>
        <v>はやぶさフットボールクラブ_2</v>
      </c>
      <c r="B208" s="1" t="s">
        <v>4992</v>
      </c>
      <c r="C208" s="1" t="str">
        <f>("2")</f>
        <v>2</v>
      </c>
      <c r="D208" s="1" t="s">
        <v>210</v>
      </c>
      <c r="E208" s="1" t="s">
        <v>8678</v>
      </c>
      <c r="F208" s="1" t="s">
        <v>8679</v>
      </c>
      <c r="G208" s="1">
        <v>5</v>
      </c>
      <c r="H208" s="1" t="s">
        <v>229</v>
      </c>
      <c r="I208" s="1" t="str">
        <f>("1303180143")</f>
        <v>1303180143</v>
      </c>
    </row>
    <row r="209" spans="1:9" x14ac:dyDescent="0.45">
      <c r="A209" s="2" t="str">
        <f t="shared" si="3"/>
        <v>はやぶさフットボールクラブ_3</v>
      </c>
      <c r="B209" s="1" t="s">
        <v>4992</v>
      </c>
      <c r="C209" s="1" t="str">
        <f>("3")</f>
        <v>3</v>
      </c>
      <c r="D209" s="1" t="s">
        <v>209</v>
      </c>
      <c r="E209" s="1" t="s">
        <v>8680</v>
      </c>
      <c r="F209" s="1" t="s">
        <v>8681</v>
      </c>
      <c r="G209" s="1">
        <v>5</v>
      </c>
      <c r="H209" s="1" t="s">
        <v>229</v>
      </c>
      <c r="I209" s="1" t="str">
        <f>("1207180099")</f>
        <v>1207180099</v>
      </c>
    </row>
    <row r="210" spans="1:9" x14ac:dyDescent="0.45">
      <c r="A210" s="2" t="str">
        <f t="shared" si="3"/>
        <v>はやぶさフットボールクラブ_4</v>
      </c>
      <c r="B210" s="1" t="s">
        <v>4992</v>
      </c>
      <c r="C210" s="1" t="str">
        <f>("4")</f>
        <v>4</v>
      </c>
      <c r="D210" s="1" t="s">
        <v>210</v>
      </c>
      <c r="E210" s="1" t="s">
        <v>8682</v>
      </c>
      <c r="F210" s="1" t="s">
        <v>8683</v>
      </c>
      <c r="G210" s="1">
        <v>5</v>
      </c>
      <c r="H210" s="1" t="s">
        <v>229</v>
      </c>
      <c r="I210" s="1" t="str">
        <f>("1209100196")</f>
        <v>1209100196</v>
      </c>
    </row>
    <row r="211" spans="1:9" x14ac:dyDescent="0.45">
      <c r="A211" s="2" t="str">
        <f t="shared" si="3"/>
        <v>はやぶさフットボールクラブ_5</v>
      </c>
      <c r="B211" s="1" t="s">
        <v>4992</v>
      </c>
      <c r="C211" s="1" t="str">
        <f>("5")</f>
        <v>5</v>
      </c>
      <c r="D211" s="1" t="s">
        <v>208</v>
      </c>
      <c r="E211" s="1" t="s">
        <v>6007</v>
      </c>
      <c r="F211" s="1" t="s">
        <v>6008</v>
      </c>
      <c r="G211" s="1">
        <v>5</v>
      </c>
      <c r="H211" s="1" t="s">
        <v>229</v>
      </c>
      <c r="I211" s="1" t="str">
        <f>("1212150101")</f>
        <v>1212150101</v>
      </c>
    </row>
    <row r="212" spans="1:9" x14ac:dyDescent="0.45">
      <c r="A212" s="2" t="str">
        <f t="shared" si="3"/>
        <v>はやぶさフットボールクラブ_7</v>
      </c>
      <c r="B212" s="1" t="s">
        <v>4992</v>
      </c>
      <c r="C212" s="1" t="str">
        <f>("7")</f>
        <v>7</v>
      </c>
      <c r="D212" s="1" t="s">
        <v>208</v>
      </c>
      <c r="E212" s="1" t="s">
        <v>6003</v>
      </c>
      <c r="F212" s="1" t="s">
        <v>6004</v>
      </c>
      <c r="G212" s="1">
        <v>5</v>
      </c>
      <c r="H212" s="1" t="s">
        <v>229</v>
      </c>
      <c r="I212" s="1" t="str">
        <f>("1211110055")</f>
        <v>1211110055</v>
      </c>
    </row>
    <row r="213" spans="1:9" x14ac:dyDescent="0.45">
      <c r="A213" s="2" t="str">
        <f t="shared" si="3"/>
        <v>はやぶさフットボールクラブ_8</v>
      </c>
      <c r="B213" s="1" t="s">
        <v>4992</v>
      </c>
      <c r="C213" s="1" t="str">
        <f>("8")</f>
        <v>8</v>
      </c>
      <c r="D213" s="1" t="s">
        <v>209</v>
      </c>
      <c r="E213" s="1" t="s">
        <v>5999</v>
      </c>
      <c r="F213" s="1" t="s">
        <v>6000</v>
      </c>
      <c r="G213" s="1">
        <v>5</v>
      </c>
      <c r="H213" s="1" t="s">
        <v>229</v>
      </c>
      <c r="I213" s="1" t="str">
        <f>("1204090151")</f>
        <v>1204090151</v>
      </c>
    </row>
    <row r="214" spans="1:9" x14ac:dyDescent="0.45">
      <c r="A214" s="2" t="str">
        <f t="shared" si="3"/>
        <v>はやぶさフットボールクラブ_9</v>
      </c>
      <c r="B214" s="1" t="s">
        <v>4992</v>
      </c>
      <c r="C214" s="1" t="str">
        <f>("9")</f>
        <v>9</v>
      </c>
      <c r="D214" s="1" t="s">
        <v>209</v>
      </c>
      <c r="E214" s="1" t="s">
        <v>6005</v>
      </c>
      <c r="F214" s="1" t="s">
        <v>6006</v>
      </c>
      <c r="G214" s="1">
        <v>5</v>
      </c>
      <c r="H214" s="1" t="s">
        <v>229</v>
      </c>
      <c r="I214" s="1" t="str">
        <f>("1303060056")</f>
        <v>1303060056</v>
      </c>
    </row>
    <row r="215" spans="1:9" x14ac:dyDescent="0.45">
      <c r="A215" s="2" t="str">
        <f t="shared" si="3"/>
        <v>はやぶさフットボールクラブ_10</v>
      </c>
      <c r="B215" s="1" t="s">
        <v>4992</v>
      </c>
      <c r="C215" s="1" t="str">
        <f>("10")</f>
        <v>10</v>
      </c>
      <c r="D215" s="1" t="s">
        <v>209</v>
      </c>
      <c r="E215" s="1" t="s">
        <v>5993</v>
      </c>
      <c r="F215" s="1" t="s">
        <v>5994</v>
      </c>
      <c r="G215" s="1">
        <v>6</v>
      </c>
      <c r="H215" s="1" t="s">
        <v>229</v>
      </c>
      <c r="I215" s="1" t="str">
        <f>("1110100063")</f>
        <v>1110100063</v>
      </c>
    </row>
    <row r="216" spans="1:9" x14ac:dyDescent="0.45">
      <c r="A216" s="2" t="str">
        <f t="shared" si="3"/>
        <v>はやぶさフットボールクラブ_11</v>
      </c>
      <c r="B216" s="1" t="s">
        <v>4992</v>
      </c>
      <c r="C216" s="1" t="str">
        <f>("11")</f>
        <v>11</v>
      </c>
      <c r="D216" s="1" t="s">
        <v>208</v>
      </c>
      <c r="E216" s="1" t="s">
        <v>6001</v>
      </c>
      <c r="F216" s="1" t="s">
        <v>6002</v>
      </c>
      <c r="G216" s="1">
        <v>5</v>
      </c>
      <c r="H216" s="1" t="s">
        <v>229</v>
      </c>
      <c r="I216" s="1" t="str">
        <f>("1211210091")</f>
        <v>1211210091</v>
      </c>
    </row>
    <row r="217" spans="1:9" x14ac:dyDescent="0.45">
      <c r="A217" s="2" t="str">
        <f t="shared" si="3"/>
        <v>はやぶさフットボールクラブ_16</v>
      </c>
      <c r="B217" s="1" t="s">
        <v>4992</v>
      </c>
      <c r="C217" s="1" t="str">
        <f>("16")</f>
        <v>16</v>
      </c>
      <c r="D217" s="1" t="s">
        <v>209</v>
      </c>
      <c r="E217" s="1" t="s">
        <v>6009</v>
      </c>
      <c r="F217" s="1" t="s">
        <v>6010</v>
      </c>
      <c r="G217" s="1">
        <v>4</v>
      </c>
      <c r="H217" s="1" t="s">
        <v>229</v>
      </c>
      <c r="I217" s="1" t="str">
        <f>("1305130096")</f>
        <v>1305130096</v>
      </c>
    </row>
    <row r="218" spans="1:9" x14ac:dyDescent="0.45">
      <c r="A218" s="2" t="str">
        <f t="shared" si="3"/>
        <v>はやぶさフットボールクラブ_17</v>
      </c>
      <c r="B218" s="1" t="s">
        <v>4992</v>
      </c>
      <c r="C218" s="1" t="str">
        <f>("17")</f>
        <v>17</v>
      </c>
      <c r="D218" s="1" t="s">
        <v>210</v>
      </c>
      <c r="E218" s="1" t="s">
        <v>8684</v>
      </c>
      <c r="F218" s="1" t="s">
        <v>8685</v>
      </c>
      <c r="G218" s="1">
        <v>4</v>
      </c>
      <c r="H218" s="1" t="s">
        <v>229</v>
      </c>
      <c r="I218" s="1" t="str">
        <f>("1308060129")</f>
        <v>1308060129</v>
      </c>
    </row>
    <row r="219" spans="1:9" x14ac:dyDescent="0.45">
      <c r="A219" s="2" t="str">
        <f t="shared" si="3"/>
        <v>はやぶさフットボールクラブ_18</v>
      </c>
      <c r="B219" s="1" t="s">
        <v>4992</v>
      </c>
      <c r="C219" s="1" t="str">
        <f>("18")</f>
        <v>18</v>
      </c>
      <c r="D219" s="1" t="s">
        <v>209</v>
      </c>
      <c r="E219" s="1" t="s">
        <v>8686</v>
      </c>
      <c r="F219" s="1" t="s">
        <v>8687</v>
      </c>
      <c r="G219" s="1">
        <v>4</v>
      </c>
      <c r="H219" s="1" t="s">
        <v>229</v>
      </c>
      <c r="I219" s="1" t="str">
        <f>("1401250064")</f>
        <v>1401250064</v>
      </c>
    </row>
    <row r="220" spans="1:9" x14ac:dyDescent="0.45">
      <c r="A220" s="2" t="str">
        <f t="shared" si="3"/>
        <v>はやぶさフットボールクラブ_19</v>
      </c>
      <c r="B220" s="1" t="s">
        <v>4992</v>
      </c>
      <c r="C220" s="1" t="str">
        <f>("19")</f>
        <v>19</v>
      </c>
      <c r="D220" s="1" t="s">
        <v>209</v>
      </c>
      <c r="E220" s="1" t="s">
        <v>8688</v>
      </c>
      <c r="F220" s="1" t="s">
        <v>8689</v>
      </c>
      <c r="G220" s="1">
        <v>4</v>
      </c>
      <c r="H220" s="1" t="s">
        <v>229</v>
      </c>
      <c r="I220" s="1" t="str">
        <f>("1308250133")</f>
        <v>1308250133</v>
      </c>
    </row>
    <row r="221" spans="1:9" x14ac:dyDescent="0.45">
      <c r="A221" s="2" t="str">
        <f t="shared" si="3"/>
        <v>はやぶさフットボールクラブ_21</v>
      </c>
      <c r="B221" s="1" t="s">
        <v>4992</v>
      </c>
      <c r="C221" s="1" t="str">
        <f>("21")</f>
        <v>21</v>
      </c>
      <c r="D221" s="1" t="s">
        <v>209</v>
      </c>
      <c r="E221" s="1" t="s">
        <v>8690</v>
      </c>
      <c r="F221" s="1" t="s">
        <v>8691</v>
      </c>
      <c r="G221" s="1">
        <v>4</v>
      </c>
      <c r="H221" s="1" t="s">
        <v>229</v>
      </c>
      <c r="I221" s="1" t="str">
        <f>("1306120149")</f>
        <v>1306120149</v>
      </c>
    </row>
    <row r="222" spans="1:9" x14ac:dyDescent="0.45">
      <c r="A222" s="2" t="str">
        <f t="shared" si="3"/>
        <v>鶴居ＳＳＳ_1</v>
      </c>
      <c r="B222" s="1" t="s">
        <v>4993</v>
      </c>
      <c r="C222" s="1" t="str">
        <f>("1")</f>
        <v>1</v>
      </c>
      <c r="D222" s="1" t="s">
        <v>207</v>
      </c>
      <c r="E222" s="1" t="s">
        <v>6029</v>
      </c>
      <c r="F222" s="1" t="s">
        <v>6030</v>
      </c>
      <c r="G222" s="1">
        <v>6</v>
      </c>
      <c r="H222" s="1" t="s">
        <v>229</v>
      </c>
      <c r="I222" s="1" t="str">
        <f>("1106260091")</f>
        <v>1106260091</v>
      </c>
    </row>
    <row r="223" spans="1:9" x14ac:dyDescent="0.45">
      <c r="A223" s="2" t="str">
        <f t="shared" si="3"/>
        <v>鶴居ＳＳＳ_2</v>
      </c>
      <c r="B223" s="1" t="s">
        <v>4993</v>
      </c>
      <c r="C223" s="1" t="str">
        <f>("2")</f>
        <v>2</v>
      </c>
      <c r="D223" s="1" t="s">
        <v>208</v>
      </c>
      <c r="E223" s="1" t="s">
        <v>6025</v>
      </c>
      <c r="F223" s="1" t="s">
        <v>6026</v>
      </c>
      <c r="G223" s="1">
        <v>6</v>
      </c>
      <c r="H223" s="1" t="s">
        <v>229</v>
      </c>
      <c r="I223" s="1" t="str">
        <f>("1108310149")</f>
        <v>1108310149</v>
      </c>
    </row>
    <row r="224" spans="1:9" x14ac:dyDescent="0.45">
      <c r="A224" s="2" t="str">
        <f t="shared" si="3"/>
        <v>鶴居ＳＳＳ_3</v>
      </c>
      <c r="B224" s="1" t="s">
        <v>4993</v>
      </c>
      <c r="C224" s="1" t="str">
        <f>("3")</f>
        <v>3</v>
      </c>
      <c r="D224" s="1" t="s">
        <v>208</v>
      </c>
      <c r="E224" s="1" t="s">
        <v>6011</v>
      </c>
      <c r="F224" s="1" t="s">
        <v>6012</v>
      </c>
      <c r="G224" s="1">
        <v>6</v>
      </c>
      <c r="H224" s="1" t="s">
        <v>229</v>
      </c>
      <c r="I224" s="1" t="str">
        <f>("1104160141")</f>
        <v>1104160141</v>
      </c>
    </row>
    <row r="225" spans="1:10" x14ac:dyDescent="0.45">
      <c r="A225" s="2" t="str">
        <f t="shared" si="3"/>
        <v>鶴居ＳＳＳ_4</v>
      </c>
      <c r="B225" s="1" t="s">
        <v>4993</v>
      </c>
      <c r="C225" s="1" t="str">
        <f>("4")</f>
        <v>4</v>
      </c>
      <c r="D225" s="1" t="s">
        <v>208</v>
      </c>
      <c r="E225" s="1" t="s">
        <v>6013</v>
      </c>
      <c r="F225" s="1" t="s">
        <v>6014</v>
      </c>
      <c r="G225" s="1">
        <v>6</v>
      </c>
      <c r="H225" s="1" t="s">
        <v>229</v>
      </c>
      <c r="I225" s="1" t="str">
        <f>("1107290133")</f>
        <v>1107290133</v>
      </c>
    </row>
    <row r="226" spans="1:10" x14ac:dyDescent="0.45">
      <c r="A226" s="2" t="str">
        <f t="shared" si="3"/>
        <v>鶴居ＳＳＳ_5</v>
      </c>
      <c r="B226" s="1" t="s">
        <v>4993</v>
      </c>
      <c r="C226" s="1" t="str">
        <f>("5")</f>
        <v>5</v>
      </c>
      <c r="D226" s="1" t="s">
        <v>210</v>
      </c>
      <c r="E226" s="1" t="s">
        <v>6015</v>
      </c>
      <c r="F226" s="1" t="s">
        <v>6016</v>
      </c>
      <c r="G226" s="1">
        <v>6</v>
      </c>
      <c r="H226" s="1" t="s">
        <v>229</v>
      </c>
      <c r="I226" s="1" t="str">
        <f>("1108090052")</f>
        <v>1108090052</v>
      </c>
    </row>
    <row r="227" spans="1:10" x14ac:dyDescent="0.45">
      <c r="A227" s="2" t="str">
        <f t="shared" si="3"/>
        <v>鶴居ＳＳＳ_6</v>
      </c>
      <c r="B227" s="1" t="s">
        <v>4993</v>
      </c>
      <c r="C227" s="1" t="str">
        <f>("6")</f>
        <v>6</v>
      </c>
      <c r="D227" s="1" t="s">
        <v>208</v>
      </c>
      <c r="E227" s="1" t="s">
        <v>6017</v>
      </c>
      <c r="F227" s="1" t="s">
        <v>6018</v>
      </c>
      <c r="G227" s="1">
        <v>6</v>
      </c>
      <c r="H227" s="1" t="s">
        <v>229</v>
      </c>
      <c r="I227" s="1" t="str">
        <f>("1105040094")</f>
        <v>1105040094</v>
      </c>
    </row>
    <row r="228" spans="1:10" x14ac:dyDescent="0.45">
      <c r="A228" s="2" t="str">
        <f t="shared" si="3"/>
        <v>鶴居ＳＳＳ_7</v>
      </c>
      <c r="B228" s="1" t="s">
        <v>4993</v>
      </c>
      <c r="C228" s="1" t="str">
        <f>("7")</f>
        <v>7</v>
      </c>
      <c r="D228" s="1" t="s">
        <v>209</v>
      </c>
      <c r="E228" s="1" t="s">
        <v>6019</v>
      </c>
      <c r="F228" s="1" t="s">
        <v>6020</v>
      </c>
      <c r="G228" s="1">
        <v>6</v>
      </c>
      <c r="H228" s="1" t="s">
        <v>229</v>
      </c>
      <c r="I228" s="1" t="str">
        <f>("1105220106")</f>
        <v>1105220106</v>
      </c>
      <c r="J228" s="1" t="s">
        <v>1858</v>
      </c>
    </row>
    <row r="229" spans="1:10" x14ac:dyDescent="0.45">
      <c r="A229" s="2" t="str">
        <f t="shared" si="3"/>
        <v>鶴居ＳＳＳ_8</v>
      </c>
      <c r="B229" s="1" t="s">
        <v>4993</v>
      </c>
      <c r="C229" s="1" t="str">
        <f>("8")</f>
        <v>8</v>
      </c>
      <c r="D229" s="1" t="s">
        <v>209</v>
      </c>
      <c r="E229" s="1" t="s">
        <v>6021</v>
      </c>
      <c r="F229" s="1" t="s">
        <v>6022</v>
      </c>
      <c r="G229" s="1">
        <v>6</v>
      </c>
      <c r="H229" s="1" t="s">
        <v>229</v>
      </c>
      <c r="I229" s="1" t="str">
        <f>("1110110137")</f>
        <v>1110110137</v>
      </c>
    </row>
    <row r="230" spans="1:10" x14ac:dyDescent="0.45">
      <c r="A230" s="2" t="str">
        <f t="shared" si="3"/>
        <v>鶴居ＳＳＳ_9</v>
      </c>
      <c r="B230" s="1" t="s">
        <v>4993</v>
      </c>
      <c r="C230" s="1" t="str">
        <f>("9")</f>
        <v>9</v>
      </c>
      <c r="D230" s="1" t="s">
        <v>209</v>
      </c>
      <c r="E230" s="1" t="s">
        <v>6023</v>
      </c>
      <c r="F230" s="1" t="s">
        <v>6024</v>
      </c>
      <c r="G230" s="1">
        <v>6</v>
      </c>
      <c r="H230" s="1" t="s">
        <v>229</v>
      </c>
      <c r="I230" s="1" t="str">
        <f>("1203260085")</f>
        <v>1203260085</v>
      </c>
    </row>
    <row r="231" spans="1:10" x14ac:dyDescent="0.45">
      <c r="A231" s="2" t="str">
        <f t="shared" si="3"/>
        <v>鶴居ＳＳＳ_10</v>
      </c>
      <c r="B231" s="1" t="s">
        <v>4993</v>
      </c>
      <c r="C231" s="1" t="str">
        <f>("10")</f>
        <v>10</v>
      </c>
      <c r="D231" s="1" t="s">
        <v>209</v>
      </c>
      <c r="E231" s="1" t="s">
        <v>6027</v>
      </c>
      <c r="F231" s="1" t="s">
        <v>6028</v>
      </c>
      <c r="G231" s="1">
        <v>6</v>
      </c>
      <c r="H231" s="1" t="s">
        <v>229</v>
      </c>
      <c r="I231" s="1" t="str">
        <f>("1106260092")</f>
        <v>1106260092</v>
      </c>
    </row>
    <row r="232" spans="1:10" x14ac:dyDescent="0.45">
      <c r="A232" s="2" t="str">
        <f t="shared" si="3"/>
        <v>鶴居ＳＳＳ_11</v>
      </c>
      <c r="B232" s="1" t="s">
        <v>4993</v>
      </c>
      <c r="C232" s="1" t="str">
        <f>("11")</f>
        <v>11</v>
      </c>
      <c r="D232" s="1" t="s">
        <v>209</v>
      </c>
      <c r="E232" s="1" t="s">
        <v>6031</v>
      </c>
      <c r="F232" s="1" t="s">
        <v>6032</v>
      </c>
      <c r="G232" s="1">
        <v>5</v>
      </c>
      <c r="H232" s="1" t="s">
        <v>229</v>
      </c>
      <c r="I232" s="1" t="str">
        <f>("1206290044")</f>
        <v>1206290044</v>
      </c>
    </row>
    <row r="233" spans="1:10" x14ac:dyDescent="0.45">
      <c r="A233" s="2" t="str">
        <f t="shared" si="3"/>
        <v>鶴居ＳＳＳ_13</v>
      </c>
      <c r="B233" s="1" t="s">
        <v>4993</v>
      </c>
      <c r="C233" s="1" t="str">
        <f>("13")</f>
        <v>13</v>
      </c>
      <c r="D233" s="1" t="s">
        <v>210</v>
      </c>
      <c r="E233" s="1" t="s">
        <v>6033</v>
      </c>
      <c r="F233" s="1" t="s">
        <v>6034</v>
      </c>
      <c r="G233" s="1">
        <v>5</v>
      </c>
      <c r="H233" s="1" t="s">
        <v>229</v>
      </c>
      <c r="I233" s="1" t="str">
        <f>("1206290043")</f>
        <v>1206290043</v>
      </c>
    </row>
    <row r="234" spans="1:10" x14ac:dyDescent="0.45">
      <c r="A234" s="2" t="str">
        <f t="shared" si="3"/>
        <v>鶴居ＳＳＳ_14</v>
      </c>
      <c r="B234" s="1" t="s">
        <v>4993</v>
      </c>
      <c r="C234" s="1" t="str">
        <f>("14")</f>
        <v>14</v>
      </c>
      <c r="D234" s="1" t="s">
        <v>208</v>
      </c>
      <c r="E234" s="1" t="s">
        <v>8692</v>
      </c>
      <c r="F234" s="1" t="s">
        <v>8693</v>
      </c>
      <c r="G234" s="1">
        <v>5</v>
      </c>
      <c r="H234" s="1" t="s">
        <v>229</v>
      </c>
      <c r="I234" s="1" t="str">
        <f>("1207300204")</f>
        <v>1207300204</v>
      </c>
    </row>
    <row r="235" spans="1:10" x14ac:dyDescent="0.45">
      <c r="A235" s="2" t="str">
        <f t="shared" si="3"/>
        <v>鶴居ＳＳＳ_15</v>
      </c>
      <c r="B235" s="1" t="s">
        <v>4993</v>
      </c>
      <c r="C235" s="1" t="str">
        <f>("15")</f>
        <v>15</v>
      </c>
      <c r="D235" s="1" t="s">
        <v>210</v>
      </c>
      <c r="E235" s="1" t="s">
        <v>8694</v>
      </c>
      <c r="F235" s="1" t="s">
        <v>8695</v>
      </c>
      <c r="G235" s="1">
        <v>5</v>
      </c>
      <c r="H235" s="1" t="s">
        <v>229</v>
      </c>
      <c r="I235" s="1" t="str">
        <f>("1210300182")</f>
        <v>1210300182</v>
      </c>
    </row>
    <row r="236" spans="1:10" x14ac:dyDescent="0.45">
      <c r="A236" s="2" t="str">
        <f t="shared" si="3"/>
        <v>鶴居ＳＳＳ_17</v>
      </c>
      <c r="B236" s="1" t="s">
        <v>4993</v>
      </c>
      <c r="C236" s="1" t="str">
        <f>("17")</f>
        <v>17</v>
      </c>
      <c r="D236" s="1" t="s">
        <v>208</v>
      </c>
      <c r="E236" s="1" t="s">
        <v>8696</v>
      </c>
      <c r="F236" s="1" t="s">
        <v>8697</v>
      </c>
      <c r="G236" s="1">
        <v>6</v>
      </c>
      <c r="H236" s="1" t="s">
        <v>229</v>
      </c>
      <c r="I236" s="1" t="str">
        <f>("1111120194")</f>
        <v>1111120194</v>
      </c>
    </row>
    <row r="237" spans="1:10" x14ac:dyDescent="0.45">
      <c r="A237" s="2" t="str">
        <f t="shared" si="3"/>
        <v>ＦＣ大野_2</v>
      </c>
      <c r="B237" s="1" t="s">
        <v>4994</v>
      </c>
      <c r="C237" s="1" t="str">
        <f>("2")</f>
        <v>2</v>
      </c>
      <c r="D237" s="1" t="s">
        <v>210</v>
      </c>
      <c r="E237" s="1" t="s">
        <v>8698</v>
      </c>
      <c r="F237" s="1" t="s">
        <v>8699</v>
      </c>
      <c r="G237" s="1">
        <v>5</v>
      </c>
      <c r="H237" s="1" t="s">
        <v>229</v>
      </c>
      <c r="I237" s="1" t="str">
        <f>("1303150172")</f>
        <v>1303150172</v>
      </c>
    </row>
    <row r="238" spans="1:10" x14ac:dyDescent="0.45">
      <c r="A238" s="2" t="str">
        <f t="shared" si="3"/>
        <v>ＦＣ大野_3</v>
      </c>
      <c r="B238" s="1" t="s">
        <v>4994</v>
      </c>
      <c r="C238" s="1" t="str">
        <f>("3")</f>
        <v>3</v>
      </c>
      <c r="D238" s="1" t="s">
        <v>208</v>
      </c>
      <c r="E238" s="1" t="s">
        <v>8700</v>
      </c>
      <c r="F238" s="1" t="s">
        <v>8701</v>
      </c>
      <c r="G238" s="1">
        <v>2</v>
      </c>
      <c r="H238" s="1" t="s">
        <v>229</v>
      </c>
      <c r="I238" s="1" t="str">
        <f>("1509060011")</f>
        <v>1509060011</v>
      </c>
    </row>
    <row r="239" spans="1:10" x14ac:dyDescent="0.45">
      <c r="A239" s="2" t="str">
        <f t="shared" si="3"/>
        <v>ＦＣ大野_4</v>
      </c>
      <c r="B239" s="1" t="s">
        <v>4994</v>
      </c>
      <c r="C239" s="1" t="str">
        <f>("4")</f>
        <v>4</v>
      </c>
      <c r="D239" s="1" t="s">
        <v>208</v>
      </c>
      <c r="E239" s="1" t="s">
        <v>5136</v>
      </c>
      <c r="F239" s="1" t="s">
        <v>5137</v>
      </c>
      <c r="G239" s="1">
        <v>6</v>
      </c>
      <c r="H239" s="1" t="s">
        <v>231</v>
      </c>
      <c r="I239" s="1" t="str">
        <f>("1109100075")</f>
        <v>1109100075</v>
      </c>
    </row>
    <row r="240" spans="1:10" x14ac:dyDescent="0.45">
      <c r="A240" s="2" t="str">
        <f t="shared" si="3"/>
        <v>ＦＣ大野_5</v>
      </c>
      <c r="B240" s="1" t="s">
        <v>4994</v>
      </c>
      <c r="C240" s="1" t="str">
        <f>("5")</f>
        <v>5</v>
      </c>
      <c r="D240" s="1" t="s">
        <v>208</v>
      </c>
      <c r="E240" s="1" t="s">
        <v>6040</v>
      </c>
      <c r="F240" s="1" t="s">
        <v>6041</v>
      </c>
      <c r="G240" s="1">
        <v>5</v>
      </c>
      <c r="H240" s="1" t="s">
        <v>229</v>
      </c>
      <c r="I240" s="1" t="str">
        <f>("1209280159")</f>
        <v>1209280159</v>
      </c>
    </row>
    <row r="241" spans="1:10" x14ac:dyDescent="0.45">
      <c r="A241" s="2" t="str">
        <f t="shared" si="3"/>
        <v>ＦＣ大野_6</v>
      </c>
      <c r="B241" s="1" t="s">
        <v>4994</v>
      </c>
      <c r="C241" s="1" t="str">
        <f>("6")</f>
        <v>6</v>
      </c>
      <c r="D241" s="1" t="s">
        <v>210</v>
      </c>
      <c r="E241" s="1" t="s">
        <v>6037</v>
      </c>
      <c r="F241" s="1" t="s">
        <v>2737</v>
      </c>
      <c r="G241" s="1">
        <v>5</v>
      </c>
      <c r="H241" s="1" t="s">
        <v>229</v>
      </c>
      <c r="I241" s="1" t="str">
        <f>("1210250097")</f>
        <v>1210250097</v>
      </c>
    </row>
    <row r="242" spans="1:10" x14ac:dyDescent="0.45">
      <c r="A242" s="2" t="str">
        <f t="shared" si="3"/>
        <v>ＦＣ大野_7</v>
      </c>
      <c r="B242" s="1" t="s">
        <v>4994</v>
      </c>
      <c r="C242" s="1" t="str">
        <f>("7")</f>
        <v>7</v>
      </c>
      <c r="D242" s="1" t="s">
        <v>210</v>
      </c>
      <c r="E242" s="1" t="s">
        <v>6038</v>
      </c>
      <c r="F242" s="1" t="s">
        <v>6039</v>
      </c>
      <c r="G242" s="1">
        <v>5</v>
      </c>
      <c r="H242" s="1" t="s">
        <v>229</v>
      </c>
      <c r="I242" s="1" t="str">
        <f>("1206010105")</f>
        <v>1206010105</v>
      </c>
    </row>
    <row r="243" spans="1:10" x14ac:dyDescent="0.45">
      <c r="A243" s="2" t="str">
        <f t="shared" si="3"/>
        <v>ＦＣ大野_8</v>
      </c>
      <c r="B243" s="1" t="s">
        <v>4994</v>
      </c>
      <c r="C243" s="1" t="str">
        <f>("8")</f>
        <v>8</v>
      </c>
      <c r="D243" s="1" t="s">
        <v>210</v>
      </c>
      <c r="E243" s="1" t="s">
        <v>8702</v>
      </c>
      <c r="F243" s="1" t="s">
        <v>8703</v>
      </c>
      <c r="G243" s="1">
        <v>2</v>
      </c>
      <c r="H243" s="1" t="s">
        <v>231</v>
      </c>
      <c r="I243" s="1" t="str">
        <f>("1601230015")</f>
        <v>1601230015</v>
      </c>
    </row>
    <row r="244" spans="1:10" x14ac:dyDescent="0.45">
      <c r="A244" s="2" t="str">
        <f t="shared" si="3"/>
        <v>ＦＣ大野_9</v>
      </c>
      <c r="B244" s="1" t="s">
        <v>4994</v>
      </c>
      <c r="C244" s="1" t="str">
        <f>("9")</f>
        <v>9</v>
      </c>
      <c r="D244" s="1" t="s">
        <v>208</v>
      </c>
      <c r="E244" s="1" t="s">
        <v>8704</v>
      </c>
      <c r="F244" s="1" t="s">
        <v>8705</v>
      </c>
      <c r="G244" s="1">
        <v>4</v>
      </c>
      <c r="H244" s="1" t="s">
        <v>229</v>
      </c>
      <c r="I244" s="1" t="str">
        <f>("1308130115")</f>
        <v>1308130115</v>
      </c>
    </row>
    <row r="245" spans="1:10" x14ac:dyDescent="0.45">
      <c r="A245" s="2" t="str">
        <f t="shared" si="3"/>
        <v>ＦＣ大野_10</v>
      </c>
      <c r="B245" s="1" t="s">
        <v>4994</v>
      </c>
      <c r="C245" s="1" t="str">
        <f>("10")</f>
        <v>10</v>
      </c>
      <c r="D245" s="1" t="s">
        <v>209</v>
      </c>
      <c r="E245" s="1" t="s">
        <v>5138</v>
      </c>
      <c r="F245" s="1" t="s">
        <v>5139</v>
      </c>
      <c r="G245" s="1">
        <v>6</v>
      </c>
      <c r="H245" s="1" t="s">
        <v>229</v>
      </c>
      <c r="I245" s="1" t="str">
        <f>("1107080030")</f>
        <v>1107080030</v>
      </c>
      <c r="J245" s="1" t="s">
        <v>1858</v>
      </c>
    </row>
    <row r="246" spans="1:10" x14ac:dyDescent="0.45">
      <c r="A246" s="2" t="str">
        <f t="shared" si="3"/>
        <v>ＦＣ大野_11</v>
      </c>
      <c r="B246" s="1" t="s">
        <v>4994</v>
      </c>
      <c r="C246" s="1" t="str">
        <f>("11")</f>
        <v>11</v>
      </c>
      <c r="D246" s="1" t="s">
        <v>209</v>
      </c>
      <c r="E246" s="1" t="s">
        <v>6035</v>
      </c>
      <c r="F246" s="1" t="s">
        <v>6036</v>
      </c>
      <c r="G246" s="1">
        <v>3</v>
      </c>
      <c r="H246" s="1" t="s">
        <v>229</v>
      </c>
      <c r="I246" s="1" t="str">
        <f>("1407090009")</f>
        <v>1407090009</v>
      </c>
    </row>
    <row r="247" spans="1:10" x14ac:dyDescent="0.45">
      <c r="A247" s="2" t="str">
        <f t="shared" si="3"/>
        <v>ＦＣ大野_12</v>
      </c>
      <c r="B247" s="1" t="s">
        <v>4994</v>
      </c>
      <c r="C247" s="1" t="str">
        <f>("12")</f>
        <v>12</v>
      </c>
      <c r="D247" s="1" t="s">
        <v>207</v>
      </c>
      <c r="E247" s="1" t="s">
        <v>5140</v>
      </c>
      <c r="F247" s="1" t="s">
        <v>5141</v>
      </c>
      <c r="G247" s="1">
        <v>6</v>
      </c>
      <c r="H247" s="1" t="s">
        <v>229</v>
      </c>
      <c r="I247" s="1" t="str">
        <f>("1106090030")</f>
        <v>1106090030</v>
      </c>
    </row>
    <row r="248" spans="1:10" x14ac:dyDescent="0.45">
      <c r="A248" s="2" t="str">
        <f t="shared" si="3"/>
        <v>ＦＣ大野_13</v>
      </c>
      <c r="B248" s="1" t="s">
        <v>4994</v>
      </c>
      <c r="C248" s="1" t="str">
        <f>("13")</f>
        <v>13</v>
      </c>
      <c r="D248" s="1" t="s">
        <v>208</v>
      </c>
      <c r="E248" s="1" t="s">
        <v>8706</v>
      </c>
      <c r="F248" s="1" t="s">
        <v>8707</v>
      </c>
      <c r="G248" s="1">
        <v>3</v>
      </c>
      <c r="H248" s="1" t="s">
        <v>229</v>
      </c>
      <c r="I248" s="1" t="str">
        <f>("1404090072")</f>
        <v>1404090072</v>
      </c>
    </row>
    <row r="249" spans="1:10" x14ac:dyDescent="0.45">
      <c r="A249" s="2" t="str">
        <f t="shared" si="3"/>
        <v>ＦＣ大野_14</v>
      </c>
      <c r="B249" s="1" t="s">
        <v>4994</v>
      </c>
      <c r="C249" s="1" t="str">
        <f>("14")</f>
        <v>14</v>
      </c>
      <c r="D249" s="1" t="s">
        <v>210</v>
      </c>
      <c r="E249" s="1" t="s">
        <v>8708</v>
      </c>
      <c r="F249" s="1" t="s">
        <v>8709</v>
      </c>
      <c r="G249" s="1">
        <v>2</v>
      </c>
      <c r="H249" s="1" t="s">
        <v>229</v>
      </c>
      <c r="I249" s="1" t="str">
        <f>("1602270013")</f>
        <v>1602270013</v>
      </c>
    </row>
    <row r="250" spans="1:10" x14ac:dyDescent="0.45">
      <c r="A250" s="2" t="str">
        <f t="shared" si="3"/>
        <v>ＦＣ大野_17</v>
      </c>
      <c r="B250" s="1" t="s">
        <v>4994</v>
      </c>
      <c r="C250" s="1" t="str">
        <f>("17")</f>
        <v>17</v>
      </c>
      <c r="D250" s="1" t="s">
        <v>209</v>
      </c>
      <c r="E250" s="1" t="s">
        <v>5142</v>
      </c>
      <c r="F250" s="1" t="s">
        <v>3541</v>
      </c>
      <c r="G250" s="1">
        <v>5</v>
      </c>
      <c r="H250" s="1" t="s">
        <v>229</v>
      </c>
      <c r="I250" s="1" t="str">
        <f>("1301290031")</f>
        <v>1301290031</v>
      </c>
    </row>
    <row r="251" spans="1:10" x14ac:dyDescent="0.45">
      <c r="A251" s="2" t="str">
        <f t="shared" si="3"/>
        <v>ＦＣ大野_20</v>
      </c>
      <c r="B251" s="1" t="s">
        <v>4994</v>
      </c>
      <c r="C251" s="1" t="str">
        <f>("20")</f>
        <v>20</v>
      </c>
      <c r="D251" s="1" t="s">
        <v>210</v>
      </c>
      <c r="E251" s="1" t="s">
        <v>8710</v>
      </c>
      <c r="F251" s="1" t="s">
        <v>8711</v>
      </c>
      <c r="G251" s="1">
        <v>3</v>
      </c>
      <c r="H251" s="1" t="s">
        <v>229</v>
      </c>
      <c r="I251" s="1" t="str">
        <f>("1501310029")</f>
        <v>1501310029</v>
      </c>
    </row>
    <row r="252" spans="1:10" x14ac:dyDescent="0.45">
      <c r="A252" s="2" t="str">
        <f t="shared" si="3"/>
        <v>鶴見ジュニアサッカークラブ_1</v>
      </c>
      <c r="B252" s="1" t="s">
        <v>4995</v>
      </c>
      <c r="C252" s="1" t="str">
        <f>("1")</f>
        <v>1</v>
      </c>
      <c r="D252" s="1" t="s">
        <v>207</v>
      </c>
      <c r="E252" s="1" t="s">
        <v>6056</v>
      </c>
      <c r="F252" s="1" t="s">
        <v>6057</v>
      </c>
      <c r="G252" s="1">
        <v>6</v>
      </c>
      <c r="H252" s="1" t="s">
        <v>229</v>
      </c>
      <c r="I252" s="1" t="str">
        <f>("1108270120")</f>
        <v>1108270120</v>
      </c>
      <c r="J252" s="1" t="s">
        <v>1858</v>
      </c>
    </row>
    <row r="253" spans="1:10" x14ac:dyDescent="0.45">
      <c r="A253" s="2" t="str">
        <f t="shared" si="3"/>
        <v>鶴見ジュニアサッカークラブ_2</v>
      </c>
      <c r="B253" s="1" t="s">
        <v>4995</v>
      </c>
      <c r="C253" s="1" t="str">
        <f>("2")</f>
        <v>2</v>
      </c>
      <c r="D253" s="1" t="s">
        <v>209</v>
      </c>
      <c r="E253" s="1" t="s">
        <v>6042</v>
      </c>
      <c r="F253" s="1" t="s">
        <v>6043</v>
      </c>
      <c r="G253" s="1">
        <v>6</v>
      </c>
      <c r="H253" s="1" t="s">
        <v>229</v>
      </c>
      <c r="I253" s="1" t="str">
        <f>("1110260130")</f>
        <v>1110260130</v>
      </c>
    </row>
    <row r="254" spans="1:10" x14ac:dyDescent="0.45">
      <c r="A254" s="2" t="str">
        <f t="shared" si="3"/>
        <v>鶴見ジュニアサッカークラブ_4</v>
      </c>
      <c r="B254" s="1" t="s">
        <v>4995</v>
      </c>
      <c r="C254" s="1" t="str">
        <f>("4")</f>
        <v>4</v>
      </c>
      <c r="D254" s="1" t="s">
        <v>209</v>
      </c>
      <c r="E254" s="1" t="s">
        <v>6046</v>
      </c>
      <c r="F254" s="1" t="s">
        <v>6047</v>
      </c>
      <c r="G254" s="1">
        <v>5</v>
      </c>
      <c r="H254" s="1" t="s">
        <v>229</v>
      </c>
      <c r="I254" s="1" t="str">
        <f>("1304010040")</f>
        <v>1304010040</v>
      </c>
    </row>
    <row r="255" spans="1:10" x14ac:dyDescent="0.45">
      <c r="A255" s="2" t="str">
        <f t="shared" si="3"/>
        <v>鶴見ジュニアサッカークラブ_5</v>
      </c>
      <c r="B255" s="1" t="s">
        <v>4995</v>
      </c>
      <c r="C255" s="1" t="str">
        <f>("5")</f>
        <v>5</v>
      </c>
      <c r="D255" s="1" t="s">
        <v>209</v>
      </c>
      <c r="E255" s="1" t="s">
        <v>6048</v>
      </c>
      <c r="F255" s="1" t="s">
        <v>6049</v>
      </c>
      <c r="G255" s="1">
        <v>5</v>
      </c>
      <c r="H255" s="1" t="s">
        <v>229</v>
      </c>
      <c r="I255" s="1" t="str">
        <f>("1205180080")</f>
        <v>1205180080</v>
      </c>
    </row>
    <row r="256" spans="1:10" x14ac:dyDescent="0.45">
      <c r="A256" s="2" t="str">
        <f t="shared" si="3"/>
        <v>鶴見ジュニアサッカークラブ_6</v>
      </c>
      <c r="B256" s="1" t="s">
        <v>4995</v>
      </c>
      <c r="C256" s="1" t="str">
        <f>("6")</f>
        <v>6</v>
      </c>
      <c r="D256" s="1" t="s">
        <v>209</v>
      </c>
      <c r="E256" s="1" t="s">
        <v>6050</v>
      </c>
      <c r="F256" s="1" t="s">
        <v>6051</v>
      </c>
      <c r="G256" s="1">
        <v>6</v>
      </c>
      <c r="H256" s="1" t="s">
        <v>231</v>
      </c>
      <c r="I256" s="1" t="str">
        <f>("1108110017")</f>
        <v>1108110017</v>
      </c>
    </row>
    <row r="257" spans="1:9" x14ac:dyDescent="0.45">
      <c r="A257" s="2" t="str">
        <f t="shared" ref="A257:A320" si="4">CONCATENATE(B257,"_",C257)</f>
        <v>鶴見ジュニアサッカークラブ_7</v>
      </c>
      <c r="B257" s="1" t="s">
        <v>4995</v>
      </c>
      <c r="C257" s="1" t="str">
        <f>("7")</f>
        <v>7</v>
      </c>
      <c r="D257" s="1" t="s">
        <v>210</v>
      </c>
      <c r="E257" s="1" t="s">
        <v>6054</v>
      </c>
      <c r="F257" s="1" t="s">
        <v>6055</v>
      </c>
      <c r="G257" s="1">
        <v>5</v>
      </c>
      <c r="H257" s="1" t="s">
        <v>229</v>
      </c>
      <c r="I257" s="1" t="str">
        <f>("1303250050")</f>
        <v>1303250050</v>
      </c>
    </row>
    <row r="258" spans="1:9" x14ac:dyDescent="0.45">
      <c r="A258" s="2" t="str">
        <f t="shared" si="4"/>
        <v>鶴見ジュニアサッカークラブ_8</v>
      </c>
      <c r="B258" s="1" t="s">
        <v>4995</v>
      </c>
      <c r="C258" s="1" t="str">
        <f>("8")</f>
        <v>8</v>
      </c>
      <c r="D258" s="1" t="s">
        <v>208</v>
      </c>
      <c r="E258" s="1" t="s">
        <v>6052</v>
      </c>
      <c r="F258" s="1" t="s">
        <v>6053</v>
      </c>
      <c r="G258" s="1">
        <v>6</v>
      </c>
      <c r="H258" s="1" t="s">
        <v>229</v>
      </c>
      <c r="I258" s="1" t="str">
        <f>("1202240104")</f>
        <v>1202240104</v>
      </c>
    </row>
    <row r="259" spans="1:9" x14ac:dyDescent="0.45">
      <c r="A259" s="2" t="str">
        <f t="shared" si="4"/>
        <v>鶴見ジュニアサッカークラブ_9</v>
      </c>
      <c r="B259" s="1" t="s">
        <v>4995</v>
      </c>
      <c r="C259" s="1" t="str">
        <f>("9")</f>
        <v>9</v>
      </c>
      <c r="D259" s="1" t="s">
        <v>209</v>
      </c>
      <c r="E259" s="1" t="s">
        <v>8712</v>
      </c>
      <c r="F259" s="1" t="s">
        <v>8713</v>
      </c>
      <c r="G259" s="1">
        <v>5</v>
      </c>
      <c r="H259" s="1" t="s">
        <v>231</v>
      </c>
      <c r="I259" s="1" t="str">
        <f>("1205050120")</f>
        <v>1205050120</v>
      </c>
    </row>
    <row r="260" spans="1:9" x14ac:dyDescent="0.45">
      <c r="A260" s="2" t="str">
        <f t="shared" si="4"/>
        <v>鶴見ジュニアサッカークラブ_10</v>
      </c>
      <c r="B260" s="1" t="s">
        <v>4995</v>
      </c>
      <c r="C260" s="1" t="str">
        <f>("10")</f>
        <v>10</v>
      </c>
      <c r="D260" s="1" t="s">
        <v>209</v>
      </c>
      <c r="E260" s="1" t="s">
        <v>6044</v>
      </c>
      <c r="F260" s="1" t="s">
        <v>6045</v>
      </c>
      <c r="G260" s="1">
        <v>6</v>
      </c>
      <c r="H260" s="1" t="s">
        <v>231</v>
      </c>
      <c r="I260" s="1" t="str">
        <f>("1104280177")</f>
        <v>1104280177</v>
      </c>
    </row>
    <row r="261" spans="1:9" x14ac:dyDescent="0.45">
      <c r="A261" s="2" t="str">
        <f t="shared" si="4"/>
        <v>鶴見ジュニアサッカークラブ_11</v>
      </c>
      <c r="B261" s="1" t="s">
        <v>4995</v>
      </c>
      <c r="C261" s="1" t="str">
        <f>("11")</f>
        <v>11</v>
      </c>
      <c r="D261" s="1" t="s">
        <v>209</v>
      </c>
      <c r="E261" s="1" t="s">
        <v>6060</v>
      </c>
      <c r="F261" s="1" t="s">
        <v>6061</v>
      </c>
      <c r="G261" s="1">
        <v>5</v>
      </c>
      <c r="H261" s="1" t="s">
        <v>229</v>
      </c>
      <c r="I261" s="1" t="str">
        <f>("1207170080")</f>
        <v>1207170080</v>
      </c>
    </row>
    <row r="262" spans="1:9" x14ac:dyDescent="0.45">
      <c r="A262" s="2" t="str">
        <f t="shared" si="4"/>
        <v>鶴見ジュニアサッカークラブ_12</v>
      </c>
      <c r="B262" s="1" t="s">
        <v>4995</v>
      </c>
      <c r="C262" s="1" t="str">
        <f>("12")</f>
        <v>12</v>
      </c>
      <c r="D262" s="1" t="s">
        <v>209</v>
      </c>
      <c r="E262" s="1" t="s">
        <v>6062</v>
      </c>
      <c r="F262" s="1" t="s">
        <v>6063</v>
      </c>
      <c r="G262" s="1">
        <v>5</v>
      </c>
      <c r="H262" s="1" t="s">
        <v>229</v>
      </c>
      <c r="I262" s="1" t="str">
        <f>("1208090088")</f>
        <v>1208090088</v>
      </c>
    </row>
    <row r="263" spans="1:9" x14ac:dyDescent="0.45">
      <c r="A263" s="2" t="str">
        <f t="shared" si="4"/>
        <v>鶴見ジュニアサッカークラブ_13</v>
      </c>
      <c r="B263" s="1" t="s">
        <v>4995</v>
      </c>
      <c r="C263" s="1" t="str">
        <f>("13")</f>
        <v>13</v>
      </c>
      <c r="D263" s="1" t="s">
        <v>209</v>
      </c>
      <c r="E263" s="1" t="s">
        <v>6058</v>
      </c>
      <c r="F263" s="1" t="s">
        <v>6059</v>
      </c>
      <c r="G263" s="1">
        <v>5</v>
      </c>
      <c r="H263" s="1" t="s">
        <v>231</v>
      </c>
      <c r="I263" s="1" t="str">
        <f>("1301300055")</f>
        <v>1301300055</v>
      </c>
    </row>
    <row r="264" spans="1:9" x14ac:dyDescent="0.45">
      <c r="A264" s="2" t="str">
        <f t="shared" si="4"/>
        <v>鶴見ジュニアサッカークラブ_14</v>
      </c>
      <c r="B264" s="1" t="s">
        <v>4995</v>
      </c>
      <c r="C264" s="1" t="str">
        <f>("14")</f>
        <v>14</v>
      </c>
      <c r="D264" s="1" t="s">
        <v>209</v>
      </c>
      <c r="E264" s="1" t="s">
        <v>8714</v>
      </c>
      <c r="F264" s="1" t="s">
        <v>8715</v>
      </c>
      <c r="G264" s="1">
        <v>5</v>
      </c>
      <c r="H264" s="1" t="s">
        <v>229</v>
      </c>
      <c r="I264" s="1" t="str">
        <f>("1210160164")</f>
        <v>1210160164</v>
      </c>
    </row>
    <row r="265" spans="1:9" x14ac:dyDescent="0.45">
      <c r="A265" s="2" t="str">
        <f t="shared" si="4"/>
        <v>緑丘サッカースポーツ少年団_1</v>
      </c>
      <c r="B265" s="1" t="s">
        <v>4996</v>
      </c>
      <c r="C265" s="1" t="str">
        <f>("1")</f>
        <v>1</v>
      </c>
      <c r="D265" s="1" t="s">
        <v>207</v>
      </c>
      <c r="E265" s="1" t="s">
        <v>6077</v>
      </c>
      <c r="F265" s="1" t="s">
        <v>6078</v>
      </c>
      <c r="G265" s="1">
        <v>5</v>
      </c>
      <c r="H265" s="1" t="s">
        <v>229</v>
      </c>
      <c r="I265" s="1" t="str">
        <f>("1301170126")</f>
        <v>1301170126</v>
      </c>
    </row>
    <row r="266" spans="1:9" x14ac:dyDescent="0.45">
      <c r="A266" s="2" t="str">
        <f t="shared" si="4"/>
        <v>緑丘サッカースポーツ少年団_2</v>
      </c>
      <c r="B266" s="1" t="s">
        <v>4996</v>
      </c>
      <c r="C266" s="1" t="str">
        <f>("2")</f>
        <v>2</v>
      </c>
      <c r="D266" s="1" t="s">
        <v>209</v>
      </c>
      <c r="E266" s="1" t="s">
        <v>6073</v>
      </c>
      <c r="F266" s="1" t="s">
        <v>6074</v>
      </c>
      <c r="G266" s="1">
        <v>6</v>
      </c>
      <c r="H266" s="1" t="s">
        <v>229</v>
      </c>
      <c r="I266" s="1" t="str">
        <f>("1107160177")</f>
        <v>1107160177</v>
      </c>
    </row>
    <row r="267" spans="1:9" x14ac:dyDescent="0.45">
      <c r="A267" s="2" t="str">
        <f t="shared" si="4"/>
        <v>緑丘サッカースポーツ少年団_3</v>
      </c>
      <c r="B267" s="1" t="s">
        <v>4996</v>
      </c>
      <c r="C267" s="1" t="str">
        <f>("3")</f>
        <v>3</v>
      </c>
      <c r="D267" s="1" t="s">
        <v>208</v>
      </c>
      <c r="E267" s="1" t="s">
        <v>6075</v>
      </c>
      <c r="F267" s="1" t="s">
        <v>6076</v>
      </c>
      <c r="G267" s="1">
        <v>5</v>
      </c>
      <c r="H267" s="1" t="s">
        <v>229</v>
      </c>
      <c r="I267" s="1" t="str">
        <f>("1205050104")</f>
        <v>1205050104</v>
      </c>
    </row>
    <row r="268" spans="1:9" x14ac:dyDescent="0.45">
      <c r="A268" s="2" t="str">
        <f t="shared" si="4"/>
        <v>緑丘サッカースポーツ少年団_4</v>
      </c>
      <c r="B268" s="1" t="s">
        <v>4996</v>
      </c>
      <c r="C268" s="1" t="str">
        <f>("4")</f>
        <v>4</v>
      </c>
      <c r="D268" s="1" t="s">
        <v>208</v>
      </c>
      <c r="E268" s="1" t="s">
        <v>6068</v>
      </c>
      <c r="F268" s="1" t="s">
        <v>6069</v>
      </c>
      <c r="G268" s="1">
        <v>6</v>
      </c>
      <c r="H268" s="1" t="s">
        <v>229</v>
      </c>
      <c r="I268" s="1" t="str">
        <f>("1203070136")</f>
        <v>1203070136</v>
      </c>
    </row>
    <row r="269" spans="1:9" x14ac:dyDescent="0.45">
      <c r="A269" s="2" t="str">
        <f t="shared" si="4"/>
        <v>緑丘サッカースポーツ少年団_5</v>
      </c>
      <c r="B269" s="1" t="s">
        <v>4996</v>
      </c>
      <c r="C269" s="1" t="str">
        <f>("5")</f>
        <v>5</v>
      </c>
      <c r="D269" s="1" t="s">
        <v>209</v>
      </c>
      <c r="E269" s="1" t="s">
        <v>8716</v>
      </c>
      <c r="F269" s="1" t="s">
        <v>8717</v>
      </c>
      <c r="G269" s="1">
        <v>4</v>
      </c>
      <c r="H269" s="1" t="s">
        <v>229</v>
      </c>
      <c r="I269" s="1" t="str">
        <f>("1403220066")</f>
        <v>1403220066</v>
      </c>
    </row>
    <row r="270" spans="1:9" x14ac:dyDescent="0.45">
      <c r="A270" s="2" t="str">
        <f t="shared" si="4"/>
        <v>緑丘サッカースポーツ少年団_6</v>
      </c>
      <c r="B270" s="1" t="s">
        <v>4996</v>
      </c>
      <c r="C270" s="1" t="str">
        <f>("6")</f>
        <v>6</v>
      </c>
      <c r="D270" s="1" t="s">
        <v>208</v>
      </c>
      <c r="E270" s="1" t="s">
        <v>6079</v>
      </c>
      <c r="F270" s="1" t="s">
        <v>6080</v>
      </c>
      <c r="G270" s="1">
        <v>5</v>
      </c>
      <c r="H270" s="1" t="s">
        <v>229</v>
      </c>
      <c r="I270" s="1" t="str">
        <f>("1210150145")</f>
        <v>1210150145</v>
      </c>
    </row>
    <row r="271" spans="1:9" x14ac:dyDescent="0.45">
      <c r="A271" s="2" t="str">
        <f t="shared" si="4"/>
        <v>緑丘サッカースポーツ少年団_7</v>
      </c>
      <c r="B271" s="1" t="s">
        <v>4996</v>
      </c>
      <c r="C271" s="1" t="str">
        <f>("7")</f>
        <v>7</v>
      </c>
      <c r="D271" s="1" t="s">
        <v>209</v>
      </c>
      <c r="E271" s="1" t="s">
        <v>6064</v>
      </c>
      <c r="F271" s="1" t="s">
        <v>6065</v>
      </c>
      <c r="G271" s="1">
        <v>5</v>
      </c>
      <c r="H271" s="1" t="s">
        <v>229</v>
      </c>
      <c r="I271" s="1" t="str">
        <f>("1303300077")</f>
        <v>1303300077</v>
      </c>
    </row>
    <row r="272" spans="1:9" x14ac:dyDescent="0.45">
      <c r="A272" s="2" t="str">
        <f t="shared" si="4"/>
        <v>緑丘サッカースポーツ少年団_8</v>
      </c>
      <c r="B272" s="1" t="s">
        <v>4996</v>
      </c>
      <c r="C272" s="1" t="str">
        <f>("8")</f>
        <v>8</v>
      </c>
      <c r="D272" s="1" t="s">
        <v>209</v>
      </c>
      <c r="E272" s="1" t="s">
        <v>8718</v>
      </c>
      <c r="F272" s="1" t="s">
        <v>8719</v>
      </c>
      <c r="G272" s="1">
        <v>4</v>
      </c>
      <c r="H272" s="1" t="s">
        <v>229</v>
      </c>
      <c r="I272" s="1" t="str">
        <f>("1308080115")</f>
        <v>1308080115</v>
      </c>
    </row>
    <row r="273" spans="1:10" x14ac:dyDescent="0.45">
      <c r="A273" s="2" t="str">
        <f t="shared" si="4"/>
        <v>緑丘サッカースポーツ少年団_9</v>
      </c>
      <c r="B273" s="1" t="s">
        <v>4996</v>
      </c>
      <c r="C273" s="1" t="str">
        <f>("9")</f>
        <v>9</v>
      </c>
      <c r="D273" s="1" t="s">
        <v>209</v>
      </c>
      <c r="E273" s="1" t="s">
        <v>8720</v>
      </c>
      <c r="F273" s="1" t="s">
        <v>8721</v>
      </c>
      <c r="G273" s="1">
        <v>4</v>
      </c>
      <c r="H273" s="1" t="s">
        <v>229</v>
      </c>
      <c r="I273" s="1" t="str">
        <f>("1305220124")</f>
        <v>1305220124</v>
      </c>
    </row>
    <row r="274" spans="1:10" x14ac:dyDescent="0.45">
      <c r="A274" s="2" t="str">
        <f t="shared" si="4"/>
        <v>緑丘サッカースポーツ少年団_10</v>
      </c>
      <c r="B274" s="1" t="s">
        <v>4996</v>
      </c>
      <c r="C274" s="1" t="str">
        <f>("10")</f>
        <v>10</v>
      </c>
      <c r="D274" s="1" t="s">
        <v>209</v>
      </c>
      <c r="E274" s="1" t="s">
        <v>6071</v>
      </c>
      <c r="F274" s="1" t="s">
        <v>6072</v>
      </c>
      <c r="G274" s="1">
        <v>6</v>
      </c>
      <c r="H274" s="1" t="s">
        <v>231</v>
      </c>
      <c r="I274" s="1" t="str">
        <f>("1106300143")</f>
        <v>1106300143</v>
      </c>
      <c r="J274" s="1" t="s">
        <v>1858</v>
      </c>
    </row>
    <row r="275" spans="1:10" x14ac:dyDescent="0.45">
      <c r="A275" s="2" t="str">
        <f t="shared" si="4"/>
        <v>緑丘サッカースポーツ少年団_11</v>
      </c>
      <c r="B275" s="1" t="s">
        <v>4996</v>
      </c>
      <c r="C275" s="1" t="str">
        <f>("11")</f>
        <v>11</v>
      </c>
      <c r="D275" s="1" t="s">
        <v>208</v>
      </c>
      <c r="E275" s="1" t="s">
        <v>6066</v>
      </c>
      <c r="F275" s="1" t="s">
        <v>6067</v>
      </c>
      <c r="G275" s="1">
        <v>5</v>
      </c>
      <c r="H275" s="1" t="s">
        <v>229</v>
      </c>
      <c r="I275" s="1" t="str">
        <f>("1302220112")</f>
        <v>1302220112</v>
      </c>
    </row>
    <row r="276" spans="1:10" x14ac:dyDescent="0.45">
      <c r="A276" s="2" t="str">
        <f t="shared" si="4"/>
        <v>緑丘サッカースポーツ少年団_12</v>
      </c>
      <c r="B276" s="1" t="s">
        <v>4996</v>
      </c>
      <c r="C276" s="1" t="str">
        <f>("12")</f>
        <v>12</v>
      </c>
      <c r="D276" s="1" t="s">
        <v>209</v>
      </c>
      <c r="E276" s="1" t="s">
        <v>8722</v>
      </c>
      <c r="F276" s="1" t="s">
        <v>8723</v>
      </c>
      <c r="G276" s="1">
        <v>4</v>
      </c>
      <c r="H276" s="1" t="s">
        <v>229</v>
      </c>
      <c r="I276" s="1" t="str">
        <f>("1305180112")</f>
        <v>1305180112</v>
      </c>
    </row>
    <row r="277" spans="1:10" x14ac:dyDescent="0.45">
      <c r="A277" s="2" t="str">
        <f t="shared" si="4"/>
        <v>緑丘サッカースポーツ少年団_13</v>
      </c>
      <c r="B277" s="1" t="s">
        <v>4996</v>
      </c>
      <c r="C277" s="1" t="str">
        <f>("13")</f>
        <v>13</v>
      </c>
      <c r="D277" s="1" t="s">
        <v>208</v>
      </c>
      <c r="E277" s="1" t="s">
        <v>8724</v>
      </c>
      <c r="F277" s="1" t="s">
        <v>8725</v>
      </c>
      <c r="G277" s="1">
        <v>4</v>
      </c>
      <c r="H277" s="1" t="s">
        <v>229</v>
      </c>
      <c r="I277" s="1" t="str">
        <f>("1403030110")</f>
        <v>1403030110</v>
      </c>
    </row>
    <row r="278" spans="1:10" x14ac:dyDescent="0.45">
      <c r="A278" s="2" t="str">
        <f t="shared" si="4"/>
        <v>緑丘サッカースポーツ少年団_14</v>
      </c>
      <c r="B278" s="1" t="s">
        <v>4996</v>
      </c>
      <c r="C278" s="1" t="str">
        <f>("14")</f>
        <v>14</v>
      </c>
      <c r="D278" s="1" t="s">
        <v>209</v>
      </c>
      <c r="E278" s="1" t="s">
        <v>8726</v>
      </c>
      <c r="F278" s="1" t="s">
        <v>8727</v>
      </c>
      <c r="G278" s="1">
        <v>4</v>
      </c>
      <c r="H278" s="1" t="s">
        <v>229</v>
      </c>
      <c r="I278" s="1" t="str">
        <f>("1401030092")</f>
        <v>1401030092</v>
      </c>
    </row>
    <row r="279" spans="1:10" x14ac:dyDescent="0.45">
      <c r="A279" s="2" t="str">
        <f t="shared" si="4"/>
        <v>Ｓｈｙｎｔ　ＦＣ_1</v>
      </c>
      <c r="B279" s="1" t="s">
        <v>4997</v>
      </c>
      <c r="C279" s="1" t="str">
        <f>("1")</f>
        <v>1</v>
      </c>
      <c r="D279" s="1" t="s">
        <v>207</v>
      </c>
      <c r="E279" s="1" t="s">
        <v>8728</v>
      </c>
      <c r="F279" s="1" t="s">
        <v>8729</v>
      </c>
      <c r="G279" s="1">
        <v>6</v>
      </c>
      <c r="H279" s="1" t="s">
        <v>229</v>
      </c>
      <c r="I279" s="1" t="str">
        <f>("1110300086")</f>
        <v>1110300086</v>
      </c>
    </row>
    <row r="280" spans="1:10" x14ac:dyDescent="0.45">
      <c r="A280" s="2" t="str">
        <f t="shared" si="4"/>
        <v>Ｓｈｙｎｔ　ＦＣ_2</v>
      </c>
      <c r="B280" s="1" t="s">
        <v>4997</v>
      </c>
      <c r="C280" s="1" t="str">
        <f>("2")</f>
        <v>2</v>
      </c>
      <c r="D280" s="1" t="s">
        <v>208</v>
      </c>
      <c r="E280" s="1" t="s">
        <v>8730</v>
      </c>
      <c r="F280" s="1" t="s">
        <v>8731</v>
      </c>
      <c r="G280" s="1">
        <v>6</v>
      </c>
      <c r="H280" s="1" t="s">
        <v>229</v>
      </c>
      <c r="I280" s="1" t="str">
        <f>("1107240149")</f>
        <v>1107240149</v>
      </c>
    </row>
    <row r="281" spans="1:10" x14ac:dyDescent="0.45">
      <c r="A281" s="2" t="str">
        <f t="shared" si="4"/>
        <v>Ｓｈｙｎｔ　ＦＣ_3</v>
      </c>
      <c r="B281" s="1" t="s">
        <v>4997</v>
      </c>
      <c r="C281" s="1" t="str">
        <f>("3")</f>
        <v>3</v>
      </c>
      <c r="D281" s="1" t="s">
        <v>208</v>
      </c>
      <c r="E281" s="1" t="s">
        <v>8732</v>
      </c>
      <c r="F281" s="1" t="s">
        <v>8241</v>
      </c>
      <c r="G281" s="1">
        <v>6</v>
      </c>
      <c r="H281" s="1" t="s">
        <v>229</v>
      </c>
      <c r="I281" s="1" t="str">
        <f>("1105200203")</f>
        <v>1105200203</v>
      </c>
    </row>
    <row r="282" spans="1:10" x14ac:dyDescent="0.45">
      <c r="A282" s="2" t="str">
        <f t="shared" si="4"/>
        <v>Ｓｈｙｎｔ　ＦＣ_4</v>
      </c>
      <c r="B282" s="1" t="s">
        <v>4997</v>
      </c>
      <c r="C282" s="1" t="str">
        <f>("4")</f>
        <v>4</v>
      </c>
      <c r="D282" s="1" t="s">
        <v>209</v>
      </c>
      <c r="E282" s="1" t="s">
        <v>8733</v>
      </c>
      <c r="F282" s="1" t="s">
        <v>8734</v>
      </c>
      <c r="G282" s="1">
        <v>6</v>
      </c>
      <c r="H282" s="1" t="s">
        <v>231</v>
      </c>
      <c r="I282" s="1" t="str">
        <f>("1104270198")</f>
        <v>1104270198</v>
      </c>
    </row>
    <row r="283" spans="1:10" x14ac:dyDescent="0.45">
      <c r="A283" s="2" t="str">
        <f t="shared" si="4"/>
        <v>Ｓｈｙｎｔ　ＦＣ_5</v>
      </c>
      <c r="B283" s="1" t="s">
        <v>4997</v>
      </c>
      <c r="C283" s="1" t="str">
        <f>("5")</f>
        <v>5</v>
      </c>
      <c r="D283" s="1" t="s">
        <v>210</v>
      </c>
      <c r="E283" s="1" t="s">
        <v>8735</v>
      </c>
      <c r="F283" s="1" t="s">
        <v>8736</v>
      </c>
      <c r="G283" s="1">
        <v>6</v>
      </c>
      <c r="H283" s="1" t="s">
        <v>231</v>
      </c>
      <c r="I283" s="1" t="str">
        <f>("1104110183")</f>
        <v>1104110183</v>
      </c>
    </row>
    <row r="284" spans="1:10" x14ac:dyDescent="0.45">
      <c r="A284" s="2" t="str">
        <f t="shared" si="4"/>
        <v>Ｓｈｙｎｔ　ＦＣ_6</v>
      </c>
      <c r="B284" s="1" t="s">
        <v>4997</v>
      </c>
      <c r="C284" s="1" t="str">
        <f>("6")</f>
        <v>6</v>
      </c>
      <c r="D284" s="1" t="s">
        <v>208</v>
      </c>
      <c r="E284" s="1" t="s">
        <v>8737</v>
      </c>
      <c r="F284" s="1" t="s">
        <v>8738</v>
      </c>
      <c r="G284" s="1">
        <v>6</v>
      </c>
      <c r="H284" s="1" t="s">
        <v>229</v>
      </c>
      <c r="I284" s="1" t="str">
        <f>("1106020152")</f>
        <v>1106020152</v>
      </c>
    </row>
    <row r="285" spans="1:10" x14ac:dyDescent="0.45">
      <c r="A285" s="2" t="str">
        <f t="shared" si="4"/>
        <v>Ｓｈｙｎｔ　ＦＣ_8</v>
      </c>
      <c r="B285" s="1" t="s">
        <v>4997</v>
      </c>
      <c r="C285" s="1" t="str">
        <f>("8")</f>
        <v>8</v>
      </c>
      <c r="D285" s="1" t="s">
        <v>208</v>
      </c>
      <c r="E285" s="1" t="s">
        <v>8739</v>
      </c>
      <c r="F285" s="1" t="s">
        <v>8740</v>
      </c>
      <c r="G285" s="1">
        <v>6</v>
      </c>
      <c r="H285" s="1" t="s">
        <v>229</v>
      </c>
      <c r="I285" s="1" t="str">
        <f>("1104140105")</f>
        <v>1104140105</v>
      </c>
    </row>
    <row r="286" spans="1:10" x14ac:dyDescent="0.45">
      <c r="A286" s="2" t="str">
        <f t="shared" si="4"/>
        <v>Ｓｈｙｎｔ　ＦＣ_9</v>
      </c>
      <c r="B286" s="1" t="s">
        <v>4997</v>
      </c>
      <c r="C286" s="1" t="str">
        <f>("9")</f>
        <v>9</v>
      </c>
      <c r="D286" s="1" t="s">
        <v>210</v>
      </c>
      <c r="E286" s="1" t="s">
        <v>8741</v>
      </c>
      <c r="F286" s="1" t="s">
        <v>8742</v>
      </c>
      <c r="G286" s="1">
        <v>6</v>
      </c>
      <c r="H286" s="1" t="s">
        <v>229</v>
      </c>
      <c r="I286" s="1" t="str">
        <f>("1108060142")</f>
        <v>1108060142</v>
      </c>
    </row>
    <row r="287" spans="1:10" x14ac:dyDescent="0.45">
      <c r="A287" s="2" t="str">
        <f t="shared" si="4"/>
        <v>Ｓｈｙｎｔ　ＦＣ_10</v>
      </c>
      <c r="B287" s="1" t="s">
        <v>4997</v>
      </c>
      <c r="C287" s="1" t="str">
        <f>("10")</f>
        <v>10</v>
      </c>
      <c r="D287" s="1" t="s">
        <v>209</v>
      </c>
      <c r="E287" s="1" t="s">
        <v>8743</v>
      </c>
      <c r="F287" s="1" t="s">
        <v>8744</v>
      </c>
      <c r="G287" s="1">
        <v>6</v>
      </c>
      <c r="H287" s="1" t="s">
        <v>229</v>
      </c>
      <c r="I287" s="1" t="str">
        <f>("1105270165")</f>
        <v>1105270165</v>
      </c>
      <c r="J287" s="1" t="s">
        <v>1858</v>
      </c>
    </row>
    <row r="288" spans="1:10" x14ac:dyDescent="0.45">
      <c r="A288" s="2" t="str">
        <f t="shared" si="4"/>
        <v>Ｓｈｙｎｔ　ＦＣ_11</v>
      </c>
      <c r="B288" s="1" t="s">
        <v>4997</v>
      </c>
      <c r="C288" s="1" t="str">
        <f>("11")</f>
        <v>11</v>
      </c>
      <c r="D288" s="1" t="s">
        <v>210</v>
      </c>
      <c r="E288" s="1" t="s">
        <v>8745</v>
      </c>
      <c r="F288" s="1" t="s">
        <v>8746</v>
      </c>
      <c r="G288" s="1">
        <v>5</v>
      </c>
      <c r="H288" s="1" t="s">
        <v>229</v>
      </c>
      <c r="I288" s="1" t="str">
        <f>("1210270136")</f>
        <v>1210270136</v>
      </c>
    </row>
    <row r="289" spans="1:10" x14ac:dyDescent="0.45">
      <c r="A289" s="2" t="str">
        <f t="shared" si="4"/>
        <v>Ｓｈｙｎｔ　ＦＣ_12</v>
      </c>
      <c r="B289" s="1" t="s">
        <v>4997</v>
      </c>
      <c r="C289" s="1" t="str">
        <f>("12")</f>
        <v>12</v>
      </c>
      <c r="D289" s="1" t="s">
        <v>209</v>
      </c>
      <c r="E289" s="1" t="s">
        <v>8747</v>
      </c>
      <c r="F289" s="1" t="s">
        <v>8748</v>
      </c>
      <c r="G289" s="1">
        <v>5</v>
      </c>
      <c r="H289" s="1" t="s">
        <v>229</v>
      </c>
      <c r="I289" s="1" t="str">
        <f>("1302180122")</f>
        <v>1302180122</v>
      </c>
    </row>
    <row r="290" spans="1:10" x14ac:dyDescent="0.45">
      <c r="A290" s="2" t="str">
        <f t="shared" si="4"/>
        <v>Ｓｈｙｎｔ　ＦＣ_13</v>
      </c>
      <c r="B290" s="1" t="s">
        <v>4997</v>
      </c>
      <c r="C290" s="1" t="str">
        <f>("13")</f>
        <v>13</v>
      </c>
      <c r="D290" s="1" t="s">
        <v>209</v>
      </c>
      <c r="E290" s="1" t="s">
        <v>8749</v>
      </c>
      <c r="F290" s="1" t="s">
        <v>8750</v>
      </c>
      <c r="G290" s="1">
        <v>5</v>
      </c>
      <c r="H290" s="1" t="s">
        <v>229</v>
      </c>
      <c r="I290" s="1" t="str">
        <f>("1212230107")</f>
        <v>1212230107</v>
      </c>
    </row>
    <row r="291" spans="1:10" x14ac:dyDescent="0.45">
      <c r="A291" s="2" t="str">
        <f t="shared" si="4"/>
        <v>Ｓｈｙｎｔ　ＦＣ_15</v>
      </c>
      <c r="B291" s="1" t="s">
        <v>4997</v>
      </c>
      <c r="C291" s="1" t="str">
        <f>("15")</f>
        <v>15</v>
      </c>
      <c r="D291" s="1" t="s">
        <v>209</v>
      </c>
      <c r="E291" s="1" t="s">
        <v>8751</v>
      </c>
      <c r="F291" s="1" t="s">
        <v>8752</v>
      </c>
      <c r="G291" s="1">
        <v>6</v>
      </c>
      <c r="H291" s="1" t="s">
        <v>229</v>
      </c>
      <c r="I291" s="1" t="str">
        <f>("1106260181")</f>
        <v>1106260181</v>
      </c>
    </row>
    <row r="292" spans="1:10" x14ac:dyDescent="0.45">
      <c r="A292" s="2" t="str">
        <f t="shared" si="4"/>
        <v>和田少年サッカークラブ_1</v>
      </c>
      <c r="B292" s="1" t="s">
        <v>4998</v>
      </c>
      <c r="C292" s="1" t="str">
        <f>("1")</f>
        <v>1</v>
      </c>
      <c r="D292" s="1" t="s">
        <v>207</v>
      </c>
      <c r="E292" s="1" t="s">
        <v>8753</v>
      </c>
      <c r="F292" s="1" t="s">
        <v>8754</v>
      </c>
      <c r="G292" s="1">
        <v>5</v>
      </c>
      <c r="H292" s="1" t="s">
        <v>229</v>
      </c>
      <c r="I292" s="1" t="str">
        <f>("1206140026")</f>
        <v>1206140026</v>
      </c>
    </row>
    <row r="293" spans="1:10" x14ac:dyDescent="0.45">
      <c r="A293" s="2" t="str">
        <f t="shared" si="4"/>
        <v>和田少年サッカークラブ_2</v>
      </c>
      <c r="B293" s="1" t="s">
        <v>4998</v>
      </c>
      <c r="C293" s="1" t="str">
        <f>("2")</f>
        <v>2</v>
      </c>
      <c r="D293" s="1" t="s">
        <v>210</v>
      </c>
      <c r="E293" s="1" t="s">
        <v>6083</v>
      </c>
      <c r="F293" s="1" t="s">
        <v>6084</v>
      </c>
      <c r="G293" s="1">
        <v>6</v>
      </c>
      <c r="H293" s="1" t="s">
        <v>229</v>
      </c>
      <c r="I293" s="1" t="str">
        <f>("1108140067")</f>
        <v>1108140067</v>
      </c>
    </row>
    <row r="294" spans="1:10" x14ac:dyDescent="0.45">
      <c r="A294" s="2" t="str">
        <f t="shared" si="4"/>
        <v>和田少年サッカークラブ_3</v>
      </c>
      <c r="B294" s="1" t="s">
        <v>4998</v>
      </c>
      <c r="C294" s="1" t="str">
        <f>("3")</f>
        <v>3</v>
      </c>
      <c r="D294" s="1" t="s">
        <v>208</v>
      </c>
      <c r="E294" s="1" t="s">
        <v>5146</v>
      </c>
      <c r="F294" s="1" t="s">
        <v>5147</v>
      </c>
      <c r="G294" s="1">
        <v>6</v>
      </c>
      <c r="H294" s="1" t="s">
        <v>229</v>
      </c>
      <c r="I294" s="1" t="str">
        <f>("1110080009")</f>
        <v>1110080009</v>
      </c>
    </row>
    <row r="295" spans="1:10" x14ac:dyDescent="0.45">
      <c r="A295" s="2" t="str">
        <f t="shared" si="4"/>
        <v>和田少年サッカークラブ_4</v>
      </c>
      <c r="B295" s="1" t="s">
        <v>4998</v>
      </c>
      <c r="C295" s="1" t="str">
        <f>("4")</f>
        <v>4</v>
      </c>
      <c r="D295" s="1" t="s">
        <v>208</v>
      </c>
      <c r="E295" s="1" t="s">
        <v>8755</v>
      </c>
      <c r="F295" s="1" t="s">
        <v>8756</v>
      </c>
      <c r="G295" s="1">
        <v>5</v>
      </c>
      <c r="H295" s="1" t="s">
        <v>229</v>
      </c>
      <c r="I295" s="1" t="str">
        <f>("1205100193")</f>
        <v>1205100193</v>
      </c>
    </row>
    <row r="296" spans="1:10" x14ac:dyDescent="0.45">
      <c r="A296" s="2" t="str">
        <f t="shared" si="4"/>
        <v>和田少年サッカークラブ_5</v>
      </c>
      <c r="B296" s="1" t="s">
        <v>4998</v>
      </c>
      <c r="C296" s="1" t="str">
        <f>("5")</f>
        <v>5</v>
      </c>
      <c r="D296" s="1" t="s">
        <v>209</v>
      </c>
      <c r="E296" s="1" t="s">
        <v>6089</v>
      </c>
      <c r="F296" s="1" t="s">
        <v>6090</v>
      </c>
      <c r="G296" s="1">
        <v>5</v>
      </c>
      <c r="H296" s="1" t="s">
        <v>229</v>
      </c>
      <c r="I296" s="1" t="str">
        <f>("1212220007")</f>
        <v>1212220007</v>
      </c>
    </row>
    <row r="297" spans="1:10" x14ac:dyDescent="0.45">
      <c r="A297" s="2" t="str">
        <f t="shared" si="4"/>
        <v>和田少年サッカークラブ_6</v>
      </c>
      <c r="B297" s="1" t="s">
        <v>4998</v>
      </c>
      <c r="C297" s="1" t="str">
        <f>("6")</f>
        <v>6</v>
      </c>
      <c r="D297" s="1" t="s">
        <v>208</v>
      </c>
      <c r="E297" s="1" t="s">
        <v>5152</v>
      </c>
      <c r="F297" s="1" t="s">
        <v>5153</v>
      </c>
      <c r="G297" s="1">
        <v>6</v>
      </c>
      <c r="H297" s="1" t="s">
        <v>229</v>
      </c>
      <c r="I297" s="1" t="str">
        <f>("1201220004")</f>
        <v>1201220004</v>
      </c>
    </row>
    <row r="298" spans="1:10" x14ac:dyDescent="0.45">
      <c r="A298" s="2" t="str">
        <f t="shared" si="4"/>
        <v>和田少年サッカークラブ_7</v>
      </c>
      <c r="B298" s="1" t="s">
        <v>4998</v>
      </c>
      <c r="C298" s="1" t="str">
        <f>("7")</f>
        <v>7</v>
      </c>
      <c r="D298" s="1" t="s">
        <v>209</v>
      </c>
      <c r="E298" s="1" t="s">
        <v>5148</v>
      </c>
      <c r="F298" s="1" t="s">
        <v>5149</v>
      </c>
      <c r="G298" s="1">
        <v>6</v>
      </c>
      <c r="H298" s="1" t="s">
        <v>229</v>
      </c>
      <c r="I298" s="1" t="str">
        <f>("1105230105")</f>
        <v>1105230105</v>
      </c>
    </row>
    <row r="299" spans="1:10" x14ac:dyDescent="0.45">
      <c r="A299" s="2" t="str">
        <f t="shared" si="4"/>
        <v>和田少年サッカークラブ_8</v>
      </c>
      <c r="B299" s="1" t="s">
        <v>4998</v>
      </c>
      <c r="C299" s="1" t="str">
        <f>("8")</f>
        <v>8</v>
      </c>
      <c r="D299" s="1" t="s">
        <v>209</v>
      </c>
      <c r="E299" s="1" t="s">
        <v>6081</v>
      </c>
      <c r="F299" s="1" t="s">
        <v>6082</v>
      </c>
      <c r="G299" s="1">
        <v>6</v>
      </c>
      <c r="H299" s="1" t="s">
        <v>229</v>
      </c>
      <c r="I299" s="1" t="str">
        <f>("1108200076")</f>
        <v>1108200076</v>
      </c>
    </row>
    <row r="300" spans="1:10" x14ac:dyDescent="0.45">
      <c r="A300" s="2" t="str">
        <f t="shared" si="4"/>
        <v>和田少年サッカークラブ_9</v>
      </c>
      <c r="B300" s="1" t="s">
        <v>4998</v>
      </c>
      <c r="C300" s="1" t="str">
        <f>("9")</f>
        <v>9</v>
      </c>
      <c r="D300" s="1" t="s">
        <v>208</v>
      </c>
      <c r="E300" s="1" t="s">
        <v>5150</v>
      </c>
      <c r="F300" s="1" t="s">
        <v>5151</v>
      </c>
      <c r="G300" s="1">
        <v>6</v>
      </c>
      <c r="H300" s="1" t="s">
        <v>229</v>
      </c>
      <c r="I300" s="1" t="str">
        <f>("1106150091")</f>
        <v>1106150091</v>
      </c>
      <c r="J300" s="1" t="s">
        <v>1858</v>
      </c>
    </row>
    <row r="301" spans="1:10" x14ac:dyDescent="0.45">
      <c r="A301" s="2" t="str">
        <f t="shared" si="4"/>
        <v>和田少年サッカークラブ_10</v>
      </c>
      <c r="B301" s="1" t="s">
        <v>4998</v>
      </c>
      <c r="C301" s="1" t="str">
        <f>("10")</f>
        <v>10</v>
      </c>
      <c r="D301" s="1" t="s">
        <v>210</v>
      </c>
      <c r="E301" s="1" t="s">
        <v>6085</v>
      </c>
      <c r="F301" s="1" t="s">
        <v>6086</v>
      </c>
      <c r="G301" s="1">
        <v>6</v>
      </c>
      <c r="H301" s="1" t="s">
        <v>229</v>
      </c>
      <c r="I301" s="1" t="str">
        <f>("1108030036")</f>
        <v>1108030036</v>
      </c>
    </row>
    <row r="302" spans="1:10" x14ac:dyDescent="0.45">
      <c r="A302" s="2" t="str">
        <f t="shared" si="4"/>
        <v>和田少年サッカークラブ_11</v>
      </c>
      <c r="B302" s="1" t="s">
        <v>4998</v>
      </c>
      <c r="C302" s="1" t="str">
        <f>("11")</f>
        <v>11</v>
      </c>
      <c r="D302" s="1" t="s">
        <v>209</v>
      </c>
      <c r="E302" s="1" t="s">
        <v>6087</v>
      </c>
      <c r="F302" s="1" t="s">
        <v>6088</v>
      </c>
      <c r="G302" s="1">
        <v>5</v>
      </c>
      <c r="H302" s="1" t="s">
        <v>229</v>
      </c>
      <c r="I302" s="1" t="str">
        <f>("1301080114")</f>
        <v>1301080114</v>
      </c>
    </row>
    <row r="303" spans="1:10" x14ac:dyDescent="0.45">
      <c r="A303" s="2" t="str">
        <f t="shared" si="4"/>
        <v>和田少年サッカークラブ_13</v>
      </c>
      <c r="B303" s="1" t="s">
        <v>4998</v>
      </c>
      <c r="C303" s="1" t="str">
        <f>("13")</f>
        <v>13</v>
      </c>
      <c r="D303" s="1" t="s">
        <v>209</v>
      </c>
      <c r="E303" s="1" t="s">
        <v>8757</v>
      </c>
      <c r="F303" s="1" t="s">
        <v>8758</v>
      </c>
      <c r="G303" s="1">
        <v>5</v>
      </c>
      <c r="H303" s="1" t="s">
        <v>229</v>
      </c>
      <c r="I303" s="1" t="str">
        <f>("1209190180")</f>
        <v>1209190180</v>
      </c>
    </row>
    <row r="304" spans="1:10" x14ac:dyDescent="0.45">
      <c r="A304" s="2" t="str">
        <f t="shared" si="4"/>
        <v>和田少年サッカークラブ_14</v>
      </c>
      <c r="B304" s="1" t="s">
        <v>4998</v>
      </c>
      <c r="C304" s="1" t="str">
        <f>("14")</f>
        <v>14</v>
      </c>
      <c r="D304" s="1" t="s">
        <v>208</v>
      </c>
      <c r="E304" s="1" t="s">
        <v>8759</v>
      </c>
      <c r="F304" s="1" t="s">
        <v>8760</v>
      </c>
      <c r="G304" s="1">
        <v>5</v>
      </c>
      <c r="H304" s="1" t="s">
        <v>229</v>
      </c>
      <c r="I304" s="1" t="str">
        <f>("1301220111")</f>
        <v>1301220111</v>
      </c>
    </row>
    <row r="305" spans="1:10" x14ac:dyDescent="0.45">
      <c r="A305" s="2" t="str">
        <f t="shared" si="4"/>
        <v>和田少年サッカークラブ_16</v>
      </c>
      <c r="B305" s="1" t="s">
        <v>4998</v>
      </c>
      <c r="C305" s="1" t="str">
        <f>("16")</f>
        <v>16</v>
      </c>
      <c r="D305" s="1" t="s">
        <v>210</v>
      </c>
      <c r="E305" s="1" t="s">
        <v>8761</v>
      </c>
      <c r="F305" s="1" t="s">
        <v>8762</v>
      </c>
      <c r="G305" s="1">
        <v>4</v>
      </c>
      <c r="H305" s="1" t="s">
        <v>231</v>
      </c>
      <c r="I305" s="1" t="str">
        <f>("1308230005")</f>
        <v>1308230005</v>
      </c>
    </row>
    <row r="306" spans="1:10" x14ac:dyDescent="0.45">
      <c r="A306" s="2" t="str">
        <f t="shared" si="4"/>
        <v>和田少年サッカークラブ_17</v>
      </c>
      <c r="B306" s="1" t="s">
        <v>4998</v>
      </c>
      <c r="C306" s="1" t="str">
        <f>("17")</f>
        <v>17</v>
      </c>
      <c r="D306" s="1" t="s">
        <v>209</v>
      </c>
      <c r="E306" s="1" t="s">
        <v>8763</v>
      </c>
      <c r="F306" s="1" t="s">
        <v>8764</v>
      </c>
      <c r="G306" s="1">
        <v>4</v>
      </c>
      <c r="H306" s="1" t="s">
        <v>229</v>
      </c>
      <c r="I306" s="1" t="str">
        <f>("1305190008")</f>
        <v>1305190008</v>
      </c>
    </row>
    <row r="307" spans="1:10" x14ac:dyDescent="0.45">
      <c r="A307" s="2" t="str">
        <f t="shared" si="4"/>
        <v>和田少年サッカークラブ_18</v>
      </c>
      <c r="B307" s="1" t="s">
        <v>4998</v>
      </c>
      <c r="C307" s="1" t="str">
        <f>("18")</f>
        <v>18</v>
      </c>
      <c r="D307" s="1" t="s">
        <v>208</v>
      </c>
      <c r="E307" s="1" t="s">
        <v>8765</v>
      </c>
      <c r="F307" s="1" t="s">
        <v>8766</v>
      </c>
      <c r="G307" s="1">
        <v>4</v>
      </c>
      <c r="H307" s="1" t="s">
        <v>231</v>
      </c>
      <c r="I307" s="1" t="str">
        <f>("1304240023")</f>
        <v>1304240023</v>
      </c>
    </row>
    <row r="308" spans="1:10" x14ac:dyDescent="0.45">
      <c r="A308" s="2" t="str">
        <f t="shared" si="4"/>
        <v>下毛ＦＣ_1</v>
      </c>
      <c r="B308" s="1" t="s">
        <v>4999</v>
      </c>
      <c r="C308" s="1" t="str">
        <f>("1")</f>
        <v>1</v>
      </c>
      <c r="D308" s="1" t="s">
        <v>207</v>
      </c>
      <c r="E308" s="1" t="s">
        <v>5154</v>
      </c>
      <c r="F308" s="1" t="s">
        <v>5155</v>
      </c>
      <c r="G308" s="1">
        <v>6</v>
      </c>
      <c r="H308" s="1" t="s">
        <v>229</v>
      </c>
      <c r="I308" s="1" t="str">
        <f>("1203240015")</f>
        <v>1203240015</v>
      </c>
    </row>
    <row r="309" spans="1:10" x14ac:dyDescent="0.45">
      <c r="A309" s="2" t="str">
        <f t="shared" si="4"/>
        <v>下毛ＦＣ_2</v>
      </c>
      <c r="B309" s="1" t="s">
        <v>4999</v>
      </c>
      <c r="C309" s="1" t="str">
        <f>("2")</f>
        <v>2</v>
      </c>
      <c r="D309" s="1" t="s">
        <v>208</v>
      </c>
      <c r="E309" s="1" t="s">
        <v>8767</v>
      </c>
      <c r="F309" s="1" t="s">
        <v>8768</v>
      </c>
      <c r="G309" s="1">
        <v>4</v>
      </c>
      <c r="H309" s="1" t="s">
        <v>231</v>
      </c>
      <c r="I309" s="1" t="str">
        <f>("1402240054")</f>
        <v>1402240054</v>
      </c>
    </row>
    <row r="310" spans="1:10" x14ac:dyDescent="0.45">
      <c r="A310" s="2" t="str">
        <f t="shared" si="4"/>
        <v>下毛ＦＣ_3</v>
      </c>
      <c r="B310" s="1" t="s">
        <v>4999</v>
      </c>
      <c r="C310" s="1" t="str">
        <f>("3")</f>
        <v>3</v>
      </c>
      <c r="D310" s="1" t="s">
        <v>208</v>
      </c>
      <c r="E310" s="1" t="s">
        <v>8769</v>
      </c>
      <c r="F310" s="1" t="s">
        <v>8770</v>
      </c>
      <c r="G310" s="1">
        <v>4</v>
      </c>
      <c r="H310" s="1" t="s">
        <v>229</v>
      </c>
      <c r="I310" s="1" t="str">
        <f>("1312200084")</f>
        <v>1312200084</v>
      </c>
    </row>
    <row r="311" spans="1:10" x14ac:dyDescent="0.45">
      <c r="A311" s="2" t="str">
        <f t="shared" si="4"/>
        <v>下毛ＦＣ_4</v>
      </c>
      <c r="B311" s="1" t="s">
        <v>4999</v>
      </c>
      <c r="C311" s="1" t="str">
        <f>("4")</f>
        <v>4</v>
      </c>
      <c r="D311" s="1" t="s">
        <v>208</v>
      </c>
      <c r="E311" s="1" t="s">
        <v>6097</v>
      </c>
      <c r="F311" s="1" t="s">
        <v>6098</v>
      </c>
      <c r="G311" s="1">
        <v>5</v>
      </c>
      <c r="H311" s="1" t="s">
        <v>229</v>
      </c>
      <c r="I311" s="1" t="str">
        <f>("1209280158")</f>
        <v>1209280158</v>
      </c>
    </row>
    <row r="312" spans="1:10" x14ac:dyDescent="0.45">
      <c r="A312" s="2" t="str">
        <f t="shared" si="4"/>
        <v>下毛ＦＣ_5</v>
      </c>
      <c r="B312" s="1" t="s">
        <v>4999</v>
      </c>
      <c r="C312" s="1" t="str">
        <f>("5")</f>
        <v>5</v>
      </c>
      <c r="D312" s="1" t="s">
        <v>209</v>
      </c>
      <c r="E312" s="1" t="s">
        <v>8771</v>
      </c>
      <c r="F312" s="1" t="s">
        <v>8772</v>
      </c>
      <c r="G312" s="1">
        <v>4</v>
      </c>
      <c r="H312" s="1" t="s">
        <v>229</v>
      </c>
      <c r="I312" s="1" t="str">
        <f>("1309150064")</f>
        <v>1309150064</v>
      </c>
    </row>
    <row r="313" spans="1:10" x14ac:dyDescent="0.45">
      <c r="A313" s="2" t="str">
        <f t="shared" si="4"/>
        <v>下毛ＦＣ_6</v>
      </c>
      <c r="B313" s="1" t="s">
        <v>4999</v>
      </c>
      <c r="C313" s="1" t="str">
        <f>("6")</f>
        <v>6</v>
      </c>
      <c r="D313" s="1" t="s">
        <v>209</v>
      </c>
      <c r="E313" s="1" t="s">
        <v>6095</v>
      </c>
      <c r="F313" s="1" t="s">
        <v>6096</v>
      </c>
      <c r="G313" s="1">
        <v>5</v>
      </c>
      <c r="H313" s="1" t="s">
        <v>229</v>
      </c>
      <c r="I313" s="1" t="str">
        <f>("1204030189")</f>
        <v>1204030189</v>
      </c>
    </row>
    <row r="314" spans="1:10" x14ac:dyDescent="0.45">
      <c r="A314" s="2" t="str">
        <f t="shared" si="4"/>
        <v>下毛ＦＣ_7</v>
      </c>
      <c r="B314" s="1" t="s">
        <v>4999</v>
      </c>
      <c r="C314" s="1" t="str">
        <f>("7")</f>
        <v>7</v>
      </c>
      <c r="D314" s="1" t="s">
        <v>208</v>
      </c>
      <c r="E314" s="1" t="s">
        <v>6091</v>
      </c>
      <c r="F314" s="1" t="s">
        <v>6092</v>
      </c>
      <c r="G314" s="1">
        <v>6</v>
      </c>
      <c r="H314" s="1" t="s">
        <v>229</v>
      </c>
      <c r="I314" s="1" t="str">
        <f>("1105280164")</f>
        <v>1105280164</v>
      </c>
    </row>
    <row r="315" spans="1:10" x14ac:dyDescent="0.45">
      <c r="A315" s="2" t="str">
        <f t="shared" si="4"/>
        <v>下毛ＦＣ_8</v>
      </c>
      <c r="B315" s="1" t="s">
        <v>4999</v>
      </c>
      <c r="C315" s="1" t="str">
        <f>("8")</f>
        <v>8</v>
      </c>
      <c r="D315" s="1" t="s">
        <v>210</v>
      </c>
      <c r="E315" s="1" t="s">
        <v>8773</v>
      </c>
      <c r="F315" s="1" t="s">
        <v>8774</v>
      </c>
      <c r="G315" s="1">
        <v>5</v>
      </c>
      <c r="H315" s="1" t="s">
        <v>229</v>
      </c>
      <c r="I315" s="1" t="str">
        <f>("1303300095")</f>
        <v>1303300095</v>
      </c>
    </row>
    <row r="316" spans="1:10" x14ac:dyDescent="0.45">
      <c r="A316" s="2" t="str">
        <f t="shared" si="4"/>
        <v>下毛ＦＣ_9</v>
      </c>
      <c r="B316" s="1" t="s">
        <v>4999</v>
      </c>
      <c r="C316" s="1" t="str">
        <f>("9")</f>
        <v>9</v>
      </c>
      <c r="D316" s="1" t="s">
        <v>210</v>
      </c>
      <c r="E316" s="1" t="s">
        <v>6093</v>
      </c>
      <c r="F316" s="1" t="s">
        <v>6094</v>
      </c>
      <c r="G316" s="1">
        <v>5</v>
      </c>
      <c r="H316" s="1" t="s">
        <v>229</v>
      </c>
      <c r="I316" s="1" t="str">
        <f>("1204170187")</f>
        <v>1204170187</v>
      </c>
    </row>
    <row r="317" spans="1:10" x14ac:dyDescent="0.45">
      <c r="A317" s="2" t="str">
        <f t="shared" si="4"/>
        <v>下毛ＦＣ_10</v>
      </c>
      <c r="B317" s="1" t="s">
        <v>4999</v>
      </c>
      <c r="C317" s="1" t="str">
        <f>("10")</f>
        <v>10</v>
      </c>
      <c r="D317" s="1" t="s">
        <v>209</v>
      </c>
      <c r="E317" s="1" t="s">
        <v>5156</v>
      </c>
      <c r="F317" s="1" t="s">
        <v>5157</v>
      </c>
      <c r="G317" s="1">
        <v>6</v>
      </c>
      <c r="H317" s="1" t="s">
        <v>229</v>
      </c>
      <c r="I317" s="1" t="str">
        <f>("1202260009")</f>
        <v>1202260009</v>
      </c>
      <c r="J317" s="1" t="s">
        <v>1858</v>
      </c>
    </row>
    <row r="318" spans="1:10" x14ac:dyDescent="0.45">
      <c r="A318" s="2" t="str">
        <f t="shared" si="4"/>
        <v>下毛ＦＣ_11</v>
      </c>
      <c r="B318" s="1" t="s">
        <v>4999</v>
      </c>
      <c r="C318" s="1" t="str">
        <f>("11")</f>
        <v>11</v>
      </c>
      <c r="D318" s="1" t="s">
        <v>209</v>
      </c>
      <c r="E318" s="1" t="s">
        <v>8775</v>
      </c>
      <c r="F318" s="1" t="s">
        <v>8776</v>
      </c>
      <c r="G318" s="1">
        <v>4</v>
      </c>
      <c r="H318" s="1" t="s">
        <v>229</v>
      </c>
      <c r="I318" s="1" t="str">
        <f>("1401130057")</f>
        <v>1401130057</v>
      </c>
    </row>
    <row r="319" spans="1:10" x14ac:dyDescent="0.45">
      <c r="A319" s="2" t="str">
        <f t="shared" si="4"/>
        <v>下毛ＦＣ_12</v>
      </c>
      <c r="B319" s="1" t="s">
        <v>4999</v>
      </c>
      <c r="C319" s="1" t="str">
        <f>("12")</f>
        <v>12</v>
      </c>
      <c r="D319" s="1" t="s">
        <v>208</v>
      </c>
      <c r="E319" s="1" t="s">
        <v>8777</v>
      </c>
      <c r="F319" s="1" t="s">
        <v>8778</v>
      </c>
      <c r="G319" s="1">
        <v>3</v>
      </c>
      <c r="H319" s="1" t="s">
        <v>229</v>
      </c>
      <c r="I319" s="1" t="str">
        <f>("1409130059")</f>
        <v>1409130059</v>
      </c>
    </row>
    <row r="320" spans="1:10" x14ac:dyDescent="0.45">
      <c r="A320" s="2" t="str">
        <f t="shared" si="4"/>
        <v>中津豊南ＦＣ_1</v>
      </c>
      <c r="B320" s="1" t="s">
        <v>5000</v>
      </c>
      <c r="C320" s="1" t="str">
        <f>("1")</f>
        <v>1</v>
      </c>
      <c r="D320" s="1" t="s">
        <v>207</v>
      </c>
      <c r="E320" s="1" t="s">
        <v>6113</v>
      </c>
      <c r="F320" s="1" t="s">
        <v>6114</v>
      </c>
      <c r="G320" s="1">
        <v>5</v>
      </c>
      <c r="H320" s="1" t="s">
        <v>229</v>
      </c>
      <c r="I320" s="1" t="str">
        <f>("1207250167")</f>
        <v>1207250167</v>
      </c>
    </row>
    <row r="321" spans="1:10" x14ac:dyDescent="0.45">
      <c r="A321" s="2" t="str">
        <f t="shared" ref="A321:A384" si="5">CONCATENATE(B321,"_",C321)</f>
        <v>中津豊南ＦＣ_2</v>
      </c>
      <c r="B321" s="1" t="s">
        <v>5000</v>
      </c>
      <c r="C321" s="1" t="str">
        <f>("2")</f>
        <v>2</v>
      </c>
      <c r="D321" s="1" t="s">
        <v>209</v>
      </c>
      <c r="E321" s="1" t="s">
        <v>6115</v>
      </c>
      <c r="F321" s="1" t="s">
        <v>6116</v>
      </c>
      <c r="G321" s="1">
        <v>5</v>
      </c>
      <c r="H321" s="1" t="s">
        <v>231</v>
      </c>
      <c r="I321" s="1" t="str">
        <f>("1209010119")</f>
        <v>1209010119</v>
      </c>
    </row>
    <row r="322" spans="1:10" x14ac:dyDescent="0.45">
      <c r="A322" s="2" t="str">
        <f t="shared" si="5"/>
        <v>中津豊南ＦＣ_3</v>
      </c>
      <c r="B322" s="1" t="s">
        <v>5000</v>
      </c>
      <c r="C322" s="1" t="str">
        <f>("3")</f>
        <v>3</v>
      </c>
      <c r="D322" s="1" t="s">
        <v>208</v>
      </c>
      <c r="E322" s="1" t="s">
        <v>5158</v>
      </c>
      <c r="F322" s="1" t="s">
        <v>5159</v>
      </c>
      <c r="G322" s="1">
        <v>6</v>
      </c>
      <c r="H322" s="1" t="s">
        <v>229</v>
      </c>
      <c r="I322" s="1" t="str">
        <f>("1110170124")</f>
        <v>1110170124</v>
      </c>
    </row>
    <row r="323" spans="1:10" x14ac:dyDescent="0.45">
      <c r="A323" s="2" t="str">
        <f t="shared" si="5"/>
        <v>中津豊南ＦＣ_4</v>
      </c>
      <c r="B323" s="1" t="s">
        <v>5000</v>
      </c>
      <c r="C323" s="1" t="str">
        <f>("4")</f>
        <v>4</v>
      </c>
      <c r="D323" s="1" t="s">
        <v>208</v>
      </c>
      <c r="E323" s="1" t="s">
        <v>8779</v>
      </c>
      <c r="F323" s="1" t="s">
        <v>8780</v>
      </c>
      <c r="G323" s="1">
        <v>6</v>
      </c>
      <c r="H323" s="1" t="s">
        <v>229</v>
      </c>
      <c r="I323" s="1" t="str">
        <f>("1108050130")</f>
        <v>1108050130</v>
      </c>
    </row>
    <row r="324" spans="1:10" x14ac:dyDescent="0.45">
      <c r="A324" s="2" t="str">
        <f t="shared" si="5"/>
        <v>中津豊南ＦＣ_5</v>
      </c>
      <c r="B324" s="1" t="s">
        <v>5000</v>
      </c>
      <c r="C324" s="1" t="str">
        <f>("5")</f>
        <v>5</v>
      </c>
      <c r="D324" s="1" t="s">
        <v>209</v>
      </c>
      <c r="E324" s="1" t="s">
        <v>6109</v>
      </c>
      <c r="F324" s="1" t="s">
        <v>6110</v>
      </c>
      <c r="G324" s="1">
        <v>6</v>
      </c>
      <c r="H324" s="1" t="s">
        <v>229</v>
      </c>
      <c r="I324" s="1" t="str">
        <f>("1104280134")</f>
        <v>1104280134</v>
      </c>
    </row>
    <row r="325" spans="1:10" x14ac:dyDescent="0.45">
      <c r="A325" s="2" t="str">
        <f t="shared" si="5"/>
        <v>中津豊南ＦＣ_6</v>
      </c>
      <c r="B325" s="1" t="s">
        <v>5000</v>
      </c>
      <c r="C325" s="1" t="str">
        <f>("6")</f>
        <v>6</v>
      </c>
      <c r="D325" s="1" t="s">
        <v>210</v>
      </c>
      <c r="E325" s="1" t="s">
        <v>8781</v>
      </c>
      <c r="F325" s="1" t="s">
        <v>8782</v>
      </c>
      <c r="G325" s="1">
        <v>6</v>
      </c>
      <c r="H325" s="1" t="s">
        <v>229</v>
      </c>
      <c r="I325" s="1" t="str">
        <f>("1203020207")</f>
        <v>1203020207</v>
      </c>
    </row>
    <row r="326" spans="1:10" x14ac:dyDescent="0.45">
      <c r="A326" s="2" t="str">
        <f t="shared" si="5"/>
        <v>中津豊南ＦＣ_7</v>
      </c>
      <c r="B326" s="1" t="s">
        <v>5000</v>
      </c>
      <c r="C326" s="1" t="str">
        <f>("7")</f>
        <v>7</v>
      </c>
      <c r="D326" s="1" t="s">
        <v>209</v>
      </c>
      <c r="E326" s="1" t="s">
        <v>6105</v>
      </c>
      <c r="F326" s="1" t="s">
        <v>6106</v>
      </c>
      <c r="G326" s="1">
        <v>6</v>
      </c>
      <c r="H326" s="1" t="s">
        <v>229</v>
      </c>
      <c r="I326" s="1" t="str">
        <f>("1201100087")</f>
        <v>1201100087</v>
      </c>
    </row>
    <row r="327" spans="1:10" x14ac:dyDescent="0.45">
      <c r="A327" s="2" t="str">
        <f t="shared" si="5"/>
        <v>中津豊南ＦＣ_8</v>
      </c>
      <c r="B327" s="1" t="s">
        <v>5000</v>
      </c>
      <c r="C327" s="1" t="str">
        <f>("8")</f>
        <v>8</v>
      </c>
      <c r="D327" s="1" t="s">
        <v>210</v>
      </c>
      <c r="E327" s="1" t="s">
        <v>6101</v>
      </c>
      <c r="F327" s="1" t="s">
        <v>6102</v>
      </c>
      <c r="G327" s="1">
        <v>6</v>
      </c>
      <c r="H327" s="1" t="s">
        <v>231</v>
      </c>
      <c r="I327" s="1" t="str">
        <f>("1201100119")</f>
        <v>1201100119</v>
      </c>
    </row>
    <row r="328" spans="1:10" x14ac:dyDescent="0.45">
      <c r="A328" s="2" t="str">
        <f t="shared" si="5"/>
        <v>中津豊南ＦＣ_9</v>
      </c>
      <c r="B328" s="1" t="s">
        <v>5000</v>
      </c>
      <c r="C328" s="1" t="str">
        <f>("9")</f>
        <v>9</v>
      </c>
      <c r="D328" s="1" t="s">
        <v>210</v>
      </c>
      <c r="E328" s="1" t="s">
        <v>6099</v>
      </c>
      <c r="F328" s="1" t="s">
        <v>6100</v>
      </c>
      <c r="G328" s="1">
        <v>5</v>
      </c>
      <c r="H328" s="1" t="s">
        <v>229</v>
      </c>
      <c r="I328" s="1" t="str">
        <f>("1303250126")</f>
        <v>1303250126</v>
      </c>
    </row>
    <row r="329" spans="1:10" x14ac:dyDescent="0.45">
      <c r="A329" s="2" t="str">
        <f t="shared" si="5"/>
        <v>中津豊南ＦＣ_10</v>
      </c>
      <c r="B329" s="1" t="s">
        <v>5000</v>
      </c>
      <c r="C329" s="1" t="str">
        <f>("10")</f>
        <v>10</v>
      </c>
      <c r="D329" s="1" t="s">
        <v>208</v>
      </c>
      <c r="E329" s="1" t="s">
        <v>6107</v>
      </c>
      <c r="F329" s="1" t="s">
        <v>6108</v>
      </c>
      <c r="G329" s="1">
        <v>6</v>
      </c>
      <c r="H329" s="1" t="s">
        <v>229</v>
      </c>
      <c r="I329" s="1" t="str">
        <f>("1106200133")</f>
        <v>1106200133</v>
      </c>
      <c r="J329" s="1" t="s">
        <v>1858</v>
      </c>
    </row>
    <row r="330" spans="1:10" x14ac:dyDescent="0.45">
      <c r="A330" s="2" t="str">
        <f t="shared" si="5"/>
        <v>中津豊南ＦＣ_11</v>
      </c>
      <c r="B330" s="1" t="s">
        <v>5000</v>
      </c>
      <c r="C330" s="1" t="str">
        <f>("11")</f>
        <v>11</v>
      </c>
      <c r="D330" s="1" t="s">
        <v>209</v>
      </c>
      <c r="E330" s="1" t="s">
        <v>6103</v>
      </c>
      <c r="F330" s="1" t="s">
        <v>6104</v>
      </c>
      <c r="G330" s="1">
        <v>6</v>
      </c>
      <c r="H330" s="1" t="s">
        <v>229</v>
      </c>
      <c r="I330" s="1" t="str">
        <f>("1110230069")</f>
        <v>1110230069</v>
      </c>
    </row>
    <row r="331" spans="1:10" x14ac:dyDescent="0.45">
      <c r="A331" s="2" t="str">
        <f t="shared" si="5"/>
        <v>中津豊南ＦＣ_12</v>
      </c>
      <c r="B331" s="1" t="s">
        <v>5000</v>
      </c>
      <c r="C331" s="1" t="str">
        <f>("12")</f>
        <v>12</v>
      </c>
      <c r="D331" s="1" t="s">
        <v>209</v>
      </c>
      <c r="E331" s="1" t="s">
        <v>6111</v>
      </c>
      <c r="F331" s="1" t="s">
        <v>6112</v>
      </c>
      <c r="G331" s="1">
        <v>5</v>
      </c>
      <c r="H331" s="1" t="s">
        <v>229</v>
      </c>
      <c r="I331" s="1" t="str">
        <f>("1208300129")</f>
        <v>1208300129</v>
      </c>
    </row>
    <row r="332" spans="1:10" x14ac:dyDescent="0.45">
      <c r="A332" s="2" t="str">
        <f t="shared" si="5"/>
        <v>中津豊南ＦＣ_16</v>
      </c>
      <c r="B332" s="1" t="s">
        <v>5000</v>
      </c>
      <c r="C332" s="1" t="str">
        <f>("16")</f>
        <v>16</v>
      </c>
      <c r="D332" s="1" t="s">
        <v>207</v>
      </c>
      <c r="E332" s="1" t="s">
        <v>6117</v>
      </c>
      <c r="F332" s="1" t="s">
        <v>6118</v>
      </c>
      <c r="G332" s="1">
        <v>4</v>
      </c>
      <c r="H332" s="1" t="s">
        <v>229</v>
      </c>
      <c r="I332" s="1" t="str">
        <f>("1401260053")</f>
        <v>1401260053</v>
      </c>
    </row>
    <row r="333" spans="1:10" x14ac:dyDescent="0.45">
      <c r="A333" s="2" t="str">
        <f t="shared" si="5"/>
        <v>中津沖代ジュニアサッカークラブ_1</v>
      </c>
      <c r="B333" s="1" t="s">
        <v>5836</v>
      </c>
      <c r="C333" s="1" t="str">
        <f>("1")</f>
        <v>1</v>
      </c>
      <c r="D333" s="1" t="s">
        <v>207</v>
      </c>
      <c r="E333" s="1" t="s">
        <v>6128</v>
      </c>
      <c r="F333" s="1" t="s">
        <v>6129</v>
      </c>
      <c r="G333" s="1">
        <v>6</v>
      </c>
      <c r="H333" s="1" t="s">
        <v>229</v>
      </c>
      <c r="I333" s="1" t="str">
        <f>("1104270218")</f>
        <v>1104270218</v>
      </c>
    </row>
    <row r="334" spans="1:10" x14ac:dyDescent="0.45">
      <c r="A334" s="2" t="str">
        <f t="shared" si="5"/>
        <v>中津沖代ジュニアサッカークラブ_2</v>
      </c>
      <c r="B334" s="1" t="s">
        <v>5836</v>
      </c>
      <c r="C334" s="1" t="str">
        <f>("2")</f>
        <v>2</v>
      </c>
      <c r="D334" s="1" t="s">
        <v>209</v>
      </c>
      <c r="E334" s="1" t="s">
        <v>8783</v>
      </c>
      <c r="F334" s="1" t="s">
        <v>8784</v>
      </c>
      <c r="G334" s="1">
        <v>5</v>
      </c>
      <c r="H334" s="1" t="s">
        <v>229</v>
      </c>
      <c r="I334" s="1" t="str">
        <f>("1209240114")</f>
        <v>1209240114</v>
      </c>
    </row>
    <row r="335" spans="1:10" x14ac:dyDescent="0.45">
      <c r="A335" s="2" t="str">
        <f t="shared" si="5"/>
        <v>中津沖代ジュニアサッカークラブ_3</v>
      </c>
      <c r="B335" s="1" t="s">
        <v>5836</v>
      </c>
      <c r="C335" s="1" t="str">
        <f>("3")</f>
        <v>3</v>
      </c>
      <c r="D335" s="1" t="s">
        <v>208</v>
      </c>
      <c r="E335" s="1" t="s">
        <v>8785</v>
      </c>
      <c r="F335" s="1" t="s">
        <v>8786</v>
      </c>
      <c r="G335" s="1">
        <v>5</v>
      </c>
      <c r="H335" s="1" t="s">
        <v>229</v>
      </c>
      <c r="I335" s="1" t="str">
        <f>("1303250132")</f>
        <v>1303250132</v>
      </c>
    </row>
    <row r="336" spans="1:10" x14ac:dyDescent="0.45">
      <c r="A336" s="2" t="str">
        <f t="shared" si="5"/>
        <v>中津沖代ジュニアサッカークラブ_4</v>
      </c>
      <c r="B336" s="1" t="s">
        <v>5836</v>
      </c>
      <c r="C336" s="1" t="str">
        <f>("4")</f>
        <v>4</v>
      </c>
      <c r="D336" s="1" t="s">
        <v>208</v>
      </c>
      <c r="E336" s="1" t="s">
        <v>6119</v>
      </c>
      <c r="F336" s="1" t="s">
        <v>6120</v>
      </c>
      <c r="G336" s="1">
        <v>6</v>
      </c>
      <c r="H336" s="1" t="s">
        <v>229</v>
      </c>
      <c r="I336" s="1" t="str">
        <f>("1201180088")</f>
        <v>1201180088</v>
      </c>
    </row>
    <row r="337" spans="1:10" x14ac:dyDescent="0.45">
      <c r="A337" s="2" t="str">
        <f t="shared" si="5"/>
        <v>中津沖代ジュニアサッカークラブ_5</v>
      </c>
      <c r="B337" s="1" t="s">
        <v>5836</v>
      </c>
      <c r="C337" s="1" t="str">
        <f>("5")</f>
        <v>5</v>
      </c>
      <c r="D337" s="1" t="s">
        <v>210</v>
      </c>
      <c r="E337" s="1" t="s">
        <v>8787</v>
      </c>
      <c r="F337" s="1" t="s">
        <v>8788</v>
      </c>
      <c r="G337" s="1">
        <v>6</v>
      </c>
      <c r="H337" s="1" t="s">
        <v>229</v>
      </c>
      <c r="I337" s="1" t="str">
        <f>("1108010152")</f>
        <v>1108010152</v>
      </c>
    </row>
    <row r="338" spans="1:10" x14ac:dyDescent="0.45">
      <c r="A338" s="2" t="str">
        <f t="shared" si="5"/>
        <v>中津沖代ジュニアサッカークラブ_6</v>
      </c>
      <c r="B338" s="1" t="s">
        <v>5836</v>
      </c>
      <c r="C338" s="1" t="str">
        <f>("6")</f>
        <v>6</v>
      </c>
      <c r="D338" s="1" t="s">
        <v>209</v>
      </c>
      <c r="E338" s="1" t="s">
        <v>8789</v>
      </c>
      <c r="F338" s="1" t="s">
        <v>8790</v>
      </c>
      <c r="G338" s="1">
        <v>5</v>
      </c>
      <c r="H338" s="1" t="s">
        <v>229</v>
      </c>
      <c r="I338" s="1" t="str">
        <f>("1211050079")</f>
        <v>1211050079</v>
      </c>
    </row>
    <row r="339" spans="1:10" x14ac:dyDescent="0.45">
      <c r="A339" s="2" t="str">
        <f t="shared" si="5"/>
        <v>中津沖代ジュニアサッカークラブ_7</v>
      </c>
      <c r="B339" s="1" t="s">
        <v>5836</v>
      </c>
      <c r="C339" s="1" t="str">
        <f>("7")</f>
        <v>7</v>
      </c>
      <c r="D339" s="1" t="s">
        <v>210</v>
      </c>
      <c r="E339" s="1" t="s">
        <v>8791</v>
      </c>
      <c r="F339" s="1" t="s">
        <v>8792</v>
      </c>
      <c r="G339" s="1">
        <v>5</v>
      </c>
      <c r="H339" s="1" t="s">
        <v>229</v>
      </c>
      <c r="I339" s="1" t="str">
        <f>("1209090061")</f>
        <v>1209090061</v>
      </c>
    </row>
    <row r="340" spans="1:10" x14ac:dyDescent="0.45">
      <c r="A340" s="2" t="str">
        <f t="shared" si="5"/>
        <v>中津沖代ジュニアサッカークラブ_8</v>
      </c>
      <c r="B340" s="1" t="s">
        <v>5836</v>
      </c>
      <c r="C340" s="1" t="str">
        <f>("8")</f>
        <v>8</v>
      </c>
      <c r="D340" s="1" t="s">
        <v>209</v>
      </c>
      <c r="E340" s="1" t="s">
        <v>5160</v>
      </c>
      <c r="F340" s="1" t="s">
        <v>5161</v>
      </c>
      <c r="G340" s="1">
        <v>6</v>
      </c>
      <c r="H340" s="1" t="s">
        <v>229</v>
      </c>
      <c r="I340" s="1" t="str">
        <f>("1203190050")</f>
        <v>1203190050</v>
      </c>
      <c r="J340" s="1" t="s">
        <v>1858</v>
      </c>
    </row>
    <row r="341" spans="1:10" x14ac:dyDescent="0.45">
      <c r="A341" s="2" t="str">
        <f t="shared" si="5"/>
        <v>中津沖代ジュニアサッカークラブ_9</v>
      </c>
      <c r="B341" s="1" t="s">
        <v>5836</v>
      </c>
      <c r="C341" s="1" t="str">
        <f>("9")</f>
        <v>9</v>
      </c>
      <c r="D341" s="1" t="s">
        <v>210</v>
      </c>
      <c r="E341" s="1" t="s">
        <v>6122</v>
      </c>
      <c r="F341" s="1" t="s">
        <v>6123</v>
      </c>
      <c r="G341" s="1">
        <v>6</v>
      </c>
      <c r="H341" s="1" t="s">
        <v>229</v>
      </c>
      <c r="I341" s="1" t="str">
        <f>("1111300078")</f>
        <v>1111300078</v>
      </c>
    </row>
    <row r="342" spans="1:10" x14ac:dyDescent="0.45">
      <c r="A342" s="2" t="str">
        <f t="shared" si="5"/>
        <v>中津沖代ジュニアサッカークラブ_10</v>
      </c>
      <c r="B342" s="1" t="s">
        <v>5836</v>
      </c>
      <c r="C342" s="1" t="str">
        <f>("10")</f>
        <v>10</v>
      </c>
      <c r="D342" s="1" t="s">
        <v>208</v>
      </c>
      <c r="E342" s="1" t="s">
        <v>6126</v>
      </c>
      <c r="F342" s="1" t="s">
        <v>6127</v>
      </c>
      <c r="G342" s="1">
        <v>6</v>
      </c>
      <c r="H342" s="1" t="s">
        <v>229</v>
      </c>
      <c r="I342" s="1" t="str">
        <f>("1108050115")</f>
        <v>1108050115</v>
      </c>
    </row>
    <row r="343" spans="1:10" x14ac:dyDescent="0.45">
      <c r="A343" s="2" t="str">
        <f t="shared" si="5"/>
        <v>中津沖代ジュニアサッカークラブ_11</v>
      </c>
      <c r="B343" s="1" t="s">
        <v>5836</v>
      </c>
      <c r="C343" s="1" t="str">
        <f>("11")</f>
        <v>11</v>
      </c>
      <c r="D343" s="1" t="s">
        <v>209</v>
      </c>
      <c r="E343" s="1" t="s">
        <v>6124</v>
      </c>
      <c r="F343" s="1" t="s">
        <v>6125</v>
      </c>
      <c r="G343" s="1">
        <v>6</v>
      </c>
      <c r="H343" s="1" t="s">
        <v>229</v>
      </c>
      <c r="I343" s="1" t="str">
        <f>("1201030059")</f>
        <v>1201030059</v>
      </c>
    </row>
    <row r="344" spans="1:10" x14ac:dyDescent="0.45">
      <c r="A344" s="2" t="str">
        <f t="shared" si="5"/>
        <v>中津沖代ジュニアサッカークラブ_12</v>
      </c>
      <c r="B344" s="1" t="s">
        <v>5836</v>
      </c>
      <c r="C344" s="1" t="str">
        <f>("12")</f>
        <v>12</v>
      </c>
      <c r="D344" s="1" t="s">
        <v>208</v>
      </c>
      <c r="E344" s="1" t="s">
        <v>8793</v>
      </c>
      <c r="F344" s="1" t="s">
        <v>8794</v>
      </c>
      <c r="G344" s="1">
        <v>5</v>
      </c>
      <c r="H344" s="1" t="s">
        <v>229</v>
      </c>
      <c r="I344" s="1" t="str">
        <f>("1302270060")</f>
        <v>1302270060</v>
      </c>
    </row>
    <row r="345" spans="1:10" x14ac:dyDescent="0.45">
      <c r="A345" s="2" t="str">
        <f t="shared" si="5"/>
        <v>中津沖代ジュニアサッカークラブ_13</v>
      </c>
      <c r="B345" s="1" t="s">
        <v>5836</v>
      </c>
      <c r="C345" s="1" t="str">
        <f>("13")</f>
        <v>13</v>
      </c>
      <c r="D345" s="1" t="s">
        <v>207</v>
      </c>
      <c r="E345" s="1" t="s">
        <v>8795</v>
      </c>
      <c r="F345" s="1" t="s">
        <v>8796</v>
      </c>
      <c r="G345" s="1">
        <v>5</v>
      </c>
      <c r="H345" s="1" t="s">
        <v>229</v>
      </c>
      <c r="I345" s="1" t="str">
        <f>("1210040069")</f>
        <v>1210040069</v>
      </c>
    </row>
    <row r="346" spans="1:10" x14ac:dyDescent="0.45">
      <c r="A346" s="2" t="str">
        <f t="shared" si="5"/>
        <v>中津沖代ジュニアサッカークラブ_14</v>
      </c>
      <c r="B346" s="1" t="s">
        <v>5836</v>
      </c>
      <c r="C346" s="1" t="str">
        <f>("14")</f>
        <v>14</v>
      </c>
      <c r="D346" s="1" t="s">
        <v>210</v>
      </c>
      <c r="E346" s="1" t="s">
        <v>8797</v>
      </c>
      <c r="F346" s="1" t="s">
        <v>8798</v>
      </c>
      <c r="G346" s="1">
        <v>5</v>
      </c>
      <c r="H346" s="1" t="s">
        <v>231</v>
      </c>
      <c r="I346" s="1" t="str">
        <f>("1207110102")</f>
        <v>1207110102</v>
      </c>
    </row>
    <row r="347" spans="1:10" x14ac:dyDescent="0.45">
      <c r="A347" s="2" t="str">
        <f t="shared" si="5"/>
        <v>中津沖代ジュニアサッカークラブ_15</v>
      </c>
      <c r="B347" s="1" t="s">
        <v>5836</v>
      </c>
      <c r="C347" s="1" t="str">
        <f>("15")</f>
        <v>15</v>
      </c>
      <c r="D347" s="1" t="s">
        <v>210</v>
      </c>
      <c r="E347" s="1" t="s">
        <v>8799</v>
      </c>
      <c r="F347" s="1" t="s">
        <v>8800</v>
      </c>
      <c r="G347" s="1">
        <v>5</v>
      </c>
      <c r="H347" s="1" t="s">
        <v>229</v>
      </c>
      <c r="I347" s="1" t="str">
        <f>("1206180209")</f>
        <v>1206180209</v>
      </c>
    </row>
    <row r="348" spans="1:10" x14ac:dyDescent="0.45">
      <c r="A348" s="2" t="str">
        <f t="shared" si="5"/>
        <v>中津沖代ジュニアサッカークラブ_16</v>
      </c>
      <c r="B348" s="1" t="s">
        <v>5836</v>
      </c>
      <c r="C348" s="1" t="str">
        <f>("16")</f>
        <v>16</v>
      </c>
      <c r="D348" s="1" t="s">
        <v>210</v>
      </c>
      <c r="E348" s="1" t="s">
        <v>8801</v>
      </c>
      <c r="F348" s="1" t="s">
        <v>8802</v>
      </c>
      <c r="G348" s="1">
        <v>5</v>
      </c>
      <c r="H348" s="1" t="s">
        <v>229</v>
      </c>
      <c r="I348" s="1" t="str">
        <f>("1303230124")</f>
        <v>1303230124</v>
      </c>
    </row>
    <row r="349" spans="1:10" x14ac:dyDescent="0.45">
      <c r="A349" s="2" t="str">
        <f t="shared" si="5"/>
        <v>東大分サッカースポーツ少年団_1</v>
      </c>
      <c r="B349" s="1" t="s">
        <v>3965</v>
      </c>
      <c r="C349" s="1" t="str">
        <f>("1")</f>
        <v>1</v>
      </c>
      <c r="D349" s="1" t="s">
        <v>207</v>
      </c>
      <c r="E349" s="1" t="s">
        <v>6136</v>
      </c>
      <c r="F349" s="1" t="s">
        <v>6137</v>
      </c>
      <c r="G349" s="1">
        <v>6</v>
      </c>
      <c r="H349" s="1" t="s">
        <v>229</v>
      </c>
      <c r="I349" s="1" t="str">
        <f>("1111300149")</f>
        <v>1111300149</v>
      </c>
    </row>
    <row r="350" spans="1:10" x14ac:dyDescent="0.45">
      <c r="A350" s="2" t="str">
        <f t="shared" si="5"/>
        <v>東大分サッカースポーツ少年団_2</v>
      </c>
      <c r="B350" s="1" t="s">
        <v>3965</v>
      </c>
      <c r="C350" s="1" t="str">
        <f>("2")</f>
        <v>2</v>
      </c>
      <c r="D350" s="1" t="s">
        <v>208</v>
      </c>
      <c r="E350" s="1" t="s">
        <v>8803</v>
      </c>
      <c r="F350" s="1" t="s">
        <v>8804</v>
      </c>
      <c r="G350" s="1">
        <v>5</v>
      </c>
      <c r="H350" s="1" t="s">
        <v>229</v>
      </c>
      <c r="I350" s="1" t="str">
        <f>("1205020148")</f>
        <v>1205020148</v>
      </c>
    </row>
    <row r="351" spans="1:10" x14ac:dyDescent="0.45">
      <c r="A351" s="2" t="str">
        <f t="shared" si="5"/>
        <v>東大分サッカースポーツ少年団_3</v>
      </c>
      <c r="B351" s="1" t="s">
        <v>3965</v>
      </c>
      <c r="C351" s="1" t="str">
        <f>("3")</f>
        <v>3</v>
      </c>
      <c r="D351" s="1" t="s">
        <v>210</v>
      </c>
      <c r="E351" s="1" t="s">
        <v>8805</v>
      </c>
      <c r="F351" s="1" t="s">
        <v>8806</v>
      </c>
      <c r="G351" s="1">
        <v>5</v>
      </c>
      <c r="H351" s="1" t="s">
        <v>229</v>
      </c>
      <c r="I351" s="1" t="str">
        <f>("1204060135")</f>
        <v>1204060135</v>
      </c>
    </row>
    <row r="352" spans="1:10" x14ac:dyDescent="0.45">
      <c r="A352" s="2" t="str">
        <f t="shared" si="5"/>
        <v>東大分サッカースポーツ少年団_4</v>
      </c>
      <c r="B352" s="1" t="s">
        <v>3965</v>
      </c>
      <c r="C352" s="1" t="str">
        <f>("4")</f>
        <v>4</v>
      </c>
      <c r="D352" s="1" t="s">
        <v>208</v>
      </c>
      <c r="E352" s="1" t="s">
        <v>8807</v>
      </c>
      <c r="F352" s="1" t="s">
        <v>8808</v>
      </c>
      <c r="G352" s="1">
        <v>5</v>
      </c>
      <c r="H352" s="1" t="s">
        <v>229</v>
      </c>
      <c r="I352" s="1" t="str">
        <f>("1205030085")</f>
        <v>1205030085</v>
      </c>
    </row>
    <row r="353" spans="1:10" x14ac:dyDescent="0.45">
      <c r="A353" s="2" t="str">
        <f t="shared" si="5"/>
        <v>東大分サッカースポーツ少年団_5</v>
      </c>
      <c r="B353" s="1" t="s">
        <v>3965</v>
      </c>
      <c r="C353" s="1" t="str">
        <f>("5")</f>
        <v>5</v>
      </c>
      <c r="D353" s="1" t="s">
        <v>209</v>
      </c>
      <c r="E353" s="1" t="s">
        <v>5178</v>
      </c>
      <c r="F353" s="1" t="s">
        <v>5179</v>
      </c>
      <c r="G353" s="1">
        <v>6</v>
      </c>
      <c r="H353" s="1" t="s">
        <v>229</v>
      </c>
      <c r="I353" s="1" t="str">
        <f>("1109050129")</f>
        <v>1109050129</v>
      </c>
    </row>
    <row r="354" spans="1:10" x14ac:dyDescent="0.45">
      <c r="A354" s="2" t="str">
        <f t="shared" si="5"/>
        <v>東大分サッカースポーツ少年団_6</v>
      </c>
      <c r="B354" s="1" t="s">
        <v>3965</v>
      </c>
      <c r="C354" s="1" t="str">
        <f>("6")</f>
        <v>6</v>
      </c>
      <c r="D354" s="1" t="s">
        <v>209</v>
      </c>
      <c r="E354" s="1" t="s">
        <v>6132</v>
      </c>
      <c r="F354" s="1" t="s">
        <v>6133</v>
      </c>
      <c r="G354" s="1">
        <v>5</v>
      </c>
      <c r="H354" s="1" t="s">
        <v>229</v>
      </c>
      <c r="I354" s="1" t="str">
        <f>("1211250072")</f>
        <v>1211250072</v>
      </c>
    </row>
    <row r="355" spans="1:10" x14ac:dyDescent="0.45">
      <c r="A355" s="2" t="str">
        <f t="shared" si="5"/>
        <v>東大分サッカースポーツ少年団_7</v>
      </c>
      <c r="B355" s="1" t="s">
        <v>3965</v>
      </c>
      <c r="C355" s="1" t="str">
        <f>("7")</f>
        <v>7</v>
      </c>
      <c r="D355" s="1" t="s">
        <v>208</v>
      </c>
      <c r="E355" s="1" t="s">
        <v>5166</v>
      </c>
      <c r="F355" s="1" t="s">
        <v>5167</v>
      </c>
      <c r="G355" s="1">
        <v>6</v>
      </c>
      <c r="H355" s="1" t="s">
        <v>229</v>
      </c>
      <c r="I355" s="1" t="str">
        <f>("1112280085")</f>
        <v>1112280085</v>
      </c>
    </row>
    <row r="356" spans="1:10" x14ac:dyDescent="0.45">
      <c r="A356" s="2" t="str">
        <f t="shared" si="5"/>
        <v>東大分サッカースポーツ少年団_8</v>
      </c>
      <c r="B356" s="1" t="s">
        <v>3965</v>
      </c>
      <c r="C356" s="1" t="str">
        <f>("8")</f>
        <v>8</v>
      </c>
      <c r="D356" s="1" t="s">
        <v>208</v>
      </c>
      <c r="E356" s="1" t="s">
        <v>6130</v>
      </c>
      <c r="F356" s="1" t="s">
        <v>6131</v>
      </c>
      <c r="G356" s="1">
        <v>6</v>
      </c>
      <c r="H356" s="1" t="s">
        <v>229</v>
      </c>
      <c r="I356" s="1" t="str">
        <f>("1203160014")</f>
        <v>1203160014</v>
      </c>
      <c r="J356" s="1" t="s">
        <v>1858</v>
      </c>
    </row>
    <row r="357" spans="1:10" x14ac:dyDescent="0.45">
      <c r="A357" s="2" t="str">
        <f t="shared" si="5"/>
        <v>東大分サッカースポーツ少年団_9</v>
      </c>
      <c r="B357" s="1" t="s">
        <v>3965</v>
      </c>
      <c r="C357" s="1" t="str">
        <f>("9")</f>
        <v>9</v>
      </c>
      <c r="D357" s="1" t="s">
        <v>209</v>
      </c>
      <c r="E357" s="1" t="s">
        <v>5168</v>
      </c>
      <c r="F357" s="1" t="s">
        <v>5169</v>
      </c>
      <c r="G357" s="1">
        <v>6</v>
      </c>
      <c r="H357" s="1" t="s">
        <v>229</v>
      </c>
      <c r="I357" s="1" t="str">
        <f>("1201120106")</f>
        <v>1201120106</v>
      </c>
    </row>
    <row r="358" spans="1:10" x14ac:dyDescent="0.45">
      <c r="A358" s="2" t="str">
        <f t="shared" si="5"/>
        <v>東大分サッカースポーツ少年団_11</v>
      </c>
      <c r="B358" s="1" t="s">
        <v>3965</v>
      </c>
      <c r="C358" s="1" t="str">
        <f>("11")</f>
        <v>11</v>
      </c>
      <c r="D358" s="1" t="s">
        <v>209</v>
      </c>
      <c r="E358" s="1" t="s">
        <v>6134</v>
      </c>
      <c r="F358" s="1" t="s">
        <v>6135</v>
      </c>
      <c r="G358" s="1">
        <v>5</v>
      </c>
      <c r="H358" s="1" t="s">
        <v>229</v>
      </c>
      <c r="I358" s="1" t="str">
        <f>("1204140103")</f>
        <v>1204140103</v>
      </c>
    </row>
    <row r="359" spans="1:10" x14ac:dyDescent="0.45">
      <c r="A359" s="2" t="str">
        <f t="shared" si="5"/>
        <v>東大分サッカースポーツ少年団_12</v>
      </c>
      <c r="B359" s="1" t="s">
        <v>3965</v>
      </c>
      <c r="C359" s="1" t="str">
        <f>("12")</f>
        <v>12</v>
      </c>
      <c r="D359" s="1" t="s">
        <v>210</v>
      </c>
      <c r="E359" s="1" t="s">
        <v>8809</v>
      </c>
      <c r="F359" s="1" t="s">
        <v>8810</v>
      </c>
      <c r="G359" s="1">
        <v>4</v>
      </c>
      <c r="H359" s="1" t="s">
        <v>229</v>
      </c>
      <c r="I359" s="1" t="str">
        <f>("1306140128")</f>
        <v>1306140128</v>
      </c>
    </row>
    <row r="360" spans="1:10" x14ac:dyDescent="0.45">
      <c r="A360" s="2" t="str">
        <f t="shared" si="5"/>
        <v>東大分サッカースポーツ少年団_13</v>
      </c>
      <c r="B360" s="1" t="s">
        <v>3965</v>
      </c>
      <c r="C360" s="1" t="str">
        <f>("13")</f>
        <v>13</v>
      </c>
      <c r="D360" s="1" t="s">
        <v>209</v>
      </c>
      <c r="E360" s="1" t="s">
        <v>8811</v>
      </c>
      <c r="F360" s="1" t="s">
        <v>8812</v>
      </c>
      <c r="G360" s="1">
        <v>3</v>
      </c>
      <c r="H360" s="1" t="s">
        <v>229</v>
      </c>
      <c r="I360" s="1" t="str">
        <f>("1411080027")</f>
        <v>1411080027</v>
      </c>
    </row>
    <row r="361" spans="1:10" x14ac:dyDescent="0.45">
      <c r="A361" s="2" t="str">
        <f t="shared" si="5"/>
        <v>東大分サッカースポーツ少年団_14</v>
      </c>
      <c r="B361" s="1" t="s">
        <v>3965</v>
      </c>
      <c r="C361" s="1" t="str">
        <f>("14")</f>
        <v>14</v>
      </c>
      <c r="D361" s="1" t="s">
        <v>209</v>
      </c>
      <c r="E361" s="1" t="s">
        <v>8813</v>
      </c>
      <c r="F361" s="1" t="s">
        <v>8814</v>
      </c>
      <c r="G361" s="1">
        <v>3</v>
      </c>
      <c r="H361" s="1" t="s">
        <v>229</v>
      </c>
      <c r="I361" s="1" t="str">
        <f>("1407300049")</f>
        <v>1407300049</v>
      </c>
    </row>
    <row r="362" spans="1:10" x14ac:dyDescent="0.45">
      <c r="A362" s="2" t="str">
        <f t="shared" si="5"/>
        <v>東大分サッカースポーツ少年団_15</v>
      </c>
      <c r="B362" s="1" t="s">
        <v>3965</v>
      </c>
      <c r="C362" s="1" t="str">
        <f>("15")</f>
        <v>15</v>
      </c>
      <c r="D362" s="1" t="s">
        <v>209</v>
      </c>
      <c r="E362" s="1" t="s">
        <v>8815</v>
      </c>
      <c r="F362" s="1" t="s">
        <v>8816</v>
      </c>
      <c r="G362" s="1">
        <v>3</v>
      </c>
      <c r="H362" s="1" t="s">
        <v>229</v>
      </c>
      <c r="I362" s="1" t="str">
        <f>("1408010044")</f>
        <v>1408010044</v>
      </c>
    </row>
    <row r="363" spans="1:10" x14ac:dyDescent="0.45">
      <c r="A363" s="2" t="str">
        <f t="shared" si="5"/>
        <v>千怒サッカースポーツ少年団_1</v>
      </c>
      <c r="B363" s="1" t="s">
        <v>3289</v>
      </c>
      <c r="C363" s="1" t="str">
        <f>("1")</f>
        <v>1</v>
      </c>
      <c r="D363" s="1" t="s">
        <v>207</v>
      </c>
      <c r="E363" s="1" t="s">
        <v>5180</v>
      </c>
      <c r="F363" s="1" t="s">
        <v>5181</v>
      </c>
      <c r="G363" s="1">
        <v>6</v>
      </c>
      <c r="H363" s="1" t="s">
        <v>229</v>
      </c>
      <c r="I363" s="1" t="str">
        <f>("1203110022")</f>
        <v>1203110022</v>
      </c>
    </row>
    <row r="364" spans="1:10" x14ac:dyDescent="0.45">
      <c r="A364" s="2" t="str">
        <f t="shared" si="5"/>
        <v>千怒サッカースポーツ少年団_3</v>
      </c>
      <c r="B364" s="1" t="s">
        <v>3289</v>
      </c>
      <c r="C364" s="1" t="str">
        <f>("3")</f>
        <v>3</v>
      </c>
      <c r="D364" s="1" t="s">
        <v>208</v>
      </c>
      <c r="E364" s="1" t="s">
        <v>6144</v>
      </c>
      <c r="F364" s="1" t="s">
        <v>6145</v>
      </c>
      <c r="G364" s="1">
        <v>5</v>
      </c>
      <c r="H364" s="1" t="s">
        <v>229</v>
      </c>
      <c r="I364" s="1" t="str">
        <f>("1205270014")</f>
        <v>1205270014</v>
      </c>
    </row>
    <row r="365" spans="1:10" x14ac:dyDescent="0.45">
      <c r="A365" s="2" t="str">
        <f t="shared" si="5"/>
        <v>千怒サッカースポーツ少年団_5</v>
      </c>
      <c r="B365" s="1" t="s">
        <v>3289</v>
      </c>
      <c r="C365" s="1" t="str">
        <f>("5")</f>
        <v>5</v>
      </c>
      <c r="D365" s="1" t="s">
        <v>208</v>
      </c>
      <c r="E365" s="1" t="s">
        <v>5182</v>
      </c>
      <c r="F365" s="1" t="s">
        <v>5183</v>
      </c>
      <c r="G365" s="1">
        <v>6</v>
      </c>
      <c r="H365" s="1" t="s">
        <v>229</v>
      </c>
      <c r="I365" s="1" t="str">
        <f>("1203280144")</f>
        <v>1203280144</v>
      </c>
    </row>
    <row r="366" spans="1:10" x14ac:dyDescent="0.45">
      <c r="A366" s="2" t="str">
        <f t="shared" si="5"/>
        <v>千怒サッカースポーツ少年団_7</v>
      </c>
      <c r="B366" s="1" t="s">
        <v>3289</v>
      </c>
      <c r="C366" s="1" t="str">
        <f>("7")</f>
        <v>7</v>
      </c>
      <c r="D366" s="1" t="s">
        <v>209</v>
      </c>
      <c r="E366" s="1" t="s">
        <v>6140</v>
      </c>
      <c r="F366" s="1" t="s">
        <v>6141</v>
      </c>
      <c r="G366" s="1">
        <v>5</v>
      </c>
      <c r="H366" s="1" t="s">
        <v>229</v>
      </c>
      <c r="I366" s="1" t="str">
        <f>("1208230015")</f>
        <v>1208230015</v>
      </c>
    </row>
    <row r="367" spans="1:10" x14ac:dyDescent="0.45">
      <c r="A367" s="2" t="str">
        <f t="shared" si="5"/>
        <v>千怒サッカースポーツ少年団_8</v>
      </c>
      <c r="B367" s="1" t="s">
        <v>3289</v>
      </c>
      <c r="C367" s="1" t="str">
        <f>("8")</f>
        <v>8</v>
      </c>
      <c r="D367" s="1" t="s">
        <v>209</v>
      </c>
      <c r="E367" s="1" t="s">
        <v>3292</v>
      </c>
      <c r="F367" s="1" t="s">
        <v>3293</v>
      </c>
      <c r="G367" s="1">
        <v>6</v>
      </c>
      <c r="H367" s="1" t="s">
        <v>229</v>
      </c>
      <c r="I367" s="1" t="str">
        <f>("1203080011")</f>
        <v>1203080011</v>
      </c>
      <c r="J367" s="1" t="s">
        <v>1858</v>
      </c>
    </row>
    <row r="368" spans="1:10" x14ac:dyDescent="0.45">
      <c r="A368" s="2" t="str">
        <f t="shared" si="5"/>
        <v>千怒サッカースポーツ少年団_9</v>
      </c>
      <c r="B368" s="1" t="s">
        <v>3289</v>
      </c>
      <c r="C368" s="1" t="str">
        <f>("9")</f>
        <v>9</v>
      </c>
      <c r="D368" s="1" t="s">
        <v>210</v>
      </c>
      <c r="E368" s="1" t="s">
        <v>6138</v>
      </c>
      <c r="F368" s="1" t="s">
        <v>6139</v>
      </c>
      <c r="G368" s="1">
        <v>5</v>
      </c>
      <c r="H368" s="1" t="s">
        <v>229</v>
      </c>
      <c r="I368" s="1" t="str">
        <f>("1204210053")</f>
        <v>1204210053</v>
      </c>
    </row>
    <row r="369" spans="1:10" x14ac:dyDescent="0.45">
      <c r="A369" s="2" t="str">
        <f t="shared" si="5"/>
        <v>千怒サッカースポーツ少年団_10</v>
      </c>
      <c r="B369" s="1" t="s">
        <v>3289</v>
      </c>
      <c r="C369" s="1" t="str">
        <f>("10")</f>
        <v>10</v>
      </c>
      <c r="D369" s="1" t="s">
        <v>208</v>
      </c>
      <c r="E369" s="1" t="s">
        <v>6142</v>
      </c>
      <c r="F369" s="1" t="s">
        <v>6143</v>
      </c>
      <c r="G369" s="1">
        <v>5</v>
      </c>
      <c r="H369" s="1" t="s">
        <v>229</v>
      </c>
      <c r="I369" s="1" t="str">
        <f>("1204170053")</f>
        <v>1204170053</v>
      </c>
    </row>
    <row r="370" spans="1:10" x14ac:dyDescent="0.45">
      <c r="A370" s="2" t="str">
        <f t="shared" si="5"/>
        <v>千怒サッカースポーツ少年団_12</v>
      </c>
      <c r="B370" s="1" t="s">
        <v>3289</v>
      </c>
      <c r="C370" s="1" t="str">
        <f>("12")</f>
        <v>12</v>
      </c>
      <c r="D370" s="1" t="s">
        <v>209</v>
      </c>
      <c r="E370" s="1" t="s">
        <v>8817</v>
      </c>
      <c r="F370" s="1" t="s">
        <v>8818</v>
      </c>
      <c r="G370" s="1">
        <v>4</v>
      </c>
      <c r="H370" s="1" t="s">
        <v>229</v>
      </c>
      <c r="I370" s="1" t="str">
        <f>("1310020018")</f>
        <v>1310020018</v>
      </c>
    </row>
    <row r="371" spans="1:10" x14ac:dyDescent="0.45">
      <c r="A371" s="2" t="str">
        <f t="shared" si="5"/>
        <v>千怒サッカースポーツ少年団_13</v>
      </c>
      <c r="B371" s="1" t="s">
        <v>3289</v>
      </c>
      <c r="C371" s="1" t="str">
        <f>("13")</f>
        <v>13</v>
      </c>
      <c r="D371" s="1" t="s">
        <v>210</v>
      </c>
      <c r="E371" s="1" t="s">
        <v>8819</v>
      </c>
      <c r="F371" s="1" t="s">
        <v>8820</v>
      </c>
      <c r="G371" s="1">
        <v>3</v>
      </c>
      <c r="H371" s="1" t="s">
        <v>229</v>
      </c>
      <c r="I371" s="1" t="str">
        <f>("1501130037")</f>
        <v>1501130037</v>
      </c>
    </row>
    <row r="372" spans="1:10" x14ac:dyDescent="0.45">
      <c r="A372" s="2" t="str">
        <f t="shared" si="5"/>
        <v>千怒サッカースポーツ少年団_15</v>
      </c>
      <c r="B372" s="1" t="s">
        <v>3289</v>
      </c>
      <c r="C372" s="1" t="str">
        <f>("15")</f>
        <v>15</v>
      </c>
      <c r="D372" s="1" t="s">
        <v>209</v>
      </c>
      <c r="E372" s="1" t="s">
        <v>8821</v>
      </c>
      <c r="F372" s="1" t="s">
        <v>8822</v>
      </c>
      <c r="G372" s="1">
        <v>3</v>
      </c>
      <c r="H372" s="1" t="s">
        <v>229</v>
      </c>
      <c r="I372" s="1" t="str">
        <f>("1410190034")</f>
        <v>1410190034</v>
      </c>
    </row>
    <row r="373" spans="1:10" x14ac:dyDescent="0.45">
      <c r="A373" s="2" t="str">
        <f t="shared" si="5"/>
        <v>鶴見少年サッカークラブ_1</v>
      </c>
      <c r="B373" s="1" t="s">
        <v>5001</v>
      </c>
      <c r="C373" s="1" t="str">
        <f>("1")</f>
        <v>1</v>
      </c>
      <c r="D373" s="1" t="s">
        <v>207</v>
      </c>
      <c r="E373" s="1" t="s">
        <v>5184</v>
      </c>
      <c r="F373" s="1" t="s">
        <v>5185</v>
      </c>
      <c r="G373" s="1">
        <v>6</v>
      </c>
      <c r="H373" s="1" t="s">
        <v>229</v>
      </c>
      <c r="I373" s="1" t="str">
        <f>("1112280024")</f>
        <v>1112280024</v>
      </c>
      <c r="J373" s="1" t="s">
        <v>1858</v>
      </c>
    </row>
    <row r="374" spans="1:10" x14ac:dyDescent="0.45">
      <c r="A374" s="2" t="str">
        <f t="shared" si="5"/>
        <v>鶴見少年サッカークラブ_2</v>
      </c>
      <c r="B374" s="1" t="s">
        <v>5001</v>
      </c>
      <c r="C374" s="1" t="str">
        <f>("2")</f>
        <v>2</v>
      </c>
      <c r="D374" s="1" t="s">
        <v>209</v>
      </c>
      <c r="E374" s="1" t="s">
        <v>8823</v>
      </c>
      <c r="F374" s="1" t="s">
        <v>8824</v>
      </c>
      <c r="G374" s="1">
        <v>4</v>
      </c>
      <c r="H374" s="1" t="s">
        <v>229</v>
      </c>
      <c r="I374" s="1" t="str">
        <f>("1308120101")</f>
        <v>1308120101</v>
      </c>
    </row>
    <row r="375" spans="1:10" x14ac:dyDescent="0.45">
      <c r="A375" s="2" t="str">
        <f t="shared" si="5"/>
        <v>鶴見少年サッカークラブ_5</v>
      </c>
      <c r="B375" s="1" t="s">
        <v>5001</v>
      </c>
      <c r="C375" s="1" t="str">
        <f>("5")</f>
        <v>5</v>
      </c>
      <c r="D375" s="1" t="s">
        <v>209</v>
      </c>
      <c r="E375" s="1" t="s">
        <v>6158</v>
      </c>
      <c r="F375" s="1" t="s">
        <v>6159</v>
      </c>
      <c r="G375" s="1">
        <v>4</v>
      </c>
      <c r="H375" s="1" t="s">
        <v>229</v>
      </c>
      <c r="I375" s="1" t="str">
        <f>("1310290019")</f>
        <v>1310290019</v>
      </c>
    </row>
    <row r="376" spans="1:10" x14ac:dyDescent="0.45">
      <c r="A376" s="2" t="str">
        <f t="shared" si="5"/>
        <v>鶴見少年サッカークラブ_6</v>
      </c>
      <c r="B376" s="1" t="s">
        <v>5001</v>
      </c>
      <c r="C376" s="1" t="str">
        <f>("6")</f>
        <v>6</v>
      </c>
      <c r="D376" s="1" t="s">
        <v>209</v>
      </c>
      <c r="E376" s="1" t="s">
        <v>6146</v>
      </c>
      <c r="F376" s="1" t="s">
        <v>6147</v>
      </c>
      <c r="G376" s="1">
        <v>5</v>
      </c>
      <c r="H376" s="1" t="s">
        <v>229</v>
      </c>
      <c r="I376" s="1" t="str">
        <f>("1211260041")</f>
        <v>1211260041</v>
      </c>
    </row>
    <row r="377" spans="1:10" x14ac:dyDescent="0.45">
      <c r="A377" s="2" t="str">
        <f t="shared" si="5"/>
        <v>鶴見少年サッカークラブ_7</v>
      </c>
      <c r="B377" s="1" t="s">
        <v>5001</v>
      </c>
      <c r="C377" s="1" t="str">
        <f>("7")</f>
        <v>7</v>
      </c>
      <c r="D377" s="1" t="s">
        <v>209</v>
      </c>
      <c r="E377" s="1" t="s">
        <v>6148</v>
      </c>
      <c r="F377" s="1" t="s">
        <v>6149</v>
      </c>
      <c r="G377" s="1">
        <v>5</v>
      </c>
      <c r="H377" s="1" t="s">
        <v>229</v>
      </c>
      <c r="I377" s="1" t="str">
        <f>("1204140048")</f>
        <v>1204140048</v>
      </c>
    </row>
    <row r="378" spans="1:10" x14ac:dyDescent="0.45">
      <c r="A378" s="2" t="str">
        <f t="shared" si="5"/>
        <v>鶴見少年サッカークラブ_8</v>
      </c>
      <c r="B378" s="1" t="s">
        <v>5001</v>
      </c>
      <c r="C378" s="1" t="str">
        <f>("8")</f>
        <v>8</v>
      </c>
      <c r="D378" s="1" t="s">
        <v>209</v>
      </c>
      <c r="E378" s="1" t="s">
        <v>6150</v>
      </c>
      <c r="F378" s="1" t="s">
        <v>6151</v>
      </c>
      <c r="G378" s="1">
        <v>5</v>
      </c>
      <c r="H378" s="1" t="s">
        <v>229</v>
      </c>
      <c r="I378" s="1" t="str">
        <f>("1302210028")</f>
        <v>1302210028</v>
      </c>
    </row>
    <row r="379" spans="1:10" x14ac:dyDescent="0.45">
      <c r="A379" s="2" t="str">
        <f t="shared" si="5"/>
        <v>鶴見少年サッカークラブ_9</v>
      </c>
      <c r="B379" s="1" t="s">
        <v>5001</v>
      </c>
      <c r="C379" s="1" t="str">
        <f>("9")</f>
        <v>9</v>
      </c>
      <c r="D379" s="1" t="s">
        <v>209</v>
      </c>
      <c r="E379" s="1" t="s">
        <v>6152</v>
      </c>
      <c r="F379" s="1" t="s">
        <v>6153</v>
      </c>
      <c r="G379" s="1">
        <v>5</v>
      </c>
      <c r="H379" s="1" t="s">
        <v>229</v>
      </c>
      <c r="I379" s="1" t="str">
        <f>("1205090001")</f>
        <v>1205090001</v>
      </c>
    </row>
    <row r="380" spans="1:10" x14ac:dyDescent="0.45">
      <c r="A380" s="2" t="str">
        <f t="shared" si="5"/>
        <v>鶴見少年サッカークラブ_10</v>
      </c>
      <c r="B380" s="1" t="s">
        <v>5001</v>
      </c>
      <c r="C380" s="1" t="str">
        <f>("10")</f>
        <v>10</v>
      </c>
      <c r="D380" s="1" t="s">
        <v>209</v>
      </c>
      <c r="E380" s="1" t="s">
        <v>5186</v>
      </c>
      <c r="F380" s="1" t="s">
        <v>5187</v>
      </c>
      <c r="G380" s="1">
        <v>5</v>
      </c>
      <c r="H380" s="1" t="s">
        <v>229</v>
      </c>
      <c r="I380" s="1" t="str">
        <f>("1206200031")</f>
        <v>1206200031</v>
      </c>
    </row>
    <row r="381" spans="1:10" x14ac:dyDescent="0.45">
      <c r="A381" s="2" t="str">
        <f t="shared" si="5"/>
        <v>鶴見少年サッカークラブ_11</v>
      </c>
      <c r="B381" s="1" t="s">
        <v>5001</v>
      </c>
      <c r="C381" s="1" t="str">
        <f>("11")</f>
        <v>11</v>
      </c>
      <c r="D381" s="1" t="s">
        <v>209</v>
      </c>
      <c r="E381" s="1" t="s">
        <v>5683</v>
      </c>
      <c r="F381" s="1" t="s">
        <v>5684</v>
      </c>
      <c r="G381" s="1">
        <v>5</v>
      </c>
      <c r="H381" s="1" t="s">
        <v>229</v>
      </c>
      <c r="I381" s="1" t="str">
        <f>("1301240034")</f>
        <v>1301240034</v>
      </c>
    </row>
    <row r="382" spans="1:10" x14ac:dyDescent="0.45">
      <c r="A382" s="2" t="str">
        <f t="shared" si="5"/>
        <v>鶴見少年サッカークラブ_12</v>
      </c>
      <c r="B382" s="1" t="s">
        <v>5001</v>
      </c>
      <c r="C382" s="1" t="str">
        <f>("12")</f>
        <v>12</v>
      </c>
      <c r="D382" s="1" t="s">
        <v>209</v>
      </c>
      <c r="E382" s="1" t="s">
        <v>6156</v>
      </c>
      <c r="F382" s="1" t="s">
        <v>6157</v>
      </c>
      <c r="G382" s="1">
        <v>4</v>
      </c>
      <c r="H382" s="1" t="s">
        <v>229</v>
      </c>
      <c r="I382" s="1" t="str">
        <f>("1312100011")</f>
        <v>1312100011</v>
      </c>
    </row>
    <row r="383" spans="1:10" x14ac:dyDescent="0.45">
      <c r="A383" s="2" t="str">
        <f t="shared" si="5"/>
        <v>鶴見少年サッカークラブ_13</v>
      </c>
      <c r="B383" s="1" t="s">
        <v>5001</v>
      </c>
      <c r="C383" s="1" t="str">
        <f>("13")</f>
        <v>13</v>
      </c>
      <c r="D383" s="1" t="s">
        <v>209</v>
      </c>
      <c r="E383" s="1" t="s">
        <v>6154</v>
      </c>
      <c r="F383" s="1" t="s">
        <v>6155</v>
      </c>
      <c r="G383" s="1">
        <v>4</v>
      </c>
      <c r="H383" s="1" t="s">
        <v>229</v>
      </c>
      <c r="I383" s="1" t="str">
        <f>("1306190008")</f>
        <v>1306190008</v>
      </c>
    </row>
    <row r="384" spans="1:10" x14ac:dyDescent="0.45">
      <c r="A384" s="2" t="str">
        <f t="shared" si="5"/>
        <v>鶴見少年サッカークラブ_14</v>
      </c>
      <c r="B384" s="1" t="s">
        <v>5001</v>
      </c>
      <c r="C384" s="1" t="str">
        <f>("14")</f>
        <v>14</v>
      </c>
      <c r="D384" s="1" t="s">
        <v>209</v>
      </c>
      <c r="E384" s="1" t="s">
        <v>8825</v>
      </c>
      <c r="F384" s="1" t="s">
        <v>8826</v>
      </c>
      <c r="G384" s="1">
        <v>4</v>
      </c>
      <c r="H384" s="1" t="s">
        <v>229</v>
      </c>
      <c r="I384" s="1" t="str">
        <f>("1309110154")</f>
        <v>1309110154</v>
      </c>
    </row>
    <row r="385" spans="1:10" x14ac:dyDescent="0.45">
      <c r="A385" s="2" t="str">
        <f t="shared" ref="A385:A448" si="6">CONCATENATE(B385,"_",C385)</f>
        <v>鶴見少年サッカークラブ_15</v>
      </c>
      <c r="B385" s="1" t="s">
        <v>5001</v>
      </c>
      <c r="C385" s="1" t="str">
        <f>("15")</f>
        <v>15</v>
      </c>
      <c r="D385" s="1" t="s">
        <v>209</v>
      </c>
      <c r="E385" s="1" t="s">
        <v>6160</v>
      </c>
      <c r="F385" s="1" t="s">
        <v>6161</v>
      </c>
      <c r="G385" s="1">
        <v>3</v>
      </c>
      <c r="H385" s="1" t="s">
        <v>229</v>
      </c>
      <c r="I385" s="1" t="str">
        <f>("1503080002")</f>
        <v>1503080002</v>
      </c>
    </row>
    <row r="386" spans="1:10" x14ac:dyDescent="0.45">
      <c r="A386" s="2" t="str">
        <f t="shared" si="6"/>
        <v>鶴見少年サッカークラブ_17</v>
      </c>
      <c r="B386" s="1" t="s">
        <v>5001</v>
      </c>
      <c r="C386" s="1" t="str">
        <f>("17")</f>
        <v>17</v>
      </c>
      <c r="D386" s="1" t="s">
        <v>207</v>
      </c>
      <c r="E386" s="1" t="s">
        <v>6162</v>
      </c>
      <c r="F386" s="1" t="s">
        <v>6163</v>
      </c>
      <c r="G386" s="1">
        <v>5</v>
      </c>
      <c r="H386" s="1" t="s">
        <v>229</v>
      </c>
      <c r="I386" s="1" t="str">
        <f>("1204100137")</f>
        <v>1204100137</v>
      </c>
    </row>
    <row r="387" spans="1:10" x14ac:dyDescent="0.45">
      <c r="A387" s="2" t="str">
        <f t="shared" si="6"/>
        <v>弥生少年サッカークラブ_1</v>
      </c>
      <c r="B387" s="1" t="s">
        <v>5002</v>
      </c>
      <c r="C387" s="1" t="str">
        <f>("1")</f>
        <v>1</v>
      </c>
      <c r="D387" s="1" t="s">
        <v>207</v>
      </c>
      <c r="E387" s="1" t="s">
        <v>6176</v>
      </c>
      <c r="F387" s="1" t="s">
        <v>6177</v>
      </c>
      <c r="G387" s="1">
        <v>6</v>
      </c>
      <c r="H387" s="1" t="s">
        <v>229</v>
      </c>
      <c r="I387" s="1" t="str">
        <f>("1110160026")</f>
        <v>1110160026</v>
      </c>
    </row>
    <row r="388" spans="1:10" x14ac:dyDescent="0.45">
      <c r="A388" s="2" t="str">
        <f t="shared" si="6"/>
        <v>弥生少年サッカークラブ_2</v>
      </c>
      <c r="B388" s="1" t="s">
        <v>5002</v>
      </c>
      <c r="C388" s="1" t="str">
        <f>("2")</f>
        <v>2</v>
      </c>
      <c r="D388" s="1" t="s">
        <v>210</v>
      </c>
      <c r="E388" s="1" t="s">
        <v>8827</v>
      </c>
      <c r="F388" s="1" t="s">
        <v>8828</v>
      </c>
      <c r="G388" s="1">
        <v>4</v>
      </c>
      <c r="H388" s="1" t="s">
        <v>229</v>
      </c>
      <c r="I388" s="1" t="str">
        <f>("1304130015")</f>
        <v>1304130015</v>
      </c>
    </row>
    <row r="389" spans="1:10" x14ac:dyDescent="0.45">
      <c r="A389" s="2" t="str">
        <f t="shared" si="6"/>
        <v>弥生少年サッカークラブ_3</v>
      </c>
      <c r="B389" s="1" t="s">
        <v>5002</v>
      </c>
      <c r="C389" s="1" t="str">
        <f>("3")</f>
        <v>3</v>
      </c>
      <c r="D389" s="1" t="s">
        <v>209</v>
      </c>
      <c r="E389" s="1" t="s">
        <v>6168</v>
      </c>
      <c r="F389" s="1" t="s">
        <v>6169</v>
      </c>
      <c r="G389" s="1">
        <v>6</v>
      </c>
      <c r="H389" s="1" t="s">
        <v>229</v>
      </c>
      <c r="I389" s="1" t="str">
        <f>("1108240051")</f>
        <v>1108240051</v>
      </c>
    </row>
    <row r="390" spans="1:10" x14ac:dyDescent="0.45">
      <c r="A390" s="2" t="str">
        <f t="shared" si="6"/>
        <v>弥生少年サッカークラブ_4</v>
      </c>
      <c r="B390" s="1" t="s">
        <v>5002</v>
      </c>
      <c r="C390" s="1" t="str">
        <f>("4")</f>
        <v>4</v>
      </c>
      <c r="D390" s="1" t="s">
        <v>208</v>
      </c>
      <c r="E390" s="1" t="s">
        <v>6166</v>
      </c>
      <c r="F390" s="1" t="s">
        <v>6167</v>
      </c>
      <c r="G390" s="1">
        <v>6</v>
      </c>
      <c r="H390" s="1" t="s">
        <v>229</v>
      </c>
      <c r="I390" s="1" t="str">
        <f>("1201290030")</f>
        <v>1201290030</v>
      </c>
    </row>
    <row r="391" spans="1:10" x14ac:dyDescent="0.45">
      <c r="A391" s="2" t="str">
        <f t="shared" si="6"/>
        <v>弥生少年サッカークラブ_5</v>
      </c>
      <c r="B391" s="1" t="s">
        <v>5002</v>
      </c>
      <c r="C391" s="1" t="str">
        <f>("5")</f>
        <v>5</v>
      </c>
      <c r="D391" s="1" t="s">
        <v>208</v>
      </c>
      <c r="E391" s="1" t="s">
        <v>5193</v>
      </c>
      <c r="F391" s="1" t="s">
        <v>5194</v>
      </c>
      <c r="G391" s="1">
        <v>6</v>
      </c>
      <c r="H391" s="1" t="s">
        <v>229</v>
      </c>
      <c r="I391" s="1" t="str">
        <f>("1202090037")</f>
        <v>1202090037</v>
      </c>
    </row>
    <row r="392" spans="1:10" x14ac:dyDescent="0.45">
      <c r="A392" s="2" t="str">
        <f t="shared" si="6"/>
        <v>弥生少年サッカークラブ_6</v>
      </c>
      <c r="B392" s="1" t="s">
        <v>5002</v>
      </c>
      <c r="C392" s="1" t="str">
        <f>("6")</f>
        <v>6</v>
      </c>
      <c r="D392" s="1" t="s">
        <v>208</v>
      </c>
      <c r="E392" s="1" t="s">
        <v>6164</v>
      </c>
      <c r="F392" s="1" t="s">
        <v>6165</v>
      </c>
      <c r="G392" s="1">
        <v>6</v>
      </c>
      <c r="H392" s="1" t="s">
        <v>229</v>
      </c>
      <c r="I392" s="1" t="str">
        <f>("1104250045")</f>
        <v>1104250045</v>
      </c>
      <c r="J392" s="1" t="s">
        <v>1858</v>
      </c>
    </row>
    <row r="393" spans="1:10" x14ac:dyDescent="0.45">
      <c r="A393" s="2" t="str">
        <f t="shared" si="6"/>
        <v>弥生少年サッカークラブ_7</v>
      </c>
      <c r="B393" s="1" t="s">
        <v>5002</v>
      </c>
      <c r="C393" s="1" t="str">
        <f>("7")</f>
        <v>7</v>
      </c>
      <c r="D393" s="1" t="s">
        <v>209</v>
      </c>
      <c r="E393" s="1" t="s">
        <v>5195</v>
      </c>
      <c r="F393" s="1" t="s">
        <v>5196</v>
      </c>
      <c r="G393" s="1">
        <v>6</v>
      </c>
      <c r="H393" s="1" t="s">
        <v>229</v>
      </c>
      <c r="I393" s="1" t="str">
        <f>("1105260072")</f>
        <v>1105260072</v>
      </c>
    </row>
    <row r="394" spans="1:10" x14ac:dyDescent="0.45">
      <c r="A394" s="2" t="str">
        <f t="shared" si="6"/>
        <v>弥生少年サッカークラブ_8</v>
      </c>
      <c r="B394" s="1" t="s">
        <v>5002</v>
      </c>
      <c r="C394" s="1" t="str">
        <f>("8")</f>
        <v>8</v>
      </c>
      <c r="D394" s="1" t="s">
        <v>210</v>
      </c>
      <c r="E394" s="1" t="s">
        <v>6170</v>
      </c>
      <c r="F394" s="1" t="s">
        <v>6171</v>
      </c>
      <c r="G394" s="1">
        <v>6</v>
      </c>
      <c r="H394" s="1" t="s">
        <v>229</v>
      </c>
      <c r="I394" s="1" t="str">
        <f>("1104140044")</f>
        <v>1104140044</v>
      </c>
    </row>
    <row r="395" spans="1:10" x14ac:dyDescent="0.45">
      <c r="A395" s="2" t="str">
        <f t="shared" si="6"/>
        <v>弥生少年サッカークラブ_9</v>
      </c>
      <c r="B395" s="1" t="s">
        <v>5002</v>
      </c>
      <c r="C395" s="1" t="str">
        <f>("9")</f>
        <v>9</v>
      </c>
      <c r="D395" s="1" t="s">
        <v>210</v>
      </c>
      <c r="E395" s="1" t="s">
        <v>5191</v>
      </c>
      <c r="F395" s="1" t="s">
        <v>5192</v>
      </c>
      <c r="G395" s="1">
        <v>6</v>
      </c>
      <c r="H395" s="1" t="s">
        <v>229</v>
      </c>
      <c r="I395" s="1" t="str">
        <f>("1104020016")</f>
        <v>1104020016</v>
      </c>
    </row>
    <row r="396" spans="1:10" x14ac:dyDescent="0.45">
      <c r="A396" s="2" t="str">
        <f t="shared" si="6"/>
        <v>弥生少年サッカークラブ_10</v>
      </c>
      <c r="B396" s="1" t="s">
        <v>5002</v>
      </c>
      <c r="C396" s="1" t="str">
        <f>("10")</f>
        <v>10</v>
      </c>
      <c r="D396" s="1" t="s">
        <v>210</v>
      </c>
      <c r="E396" s="1" t="s">
        <v>5197</v>
      </c>
      <c r="F396" s="1" t="s">
        <v>5198</v>
      </c>
      <c r="G396" s="1">
        <v>6</v>
      </c>
      <c r="H396" s="1" t="s">
        <v>229</v>
      </c>
      <c r="I396" s="1" t="str">
        <f>("1201100032")</f>
        <v>1201100032</v>
      </c>
    </row>
    <row r="397" spans="1:10" x14ac:dyDescent="0.45">
      <c r="A397" s="2" t="str">
        <f t="shared" si="6"/>
        <v>弥生少年サッカークラブ_11</v>
      </c>
      <c r="B397" s="1" t="s">
        <v>5002</v>
      </c>
      <c r="C397" s="1" t="str">
        <f>("11")</f>
        <v>11</v>
      </c>
      <c r="D397" s="1" t="s">
        <v>209</v>
      </c>
      <c r="E397" s="1" t="s">
        <v>5199</v>
      </c>
      <c r="F397" s="1" t="s">
        <v>5200</v>
      </c>
      <c r="G397" s="1">
        <v>6</v>
      </c>
      <c r="H397" s="1" t="s">
        <v>229</v>
      </c>
      <c r="I397" s="1" t="str">
        <f>("1104120059")</f>
        <v>1104120059</v>
      </c>
    </row>
    <row r="398" spans="1:10" x14ac:dyDescent="0.45">
      <c r="A398" s="2" t="str">
        <f t="shared" si="6"/>
        <v>弥生少年サッカークラブ_12</v>
      </c>
      <c r="B398" s="1" t="s">
        <v>5002</v>
      </c>
      <c r="C398" s="1" t="str">
        <f>("12")</f>
        <v>12</v>
      </c>
      <c r="D398" s="1" t="s">
        <v>208</v>
      </c>
      <c r="E398" s="1" t="s">
        <v>6172</v>
      </c>
      <c r="F398" s="1" t="s">
        <v>6173</v>
      </c>
      <c r="G398" s="1">
        <v>5</v>
      </c>
      <c r="H398" s="1" t="s">
        <v>229</v>
      </c>
      <c r="I398" s="1" t="str">
        <f>("1205220107")</f>
        <v>1205220107</v>
      </c>
    </row>
    <row r="399" spans="1:10" x14ac:dyDescent="0.45">
      <c r="A399" s="2" t="str">
        <f t="shared" si="6"/>
        <v>弥生少年サッカークラブ_13</v>
      </c>
      <c r="B399" s="1" t="s">
        <v>5002</v>
      </c>
      <c r="C399" s="1" t="str">
        <f>("13")</f>
        <v>13</v>
      </c>
      <c r="D399" s="1" t="s">
        <v>209</v>
      </c>
      <c r="E399" s="1" t="s">
        <v>6479</v>
      </c>
      <c r="F399" s="1" t="s">
        <v>6480</v>
      </c>
      <c r="G399" s="1">
        <v>5</v>
      </c>
      <c r="H399" s="1" t="s">
        <v>229</v>
      </c>
      <c r="I399" s="1" t="str">
        <f>("1210180008")</f>
        <v>1210180008</v>
      </c>
    </row>
    <row r="400" spans="1:10" x14ac:dyDescent="0.45">
      <c r="A400" s="2" t="str">
        <f t="shared" si="6"/>
        <v>弥生少年サッカークラブ_14</v>
      </c>
      <c r="B400" s="1" t="s">
        <v>5002</v>
      </c>
      <c r="C400" s="1" t="str">
        <f>("14")</f>
        <v>14</v>
      </c>
      <c r="D400" s="1" t="s">
        <v>209</v>
      </c>
      <c r="E400" s="1" t="s">
        <v>6174</v>
      </c>
      <c r="F400" s="1" t="s">
        <v>6175</v>
      </c>
      <c r="G400" s="1">
        <v>5</v>
      </c>
      <c r="H400" s="1" t="s">
        <v>229</v>
      </c>
      <c r="I400" s="1" t="str">
        <f>("1206270142")</f>
        <v>1206270142</v>
      </c>
    </row>
    <row r="401" spans="1:10" x14ac:dyDescent="0.45">
      <c r="A401" s="2" t="str">
        <f t="shared" si="6"/>
        <v>弥生少年サッカークラブ_15</v>
      </c>
      <c r="B401" s="1" t="s">
        <v>5002</v>
      </c>
      <c r="C401" s="1" t="str">
        <f>("15")</f>
        <v>15</v>
      </c>
      <c r="D401" s="1" t="s">
        <v>209</v>
      </c>
      <c r="E401" s="1" t="s">
        <v>8829</v>
      </c>
      <c r="F401" s="1" t="s">
        <v>3122</v>
      </c>
      <c r="G401" s="1">
        <v>5</v>
      </c>
      <c r="H401" s="1" t="s">
        <v>229</v>
      </c>
      <c r="I401" s="1" t="str">
        <f>("1301180189")</f>
        <v>1301180189</v>
      </c>
    </row>
    <row r="402" spans="1:10" x14ac:dyDescent="0.45">
      <c r="A402" s="2" t="str">
        <f t="shared" si="6"/>
        <v>弥生少年サッカークラブ_16</v>
      </c>
      <c r="B402" s="1" t="s">
        <v>5002</v>
      </c>
      <c r="C402" s="1" t="str">
        <f>("16")</f>
        <v>16</v>
      </c>
      <c r="D402" s="1" t="s">
        <v>207</v>
      </c>
      <c r="E402" s="1" t="s">
        <v>8830</v>
      </c>
      <c r="F402" s="1" t="s">
        <v>8831</v>
      </c>
      <c r="G402" s="1">
        <v>5</v>
      </c>
      <c r="H402" s="1" t="s">
        <v>229</v>
      </c>
      <c r="I402" s="1" t="str">
        <f>("1206140180")</f>
        <v>1206140180</v>
      </c>
    </row>
    <row r="403" spans="1:10" x14ac:dyDescent="0.45">
      <c r="A403" s="2" t="str">
        <f t="shared" si="6"/>
        <v>上堅田少年サッカークラブ_1</v>
      </c>
      <c r="B403" s="1" t="s">
        <v>5003</v>
      </c>
      <c r="C403" s="1" t="str">
        <f>("1")</f>
        <v>1</v>
      </c>
      <c r="D403" s="1" t="s">
        <v>207</v>
      </c>
      <c r="E403" s="1" t="s">
        <v>8832</v>
      </c>
      <c r="F403" s="1" t="s">
        <v>8833</v>
      </c>
      <c r="G403" s="1">
        <v>5</v>
      </c>
      <c r="H403" s="1" t="s">
        <v>229</v>
      </c>
      <c r="I403" s="1" t="str">
        <f>("1212070151")</f>
        <v>1212070151</v>
      </c>
    </row>
    <row r="404" spans="1:10" x14ac:dyDescent="0.45">
      <c r="A404" s="2" t="str">
        <f t="shared" si="6"/>
        <v>上堅田少年サッカークラブ_3</v>
      </c>
      <c r="B404" s="1" t="s">
        <v>5003</v>
      </c>
      <c r="C404" s="1" t="str">
        <f>("3")</f>
        <v>3</v>
      </c>
      <c r="D404" s="1" t="s">
        <v>208</v>
      </c>
      <c r="E404" s="1" t="s">
        <v>5201</v>
      </c>
      <c r="F404" s="1" t="s">
        <v>5202</v>
      </c>
      <c r="G404" s="1">
        <v>6</v>
      </c>
      <c r="H404" s="1" t="s">
        <v>229</v>
      </c>
      <c r="I404" s="1" t="str">
        <f>("1108200066")</f>
        <v>1108200066</v>
      </c>
    </row>
    <row r="405" spans="1:10" x14ac:dyDescent="0.45">
      <c r="A405" s="2" t="str">
        <f t="shared" si="6"/>
        <v>上堅田少年サッカークラブ_4</v>
      </c>
      <c r="B405" s="1" t="s">
        <v>5003</v>
      </c>
      <c r="C405" s="1" t="str">
        <f>("4")</f>
        <v>4</v>
      </c>
      <c r="D405" s="1" t="s">
        <v>208</v>
      </c>
      <c r="E405" s="1" t="s">
        <v>8834</v>
      </c>
      <c r="F405" s="1" t="s">
        <v>8835</v>
      </c>
      <c r="G405" s="1">
        <v>4</v>
      </c>
      <c r="H405" s="1" t="s">
        <v>229</v>
      </c>
      <c r="I405" s="1" t="str">
        <f>("1306160081")</f>
        <v>1306160081</v>
      </c>
    </row>
    <row r="406" spans="1:10" x14ac:dyDescent="0.45">
      <c r="A406" s="2" t="str">
        <f t="shared" si="6"/>
        <v>上堅田少年サッカークラブ_7</v>
      </c>
      <c r="B406" s="1" t="s">
        <v>5003</v>
      </c>
      <c r="C406" s="1" t="str">
        <f>("7")</f>
        <v>7</v>
      </c>
      <c r="D406" s="1" t="s">
        <v>208</v>
      </c>
      <c r="E406" s="1" t="s">
        <v>6178</v>
      </c>
      <c r="F406" s="1" t="s">
        <v>6179</v>
      </c>
      <c r="G406" s="1">
        <v>5</v>
      </c>
      <c r="H406" s="1" t="s">
        <v>229</v>
      </c>
      <c r="I406" s="1" t="str">
        <f>("1204130025")</f>
        <v>1204130025</v>
      </c>
    </row>
    <row r="407" spans="1:10" x14ac:dyDescent="0.45">
      <c r="A407" s="2" t="str">
        <f t="shared" si="6"/>
        <v>上堅田少年サッカークラブ_9</v>
      </c>
      <c r="B407" s="1" t="s">
        <v>5003</v>
      </c>
      <c r="C407" s="1" t="str">
        <f>("9")</f>
        <v>9</v>
      </c>
      <c r="D407" s="1" t="s">
        <v>209</v>
      </c>
      <c r="E407" s="1" t="s">
        <v>6180</v>
      </c>
      <c r="F407" s="1" t="s">
        <v>6181</v>
      </c>
      <c r="G407" s="1">
        <v>5</v>
      </c>
      <c r="H407" s="1" t="s">
        <v>229</v>
      </c>
      <c r="I407" s="1" t="str">
        <f>("1206060037")</f>
        <v>1206060037</v>
      </c>
    </row>
    <row r="408" spans="1:10" x14ac:dyDescent="0.45">
      <c r="A408" s="2" t="str">
        <f t="shared" si="6"/>
        <v>上堅田少年サッカークラブ_10</v>
      </c>
      <c r="B408" s="1" t="s">
        <v>5003</v>
      </c>
      <c r="C408" s="1" t="str">
        <f>("10")</f>
        <v>10</v>
      </c>
      <c r="D408" s="1" t="s">
        <v>209</v>
      </c>
      <c r="E408" s="1" t="s">
        <v>5205</v>
      </c>
      <c r="F408" s="1" t="s">
        <v>5206</v>
      </c>
      <c r="G408" s="1">
        <v>6</v>
      </c>
      <c r="H408" s="1" t="s">
        <v>229</v>
      </c>
      <c r="I408" s="1" t="str">
        <f>("1110160061")</f>
        <v>1110160061</v>
      </c>
      <c r="J408" s="1" t="s">
        <v>1858</v>
      </c>
    </row>
    <row r="409" spans="1:10" x14ac:dyDescent="0.45">
      <c r="A409" s="2" t="str">
        <f t="shared" si="6"/>
        <v>上堅田少年サッカークラブ_11</v>
      </c>
      <c r="B409" s="1" t="s">
        <v>5003</v>
      </c>
      <c r="C409" s="1" t="str">
        <f>("11")</f>
        <v>11</v>
      </c>
      <c r="D409" s="1" t="s">
        <v>210</v>
      </c>
      <c r="E409" s="1" t="s">
        <v>5203</v>
      </c>
      <c r="F409" s="1" t="s">
        <v>5204</v>
      </c>
      <c r="G409" s="1">
        <v>6</v>
      </c>
      <c r="H409" s="1" t="s">
        <v>229</v>
      </c>
      <c r="I409" s="1" t="str">
        <f>("1203140135")</f>
        <v>1203140135</v>
      </c>
    </row>
    <row r="410" spans="1:10" x14ac:dyDescent="0.45">
      <c r="A410" s="2" t="str">
        <f t="shared" si="6"/>
        <v>上堅田少年サッカークラブ_13</v>
      </c>
      <c r="B410" s="1" t="s">
        <v>5003</v>
      </c>
      <c r="C410" s="1" t="str">
        <f>("13")</f>
        <v>13</v>
      </c>
      <c r="D410" s="1" t="s">
        <v>210</v>
      </c>
      <c r="E410" s="1" t="s">
        <v>6182</v>
      </c>
      <c r="F410" s="1" t="s">
        <v>6183</v>
      </c>
      <c r="G410" s="1">
        <v>5</v>
      </c>
      <c r="H410" s="1" t="s">
        <v>229</v>
      </c>
      <c r="I410" s="1" t="str">
        <f>("1205110087")</f>
        <v>1205110087</v>
      </c>
    </row>
    <row r="411" spans="1:10" x14ac:dyDescent="0.45">
      <c r="A411" s="2" t="str">
        <f t="shared" si="6"/>
        <v>上堅田少年サッカークラブ_14</v>
      </c>
      <c r="B411" s="1" t="s">
        <v>5003</v>
      </c>
      <c r="C411" s="1" t="str">
        <f>("14")</f>
        <v>14</v>
      </c>
      <c r="D411" s="1" t="s">
        <v>209</v>
      </c>
      <c r="E411" s="1" t="s">
        <v>5207</v>
      </c>
      <c r="F411" s="1" t="s">
        <v>5208</v>
      </c>
      <c r="G411" s="1">
        <v>6</v>
      </c>
      <c r="H411" s="1" t="s">
        <v>229</v>
      </c>
      <c r="I411" s="1" t="str">
        <f>("1108230096")</f>
        <v>1108230096</v>
      </c>
    </row>
    <row r="412" spans="1:10" x14ac:dyDescent="0.45">
      <c r="A412" s="2" t="str">
        <f t="shared" si="6"/>
        <v>鶴岡Ｓ―ｐｌａｙ・ＭＩＮＡＭＩ_1</v>
      </c>
      <c r="B412" s="1" t="s">
        <v>5004</v>
      </c>
      <c r="C412" s="1" t="str">
        <f>("1")</f>
        <v>1</v>
      </c>
      <c r="D412" s="1" t="s">
        <v>207</v>
      </c>
      <c r="E412" s="1" t="s">
        <v>6186</v>
      </c>
      <c r="F412" s="1" t="s">
        <v>6187</v>
      </c>
      <c r="G412" s="1">
        <v>6</v>
      </c>
      <c r="H412" s="1" t="s">
        <v>229</v>
      </c>
      <c r="I412" s="1" t="str">
        <f>("1201030080")</f>
        <v>1201030080</v>
      </c>
    </row>
    <row r="413" spans="1:10" x14ac:dyDescent="0.45">
      <c r="A413" s="2" t="str">
        <f t="shared" si="6"/>
        <v>鶴岡Ｓ―ｐｌａｙ・ＭＩＮＡＭＩ_2</v>
      </c>
      <c r="B413" s="1" t="s">
        <v>5004</v>
      </c>
      <c r="C413" s="1" t="str">
        <f>("2")</f>
        <v>2</v>
      </c>
      <c r="D413" s="1" t="s">
        <v>209</v>
      </c>
      <c r="E413" s="1" t="s">
        <v>5209</v>
      </c>
      <c r="F413" s="1" t="s">
        <v>5210</v>
      </c>
      <c r="G413" s="1">
        <v>5</v>
      </c>
      <c r="H413" s="1" t="s">
        <v>229</v>
      </c>
      <c r="I413" s="1" t="str">
        <f>("1210180009")</f>
        <v>1210180009</v>
      </c>
    </row>
    <row r="414" spans="1:10" x14ac:dyDescent="0.45">
      <c r="A414" s="2" t="str">
        <f t="shared" si="6"/>
        <v>鶴岡Ｓ―ｐｌａｙ・ＭＩＮＡＭＩ_3</v>
      </c>
      <c r="B414" s="1" t="s">
        <v>5004</v>
      </c>
      <c r="C414" s="1" t="str">
        <f>("3")</f>
        <v>3</v>
      </c>
      <c r="D414" s="1" t="s">
        <v>209</v>
      </c>
      <c r="E414" s="1" t="s">
        <v>8836</v>
      </c>
      <c r="F414" s="1" t="s">
        <v>8837</v>
      </c>
      <c r="G414" s="1">
        <v>5</v>
      </c>
      <c r="H414" s="1" t="s">
        <v>229</v>
      </c>
      <c r="I414" s="1" t="str">
        <f>("1211150123")</f>
        <v>1211150123</v>
      </c>
    </row>
    <row r="415" spans="1:10" x14ac:dyDescent="0.45">
      <c r="A415" s="2" t="str">
        <f t="shared" si="6"/>
        <v>鶴岡Ｓ―ｐｌａｙ・ＭＩＮＡＭＩ_4</v>
      </c>
      <c r="B415" s="1" t="s">
        <v>5004</v>
      </c>
      <c r="C415" s="1" t="str">
        <f>("4")</f>
        <v>4</v>
      </c>
      <c r="D415" s="1" t="s">
        <v>209</v>
      </c>
      <c r="E415" s="1" t="s">
        <v>6188</v>
      </c>
      <c r="F415" s="1" t="s">
        <v>6189</v>
      </c>
      <c r="G415" s="1">
        <v>6</v>
      </c>
      <c r="H415" s="1" t="s">
        <v>229</v>
      </c>
      <c r="I415" s="1" t="str">
        <f>("1110070173")</f>
        <v>1110070173</v>
      </c>
    </row>
    <row r="416" spans="1:10" x14ac:dyDescent="0.45">
      <c r="A416" s="2" t="str">
        <f t="shared" si="6"/>
        <v>鶴岡Ｓ―ｐｌａｙ・ＭＩＮＡＭＩ_5</v>
      </c>
      <c r="B416" s="1" t="s">
        <v>5004</v>
      </c>
      <c r="C416" s="1" t="str">
        <f>("5")</f>
        <v>5</v>
      </c>
      <c r="D416" s="1" t="s">
        <v>208</v>
      </c>
      <c r="E416" s="1" t="s">
        <v>6192</v>
      </c>
      <c r="F416" s="1" t="s">
        <v>6193</v>
      </c>
      <c r="G416" s="1">
        <v>6</v>
      </c>
      <c r="H416" s="1" t="s">
        <v>229</v>
      </c>
      <c r="I416" s="1" t="str">
        <f>("1105310127")</f>
        <v>1105310127</v>
      </c>
    </row>
    <row r="417" spans="1:10" x14ac:dyDescent="0.45">
      <c r="A417" s="2" t="str">
        <f t="shared" si="6"/>
        <v>鶴岡Ｓ―ｐｌａｙ・ＭＩＮＡＭＩ_6</v>
      </c>
      <c r="B417" s="1" t="s">
        <v>5004</v>
      </c>
      <c r="C417" s="1" t="str">
        <f>("6")</f>
        <v>6</v>
      </c>
      <c r="D417" s="1" t="s">
        <v>208</v>
      </c>
      <c r="E417" s="1" t="s">
        <v>5213</v>
      </c>
      <c r="F417" s="1" t="s">
        <v>5214</v>
      </c>
      <c r="G417" s="1">
        <v>6</v>
      </c>
      <c r="H417" s="1" t="s">
        <v>229</v>
      </c>
      <c r="I417" s="1" t="str">
        <f>("1104120099")</f>
        <v>1104120099</v>
      </c>
    </row>
    <row r="418" spans="1:10" x14ac:dyDescent="0.45">
      <c r="A418" s="2" t="str">
        <f t="shared" si="6"/>
        <v>鶴岡Ｓ―ｐｌａｙ・ＭＩＮＡＭＩ_7</v>
      </c>
      <c r="B418" s="1" t="s">
        <v>5004</v>
      </c>
      <c r="C418" s="1" t="str">
        <f>("7")</f>
        <v>7</v>
      </c>
      <c r="D418" s="1" t="s">
        <v>209</v>
      </c>
      <c r="E418" s="1" t="s">
        <v>5220</v>
      </c>
      <c r="F418" s="1" t="s">
        <v>5221</v>
      </c>
      <c r="G418" s="1">
        <v>6</v>
      </c>
      <c r="H418" s="1" t="s">
        <v>229</v>
      </c>
      <c r="I418" s="1" t="str">
        <f>("1108230174")</f>
        <v>1108230174</v>
      </c>
    </row>
    <row r="419" spans="1:10" x14ac:dyDescent="0.45">
      <c r="A419" s="2" t="str">
        <f t="shared" si="6"/>
        <v>鶴岡Ｓ―ｐｌａｙ・ＭＩＮＡＭＩ_8</v>
      </c>
      <c r="B419" s="1" t="s">
        <v>5004</v>
      </c>
      <c r="C419" s="1" t="str">
        <f>("8")</f>
        <v>8</v>
      </c>
      <c r="D419" s="1" t="s">
        <v>208</v>
      </c>
      <c r="E419" s="1" t="s">
        <v>6184</v>
      </c>
      <c r="F419" s="1" t="s">
        <v>6185</v>
      </c>
      <c r="G419" s="1">
        <v>6</v>
      </c>
      <c r="H419" s="1" t="s">
        <v>229</v>
      </c>
      <c r="I419" s="1" t="str">
        <f>("1110250031")</f>
        <v>1110250031</v>
      </c>
    </row>
    <row r="420" spans="1:10" x14ac:dyDescent="0.45">
      <c r="A420" s="2" t="str">
        <f t="shared" si="6"/>
        <v>鶴岡Ｓ―ｐｌａｙ・ＭＩＮＡＭＩ_9</v>
      </c>
      <c r="B420" s="1" t="s">
        <v>5004</v>
      </c>
      <c r="C420" s="1" t="str">
        <f>("9")</f>
        <v>9</v>
      </c>
      <c r="D420" s="1" t="s">
        <v>210</v>
      </c>
      <c r="E420" s="1" t="s">
        <v>5218</v>
      </c>
      <c r="F420" s="1" t="s">
        <v>5219</v>
      </c>
      <c r="G420" s="1">
        <v>6</v>
      </c>
      <c r="H420" s="1" t="s">
        <v>229</v>
      </c>
      <c r="I420" s="1" t="str">
        <f>("1109020120")</f>
        <v>1109020120</v>
      </c>
    </row>
    <row r="421" spans="1:10" x14ac:dyDescent="0.45">
      <c r="A421" s="2" t="str">
        <f t="shared" si="6"/>
        <v>鶴岡Ｓ―ｐｌａｙ・ＭＩＮＡＭＩ_10</v>
      </c>
      <c r="B421" s="1" t="s">
        <v>5004</v>
      </c>
      <c r="C421" s="1" t="str">
        <f>("10")</f>
        <v>10</v>
      </c>
      <c r="D421" s="1" t="s">
        <v>208</v>
      </c>
      <c r="E421" s="1" t="s">
        <v>5217</v>
      </c>
      <c r="F421" s="1" t="s">
        <v>2825</v>
      </c>
      <c r="G421" s="1">
        <v>6</v>
      </c>
      <c r="H421" s="1" t="s">
        <v>229</v>
      </c>
      <c r="I421" s="1" t="str">
        <f>("1111290005")</f>
        <v>1111290005</v>
      </c>
      <c r="J421" s="1" t="s">
        <v>1858</v>
      </c>
    </row>
    <row r="422" spans="1:10" x14ac:dyDescent="0.45">
      <c r="A422" s="2" t="str">
        <f t="shared" si="6"/>
        <v>鶴岡Ｓ―ｐｌａｙ・ＭＩＮＡＭＩ_11</v>
      </c>
      <c r="B422" s="1" t="s">
        <v>5004</v>
      </c>
      <c r="C422" s="1" t="str">
        <f>("11")</f>
        <v>11</v>
      </c>
      <c r="D422" s="1" t="s">
        <v>209</v>
      </c>
      <c r="E422" s="1" t="s">
        <v>5211</v>
      </c>
      <c r="F422" s="1" t="s">
        <v>5212</v>
      </c>
      <c r="G422" s="1">
        <v>6</v>
      </c>
      <c r="H422" s="1" t="s">
        <v>229</v>
      </c>
      <c r="I422" s="1" t="str">
        <f>("1109050050")</f>
        <v>1109050050</v>
      </c>
    </row>
    <row r="423" spans="1:10" x14ac:dyDescent="0.45">
      <c r="A423" s="2" t="str">
        <f t="shared" si="6"/>
        <v>鶴岡Ｓ―ｐｌａｙ・ＭＩＮＡＭＩ_12</v>
      </c>
      <c r="B423" s="1" t="s">
        <v>5004</v>
      </c>
      <c r="C423" s="1" t="str">
        <f>("12")</f>
        <v>12</v>
      </c>
      <c r="D423" s="1" t="s">
        <v>209</v>
      </c>
      <c r="E423" s="1" t="s">
        <v>8838</v>
      </c>
      <c r="F423" s="1" t="s">
        <v>8839</v>
      </c>
      <c r="G423" s="1">
        <v>5</v>
      </c>
      <c r="H423" s="1" t="s">
        <v>229</v>
      </c>
      <c r="I423" s="1" t="str">
        <f>("1210140020")</f>
        <v>1210140020</v>
      </c>
    </row>
    <row r="424" spans="1:10" x14ac:dyDescent="0.45">
      <c r="A424" s="2" t="str">
        <f t="shared" si="6"/>
        <v>鶴岡Ｓ―ｐｌａｙ・ＭＩＮＡＭＩ_13</v>
      </c>
      <c r="B424" s="1" t="s">
        <v>5004</v>
      </c>
      <c r="C424" s="1" t="str">
        <f>("13")</f>
        <v>13</v>
      </c>
      <c r="D424" s="1" t="s">
        <v>209</v>
      </c>
      <c r="E424" s="1" t="s">
        <v>8840</v>
      </c>
      <c r="F424" s="1" t="s">
        <v>8841</v>
      </c>
      <c r="G424" s="1">
        <v>4</v>
      </c>
      <c r="H424" s="1" t="s">
        <v>229</v>
      </c>
      <c r="I424" s="1" t="str">
        <f>("1204200021")</f>
        <v>1204200021</v>
      </c>
    </row>
    <row r="425" spans="1:10" x14ac:dyDescent="0.45">
      <c r="A425" s="2" t="str">
        <f t="shared" si="6"/>
        <v>鶴岡Ｓ―ｐｌａｙ・ＭＩＮＡＭＩ_14</v>
      </c>
      <c r="B425" s="1" t="s">
        <v>5004</v>
      </c>
      <c r="C425" s="1" t="str">
        <f>("14")</f>
        <v>14</v>
      </c>
      <c r="D425" s="1" t="s">
        <v>210</v>
      </c>
      <c r="E425" s="1" t="s">
        <v>8842</v>
      </c>
      <c r="F425" s="1" t="s">
        <v>8843</v>
      </c>
      <c r="G425" s="1">
        <v>5</v>
      </c>
      <c r="H425" s="1" t="s">
        <v>229</v>
      </c>
      <c r="I425" s="1" t="str">
        <f>("1205210206")</f>
        <v>1205210206</v>
      </c>
    </row>
    <row r="426" spans="1:10" x14ac:dyDescent="0.45">
      <c r="A426" s="2" t="str">
        <f t="shared" si="6"/>
        <v>鶴岡Ｓ―ｐｌａｙ・ＭＩＮＡＭＩ_15</v>
      </c>
      <c r="B426" s="1" t="s">
        <v>5004</v>
      </c>
      <c r="C426" s="1" t="str">
        <f>("15")</f>
        <v>15</v>
      </c>
      <c r="D426" s="1" t="s">
        <v>209</v>
      </c>
      <c r="E426" s="1" t="s">
        <v>8844</v>
      </c>
      <c r="F426" s="1" t="s">
        <v>8845</v>
      </c>
      <c r="G426" s="1">
        <v>4</v>
      </c>
      <c r="H426" s="1" t="s">
        <v>229</v>
      </c>
      <c r="I426" s="1" t="str">
        <f>("1308280032")</f>
        <v>1308280032</v>
      </c>
    </row>
    <row r="427" spans="1:10" x14ac:dyDescent="0.45">
      <c r="A427" s="2" t="str">
        <f t="shared" si="6"/>
        <v>鶴岡Ｓ―ｐｌａｙ・ＭＩＮＡＭＩ_23</v>
      </c>
      <c r="B427" s="1" t="s">
        <v>5004</v>
      </c>
      <c r="C427" s="1" t="str">
        <f>("23")</f>
        <v>23</v>
      </c>
      <c r="D427" s="1" t="s">
        <v>207</v>
      </c>
      <c r="E427" s="1" t="s">
        <v>6191</v>
      </c>
      <c r="F427" s="1" t="s">
        <v>8846</v>
      </c>
      <c r="G427" s="1">
        <v>6</v>
      </c>
      <c r="H427" s="1" t="s">
        <v>229</v>
      </c>
      <c r="I427" s="1" t="str">
        <f>("1202110117")</f>
        <v>1202110117</v>
      </c>
    </row>
    <row r="428" spans="1:10" x14ac:dyDescent="0.45">
      <c r="A428" s="2" t="str">
        <f t="shared" si="6"/>
        <v>佐伯リベロフットボールクラブ_1</v>
      </c>
      <c r="B428" s="1" t="s">
        <v>216</v>
      </c>
      <c r="C428" s="1" t="str">
        <f>("1")</f>
        <v>1</v>
      </c>
      <c r="D428" s="1" t="s">
        <v>207</v>
      </c>
      <c r="E428" s="1" t="s">
        <v>5224</v>
      </c>
      <c r="F428" s="1" t="s">
        <v>5225</v>
      </c>
      <c r="G428" s="1">
        <v>6</v>
      </c>
      <c r="H428" s="1" t="s">
        <v>229</v>
      </c>
      <c r="I428" s="1" t="str">
        <f>("1104060125")</f>
        <v>1104060125</v>
      </c>
    </row>
    <row r="429" spans="1:10" x14ac:dyDescent="0.45">
      <c r="A429" s="2" t="str">
        <f t="shared" si="6"/>
        <v>佐伯リベロフットボールクラブ_2</v>
      </c>
      <c r="B429" s="1" t="s">
        <v>216</v>
      </c>
      <c r="C429" s="1" t="str">
        <f>("2")</f>
        <v>2</v>
      </c>
      <c r="D429" s="1" t="s">
        <v>208</v>
      </c>
      <c r="E429" s="1" t="s">
        <v>8847</v>
      </c>
      <c r="F429" s="1" t="s">
        <v>8848</v>
      </c>
      <c r="G429" s="1">
        <v>5</v>
      </c>
      <c r="H429" s="1" t="s">
        <v>229</v>
      </c>
      <c r="I429" s="1" t="str">
        <f>("1207050162")</f>
        <v>1207050162</v>
      </c>
    </row>
    <row r="430" spans="1:10" x14ac:dyDescent="0.45">
      <c r="A430" s="2" t="str">
        <f t="shared" si="6"/>
        <v>佐伯リベロフットボールクラブ_3</v>
      </c>
      <c r="B430" s="1" t="s">
        <v>216</v>
      </c>
      <c r="C430" s="1" t="str">
        <f>("3")</f>
        <v>3</v>
      </c>
      <c r="D430" s="1" t="s">
        <v>210</v>
      </c>
      <c r="E430" s="1" t="s">
        <v>8849</v>
      </c>
      <c r="F430" s="1" t="s">
        <v>8850</v>
      </c>
      <c r="G430" s="1">
        <v>4</v>
      </c>
      <c r="H430" s="1" t="s">
        <v>229</v>
      </c>
      <c r="I430" s="1" t="str">
        <f>("1307280063")</f>
        <v>1307280063</v>
      </c>
    </row>
    <row r="431" spans="1:10" x14ac:dyDescent="0.45">
      <c r="A431" s="2" t="str">
        <f t="shared" si="6"/>
        <v>佐伯リベロフットボールクラブ_5</v>
      </c>
      <c r="B431" s="1" t="s">
        <v>216</v>
      </c>
      <c r="C431" s="1" t="str">
        <f>("5")</f>
        <v>5</v>
      </c>
      <c r="D431" s="1" t="s">
        <v>208</v>
      </c>
      <c r="E431" s="1" t="s">
        <v>6196</v>
      </c>
      <c r="F431" s="1" t="s">
        <v>6197</v>
      </c>
      <c r="G431" s="1">
        <v>6</v>
      </c>
      <c r="H431" s="1" t="s">
        <v>229</v>
      </c>
      <c r="I431" s="1" t="str">
        <f>("1203060128")</f>
        <v>1203060128</v>
      </c>
    </row>
    <row r="432" spans="1:10" x14ac:dyDescent="0.45">
      <c r="A432" s="2" t="str">
        <f t="shared" si="6"/>
        <v>佐伯リベロフットボールクラブ_6</v>
      </c>
      <c r="B432" s="1" t="s">
        <v>216</v>
      </c>
      <c r="C432" s="1" t="str">
        <f>("6")</f>
        <v>6</v>
      </c>
      <c r="D432" s="1" t="s">
        <v>208</v>
      </c>
      <c r="E432" s="1" t="s">
        <v>5226</v>
      </c>
      <c r="F432" s="1" t="s">
        <v>5227</v>
      </c>
      <c r="G432" s="1">
        <v>6</v>
      </c>
      <c r="H432" s="1" t="s">
        <v>229</v>
      </c>
      <c r="I432" s="1" t="str">
        <f>("1110140077")</f>
        <v>1110140077</v>
      </c>
    </row>
    <row r="433" spans="1:10" x14ac:dyDescent="0.45">
      <c r="A433" s="2" t="str">
        <f t="shared" si="6"/>
        <v>佐伯リベロフットボールクラブ_7</v>
      </c>
      <c r="B433" s="1" t="s">
        <v>216</v>
      </c>
      <c r="C433" s="1" t="str">
        <f>("7")</f>
        <v>7</v>
      </c>
      <c r="D433" s="1" t="s">
        <v>209</v>
      </c>
      <c r="E433" s="1" t="s">
        <v>5228</v>
      </c>
      <c r="F433" s="1" t="s">
        <v>5229</v>
      </c>
      <c r="G433" s="1">
        <v>6</v>
      </c>
      <c r="H433" s="1" t="s">
        <v>229</v>
      </c>
      <c r="I433" s="1" t="str">
        <f>("1107130104")</f>
        <v>1107130104</v>
      </c>
    </row>
    <row r="434" spans="1:10" x14ac:dyDescent="0.45">
      <c r="A434" s="2" t="str">
        <f t="shared" si="6"/>
        <v>佐伯リベロフットボールクラブ_8</v>
      </c>
      <c r="B434" s="1" t="s">
        <v>216</v>
      </c>
      <c r="C434" s="1" t="str">
        <f>("8")</f>
        <v>8</v>
      </c>
      <c r="D434" s="1" t="s">
        <v>209</v>
      </c>
      <c r="E434" s="1" t="s">
        <v>5240</v>
      </c>
      <c r="F434" s="1" t="s">
        <v>5241</v>
      </c>
      <c r="G434" s="1">
        <v>6</v>
      </c>
      <c r="H434" s="1" t="s">
        <v>229</v>
      </c>
      <c r="I434" s="1" t="str">
        <f>("1203190056")</f>
        <v>1203190056</v>
      </c>
    </row>
    <row r="435" spans="1:10" x14ac:dyDescent="0.45">
      <c r="A435" s="2" t="str">
        <f t="shared" si="6"/>
        <v>佐伯リベロフットボールクラブ_9</v>
      </c>
      <c r="B435" s="1" t="s">
        <v>216</v>
      </c>
      <c r="C435" s="1" t="str">
        <f>("9")</f>
        <v>9</v>
      </c>
      <c r="D435" s="1" t="s">
        <v>208</v>
      </c>
      <c r="E435" s="1" t="s">
        <v>6194</v>
      </c>
      <c r="F435" s="1" t="s">
        <v>6195</v>
      </c>
      <c r="G435" s="1">
        <v>6</v>
      </c>
      <c r="H435" s="1" t="s">
        <v>229</v>
      </c>
      <c r="I435" s="1" t="str">
        <f>("1202140080")</f>
        <v>1202140080</v>
      </c>
    </row>
    <row r="436" spans="1:10" x14ac:dyDescent="0.45">
      <c r="A436" s="2" t="str">
        <f t="shared" si="6"/>
        <v>佐伯リベロフットボールクラブ_10</v>
      </c>
      <c r="B436" s="1" t="s">
        <v>216</v>
      </c>
      <c r="C436" s="1" t="str">
        <f>("10")</f>
        <v>10</v>
      </c>
      <c r="D436" s="1" t="s">
        <v>210</v>
      </c>
      <c r="E436" s="1" t="s">
        <v>5242</v>
      </c>
      <c r="F436" s="1" t="s">
        <v>5243</v>
      </c>
      <c r="G436" s="1">
        <v>6</v>
      </c>
      <c r="H436" s="1" t="s">
        <v>229</v>
      </c>
      <c r="I436" s="1" t="str">
        <f>("1201240093")</f>
        <v>1201240093</v>
      </c>
      <c r="J436" s="1" t="s">
        <v>1858</v>
      </c>
    </row>
    <row r="437" spans="1:10" x14ac:dyDescent="0.45">
      <c r="A437" s="2" t="str">
        <f t="shared" si="6"/>
        <v>佐伯リベロフットボールクラブ_11</v>
      </c>
      <c r="B437" s="1" t="s">
        <v>216</v>
      </c>
      <c r="C437" s="1" t="str">
        <f>("11")</f>
        <v>11</v>
      </c>
      <c r="D437" s="1" t="s">
        <v>210</v>
      </c>
      <c r="E437" s="1" t="s">
        <v>5244</v>
      </c>
      <c r="F437" s="1" t="s">
        <v>5245</v>
      </c>
      <c r="G437" s="1">
        <v>6</v>
      </c>
      <c r="H437" s="1" t="s">
        <v>229</v>
      </c>
      <c r="I437" s="1" t="str">
        <f>("1203060101")</f>
        <v>1203060101</v>
      </c>
    </row>
    <row r="438" spans="1:10" x14ac:dyDescent="0.45">
      <c r="A438" s="2" t="str">
        <f t="shared" si="6"/>
        <v>佐伯リベロフットボールクラブ_14</v>
      </c>
      <c r="B438" s="1" t="s">
        <v>216</v>
      </c>
      <c r="C438" s="1" t="str">
        <f>("14")</f>
        <v>14</v>
      </c>
      <c r="D438" s="1" t="s">
        <v>210</v>
      </c>
      <c r="E438" s="1" t="s">
        <v>8851</v>
      </c>
      <c r="F438" s="1" t="s">
        <v>8852</v>
      </c>
      <c r="G438" s="1">
        <v>4</v>
      </c>
      <c r="H438" s="1" t="s">
        <v>231</v>
      </c>
      <c r="I438" s="1" t="str">
        <f>("1309250131")</f>
        <v>1309250131</v>
      </c>
    </row>
    <row r="439" spans="1:10" x14ac:dyDescent="0.45">
      <c r="A439" s="2" t="str">
        <f t="shared" si="6"/>
        <v>佐伯リベロフットボールクラブ_21</v>
      </c>
      <c r="B439" s="1" t="s">
        <v>216</v>
      </c>
      <c r="C439" s="1" t="str">
        <f>("21")</f>
        <v>21</v>
      </c>
      <c r="D439" s="1" t="s">
        <v>207</v>
      </c>
      <c r="E439" s="1" t="s">
        <v>8853</v>
      </c>
      <c r="F439" s="1" t="s">
        <v>8854</v>
      </c>
      <c r="G439" s="1">
        <v>4</v>
      </c>
      <c r="H439" s="1" t="s">
        <v>229</v>
      </c>
      <c r="I439" s="1" t="str">
        <f>("1307300136")</f>
        <v>1307300136</v>
      </c>
    </row>
    <row r="440" spans="1:10" x14ac:dyDescent="0.45">
      <c r="A440" s="2" t="str">
        <f t="shared" si="6"/>
        <v>別府フットボールクラブ．ミネルバＵ－１２_1</v>
      </c>
      <c r="B440" s="1" t="s">
        <v>3298</v>
      </c>
      <c r="C440" s="1" t="str">
        <f>("1")</f>
        <v>1</v>
      </c>
      <c r="D440" s="1" t="s">
        <v>207</v>
      </c>
      <c r="E440" s="1" t="s">
        <v>6198</v>
      </c>
      <c r="F440" s="1" t="s">
        <v>6199</v>
      </c>
      <c r="G440" s="1">
        <v>6</v>
      </c>
      <c r="H440" s="1" t="s">
        <v>229</v>
      </c>
      <c r="I440" s="1" t="str">
        <f>("1108200166")</f>
        <v>1108200166</v>
      </c>
    </row>
    <row r="441" spans="1:10" x14ac:dyDescent="0.45">
      <c r="A441" s="2" t="str">
        <f t="shared" si="6"/>
        <v>別府フットボールクラブ．ミネルバＵ－１２_2</v>
      </c>
      <c r="B441" s="1" t="s">
        <v>3298</v>
      </c>
      <c r="C441" s="1" t="str">
        <f>("2")</f>
        <v>2</v>
      </c>
      <c r="D441" s="1" t="s">
        <v>208</v>
      </c>
      <c r="E441" s="1" t="s">
        <v>5254</v>
      </c>
      <c r="F441" s="1" t="s">
        <v>5255</v>
      </c>
      <c r="G441" s="1">
        <v>6</v>
      </c>
      <c r="H441" s="1" t="s">
        <v>229</v>
      </c>
      <c r="I441" s="1" t="str">
        <f>("1108110154")</f>
        <v>1108110154</v>
      </c>
    </row>
    <row r="442" spans="1:10" x14ac:dyDescent="0.45">
      <c r="A442" s="2" t="str">
        <f t="shared" si="6"/>
        <v>別府フットボールクラブ．ミネルバＵ－１２_3</v>
      </c>
      <c r="B442" s="1" t="s">
        <v>3298</v>
      </c>
      <c r="C442" s="1" t="str">
        <f>("3")</f>
        <v>3</v>
      </c>
      <c r="D442" s="1" t="s">
        <v>208</v>
      </c>
      <c r="E442" s="1" t="s">
        <v>8855</v>
      </c>
      <c r="F442" s="1" t="s">
        <v>8856</v>
      </c>
      <c r="G442" s="1">
        <v>6</v>
      </c>
      <c r="H442" s="1" t="s">
        <v>229</v>
      </c>
      <c r="I442" s="1" t="str">
        <f>("1110120191")</f>
        <v>1110120191</v>
      </c>
    </row>
    <row r="443" spans="1:10" x14ac:dyDescent="0.45">
      <c r="A443" s="2" t="str">
        <f t="shared" si="6"/>
        <v>別府フットボールクラブ．ミネルバＵ－１２_4</v>
      </c>
      <c r="B443" s="1" t="s">
        <v>3298</v>
      </c>
      <c r="C443" s="1" t="str">
        <f>("4")</f>
        <v>4</v>
      </c>
      <c r="D443" s="1" t="s">
        <v>209</v>
      </c>
      <c r="E443" s="1" t="s">
        <v>8857</v>
      </c>
      <c r="F443" s="1" t="s">
        <v>8858</v>
      </c>
      <c r="G443" s="1">
        <v>6</v>
      </c>
      <c r="H443" s="1" t="s">
        <v>229</v>
      </c>
      <c r="I443" s="1" t="str">
        <f>("1111210111")</f>
        <v>1111210111</v>
      </c>
    </row>
    <row r="444" spans="1:10" x14ac:dyDescent="0.45">
      <c r="A444" s="2" t="str">
        <f t="shared" si="6"/>
        <v>別府フットボールクラブ．ミネルバＵ－１２_5</v>
      </c>
      <c r="B444" s="1" t="s">
        <v>3298</v>
      </c>
      <c r="C444" s="1" t="str">
        <f>("5")</f>
        <v>5</v>
      </c>
      <c r="D444" s="1" t="s">
        <v>210</v>
      </c>
      <c r="E444" s="1" t="s">
        <v>8859</v>
      </c>
      <c r="F444" s="1" t="s">
        <v>8860</v>
      </c>
      <c r="G444" s="1">
        <v>6</v>
      </c>
      <c r="H444" s="1" t="s">
        <v>231</v>
      </c>
      <c r="I444" s="1" t="str">
        <f>("1201300116")</f>
        <v>1201300116</v>
      </c>
    </row>
    <row r="445" spans="1:10" x14ac:dyDescent="0.45">
      <c r="A445" s="2" t="str">
        <f t="shared" si="6"/>
        <v>別府フットボールクラブ．ミネルバＵ－１２_6</v>
      </c>
      <c r="B445" s="1" t="s">
        <v>3298</v>
      </c>
      <c r="C445" s="1" t="str">
        <f>("6")</f>
        <v>6</v>
      </c>
      <c r="D445" s="1" t="s">
        <v>209</v>
      </c>
      <c r="E445" s="1" t="s">
        <v>8861</v>
      </c>
      <c r="F445" s="1" t="s">
        <v>8862</v>
      </c>
      <c r="G445" s="1">
        <v>6</v>
      </c>
      <c r="H445" s="1" t="s">
        <v>229</v>
      </c>
      <c r="I445" s="1" t="str">
        <f>("1105040155")</f>
        <v>1105040155</v>
      </c>
    </row>
    <row r="446" spans="1:10" x14ac:dyDescent="0.45">
      <c r="A446" s="2" t="str">
        <f t="shared" si="6"/>
        <v>別府フットボールクラブ．ミネルバＵ－１２_7</v>
      </c>
      <c r="B446" s="1" t="s">
        <v>3298</v>
      </c>
      <c r="C446" s="1" t="str">
        <f>("7")</f>
        <v>7</v>
      </c>
      <c r="D446" s="1" t="s">
        <v>209</v>
      </c>
      <c r="E446" s="1" t="s">
        <v>5250</v>
      </c>
      <c r="F446" s="1" t="s">
        <v>5251</v>
      </c>
      <c r="G446" s="1">
        <v>6</v>
      </c>
      <c r="H446" s="1" t="s">
        <v>229</v>
      </c>
      <c r="I446" s="1" t="str">
        <f>("1104020101")</f>
        <v>1104020101</v>
      </c>
      <c r="J446" s="1" t="s">
        <v>1858</v>
      </c>
    </row>
    <row r="447" spans="1:10" x14ac:dyDescent="0.45">
      <c r="A447" s="2" t="str">
        <f t="shared" si="6"/>
        <v>別府フットボールクラブ．ミネルバＵ－１２_8</v>
      </c>
      <c r="B447" s="1" t="s">
        <v>3298</v>
      </c>
      <c r="C447" s="1" t="str">
        <f>("8")</f>
        <v>8</v>
      </c>
      <c r="D447" s="1" t="s">
        <v>210</v>
      </c>
      <c r="E447" s="1" t="s">
        <v>8863</v>
      </c>
      <c r="F447" s="1" t="s">
        <v>8864</v>
      </c>
      <c r="G447" s="1">
        <v>6</v>
      </c>
      <c r="H447" s="1" t="s">
        <v>229</v>
      </c>
      <c r="I447" s="1" t="str">
        <f>("1106200187")</f>
        <v>1106200187</v>
      </c>
    </row>
    <row r="448" spans="1:10" x14ac:dyDescent="0.45">
      <c r="A448" s="2" t="str">
        <f t="shared" si="6"/>
        <v>別府フットボールクラブ．ミネルバＵ－１２_9</v>
      </c>
      <c r="B448" s="1" t="s">
        <v>3298</v>
      </c>
      <c r="C448" s="1" t="str">
        <f>("9")</f>
        <v>9</v>
      </c>
      <c r="D448" s="1" t="s">
        <v>210</v>
      </c>
      <c r="E448" s="1" t="s">
        <v>8865</v>
      </c>
      <c r="F448" s="1" t="s">
        <v>8866</v>
      </c>
      <c r="G448" s="1">
        <v>6</v>
      </c>
      <c r="H448" s="1" t="s">
        <v>229</v>
      </c>
      <c r="I448" s="1" t="str">
        <f>("1106030218")</f>
        <v>1106030218</v>
      </c>
    </row>
    <row r="449" spans="1:9" x14ac:dyDescent="0.45">
      <c r="A449" s="2" t="str">
        <f t="shared" ref="A449:A512" si="7">CONCATENATE(B449,"_",C449)</f>
        <v>別府フットボールクラブ．ミネルバＵ－１２_10</v>
      </c>
      <c r="B449" s="1" t="s">
        <v>3298</v>
      </c>
      <c r="C449" s="1" t="str">
        <f>("10")</f>
        <v>10</v>
      </c>
      <c r="D449" s="1" t="s">
        <v>209</v>
      </c>
      <c r="E449" s="1" t="s">
        <v>5252</v>
      </c>
      <c r="F449" s="1" t="s">
        <v>5253</v>
      </c>
      <c r="G449" s="1">
        <v>6</v>
      </c>
      <c r="H449" s="1" t="s">
        <v>229</v>
      </c>
      <c r="I449" s="1" t="str">
        <f>("1110030123")</f>
        <v>1110030123</v>
      </c>
    </row>
    <row r="450" spans="1:9" x14ac:dyDescent="0.45">
      <c r="A450" s="2" t="str">
        <f t="shared" si="7"/>
        <v>別府フットボールクラブ．ミネルバＵ－１２_11</v>
      </c>
      <c r="B450" s="1" t="s">
        <v>3298</v>
      </c>
      <c r="C450" s="1" t="str">
        <f>("11")</f>
        <v>11</v>
      </c>
      <c r="D450" s="1" t="s">
        <v>209</v>
      </c>
      <c r="E450" s="1" t="s">
        <v>8867</v>
      </c>
      <c r="F450" s="1" t="s">
        <v>8868</v>
      </c>
      <c r="G450" s="1">
        <v>6</v>
      </c>
      <c r="H450" s="1" t="s">
        <v>229</v>
      </c>
      <c r="I450" s="1" t="str">
        <f>("1109090195")</f>
        <v>1109090195</v>
      </c>
    </row>
    <row r="451" spans="1:9" x14ac:dyDescent="0.45">
      <c r="A451" s="2" t="str">
        <f t="shared" si="7"/>
        <v>別府フットボールクラブ．ミネルバＵ－１２_12</v>
      </c>
      <c r="B451" s="1" t="s">
        <v>3298</v>
      </c>
      <c r="C451" s="1" t="str">
        <f>("12")</f>
        <v>12</v>
      </c>
      <c r="D451" s="1" t="s">
        <v>209</v>
      </c>
      <c r="E451" s="1" t="s">
        <v>8869</v>
      </c>
      <c r="F451" s="1" t="s">
        <v>8870</v>
      </c>
      <c r="G451" s="1">
        <v>5</v>
      </c>
      <c r="H451" s="1" t="s">
        <v>229</v>
      </c>
      <c r="I451" s="1" t="str">
        <f>("1302030023")</f>
        <v>1302030023</v>
      </c>
    </row>
    <row r="452" spans="1:9" x14ac:dyDescent="0.45">
      <c r="A452" s="2" t="str">
        <f t="shared" si="7"/>
        <v>別府フットボールクラブ．ミネルバＵ－１２_13</v>
      </c>
      <c r="B452" s="1" t="s">
        <v>3298</v>
      </c>
      <c r="C452" s="1" t="str">
        <f>("13")</f>
        <v>13</v>
      </c>
      <c r="D452" s="1" t="s">
        <v>209</v>
      </c>
      <c r="E452" s="1" t="s">
        <v>8871</v>
      </c>
      <c r="F452" s="1" t="s">
        <v>8872</v>
      </c>
      <c r="G452" s="1">
        <v>5</v>
      </c>
      <c r="H452" s="1" t="s">
        <v>229</v>
      </c>
      <c r="I452" s="1" t="str">
        <f>("1303130077")</f>
        <v>1303130077</v>
      </c>
    </row>
    <row r="453" spans="1:9" x14ac:dyDescent="0.45">
      <c r="A453" s="2" t="str">
        <f t="shared" si="7"/>
        <v>別府フットボールクラブ．ミネルバＵ－１２_14</v>
      </c>
      <c r="B453" s="1" t="s">
        <v>3298</v>
      </c>
      <c r="C453" s="1" t="str">
        <f>("14")</f>
        <v>14</v>
      </c>
      <c r="D453" s="1" t="s">
        <v>209</v>
      </c>
      <c r="E453" s="1" t="s">
        <v>8873</v>
      </c>
      <c r="F453" s="1" t="s">
        <v>8874</v>
      </c>
      <c r="G453" s="1">
        <v>5</v>
      </c>
      <c r="H453" s="1" t="s">
        <v>229</v>
      </c>
      <c r="I453" s="1" t="str">
        <f>("1302240054")</f>
        <v>1302240054</v>
      </c>
    </row>
    <row r="454" spans="1:9" x14ac:dyDescent="0.45">
      <c r="A454" s="2" t="str">
        <f t="shared" si="7"/>
        <v>別府フットボールクラブ．ミネルバＵ－１２_15</v>
      </c>
      <c r="B454" s="1" t="s">
        <v>3298</v>
      </c>
      <c r="C454" s="1" t="str">
        <f>("15")</f>
        <v>15</v>
      </c>
      <c r="D454" s="1" t="s">
        <v>208</v>
      </c>
      <c r="E454" s="1" t="s">
        <v>8875</v>
      </c>
      <c r="F454" s="1" t="s">
        <v>8876</v>
      </c>
      <c r="G454" s="1">
        <v>5</v>
      </c>
      <c r="H454" s="1" t="s">
        <v>229</v>
      </c>
      <c r="I454" s="1" t="str">
        <f>("1209240192")</f>
        <v>1209240192</v>
      </c>
    </row>
    <row r="455" spans="1:9" x14ac:dyDescent="0.45">
      <c r="A455" s="2" t="str">
        <f t="shared" si="7"/>
        <v>別府フットボールクラブ．ミネルバＵ－１２_16</v>
      </c>
      <c r="B455" s="1" t="s">
        <v>3298</v>
      </c>
      <c r="C455" s="1" t="str">
        <f>("16")</f>
        <v>16</v>
      </c>
      <c r="D455" s="1" t="s">
        <v>209</v>
      </c>
      <c r="E455" s="1" t="s">
        <v>8877</v>
      </c>
      <c r="F455" s="1" t="s">
        <v>8878</v>
      </c>
      <c r="G455" s="1">
        <v>5</v>
      </c>
      <c r="H455" s="1" t="s">
        <v>229</v>
      </c>
      <c r="I455" s="1" t="str">
        <f>("1207310190")</f>
        <v>1207310190</v>
      </c>
    </row>
    <row r="456" spans="1:9" x14ac:dyDescent="0.45">
      <c r="A456" s="2" t="str">
        <f t="shared" si="7"/>
        <v>別保ＳＦＣ_1</v>
      </c>
      <c r="B456" s="1" t="s">
        <v>2084</v>
      </c>
      <c r="C456" s="1" t="str">
        <f>("1")</f>
        <v>1</v>
      </c>
      <c r="D456" s="1" t="s">
        <v>207</v>
      </c>
      <c r="E456" s="1" t="s">
        <v>6206</v>
      </c>
      <c r="F456" s="1" t="s">
        <v>6207</v>
      </c>
      <c r="G456" s="1">
        <v>6</v>
      </c>
      <c r="H456" s="1" t="s">
        <v>229</v>
      </c>
      <c r="I456" s="1" t="str">
        <f>("1107020115")</f>
        <v>1107020115</v>
      </c>
    </row>
    <row r="457" spans="1:9" x14ac:dyDescent="0.45">
      <c r="A457" s="2" t="str">
        <f t="shared" si="7"/>
        <v>別保ＳＦＣ_2</v>
      </c>
      <c r="B457" s="1" t="s">
        <v>2084</v>
      </c>
      <c r="C457" s="1" t="str">
        <f>("2")</f>
        <v>2</v>
      </c>
      <c r="D457" s="1" t="s">
        <v>208</v>
      </c>
      <c r="E457" s="1" t="s">
        <v>8879</v>
      </c>
      <c r="F457" s="1" t="s">
        <v>8880</v>
      </c>
      <c r="G457" s="1">
        <v>5</v>
      </c>
      <c r="H457" s="1" t="s">
        <v>229</v>
      </c>
      <c r="I457" s="1" t="str">
        <f>("1208230164")</f>
        <v>1208230164</v>
      </c>
    </row>
    <row r="458" spans="1:9" x14ac:dyDescent="0.45">
      <c r="A458" s="2" t="str">
        <f t="shared" si="7"/>
        <v>別保ＳＦＣ_3</v>
      </c>
      <c r="B458" s="1" t="s">
        <v>2084</v>
      </c>
      <c r="C458" s="1" t="str">
        <f>("3")</f>
        <v>3</v>
      </c>
      <c r="D458" s="1" t="s">
        <v>208</v>
      </c>
      <c r="E458" s="1" t="s">
        <v>8881</v>
      </c>
      <c r="F458" s="1" t="s">
        <v>8882</v>
      </c>
      <c r="G458" s="1">
        <v>5</v>
      </c>
      <c r="H458" s="1" t="s">
        <v>231</v>
      </c>
      <c r="I458" s="1" t="str">
        <f>("1209020125")</f>
        <v>1209020125</v>
      </c>
    </row>
    <row r="459" spans="1:9" x14ac:dyDescent="0.45">
      <c r="A459" s="2" t="str">
        <f t="shared" si="7"/>
        <v>別保ＳＦＣ_4</v>
      </c>
      <c r="B459" s="1" t="s">
        <v>2084</v>
      </c>
      <c r="C459" s="1" t="str">
        <f>("4")</f>
        <v>4</v>
      </c>
      <c r="D459" s="1" t="s">
        <v>209</v>
      </c>
      <c r="E459" s="1" t="s">
        <v>8883</v>
      </c>
      <c r="F459" s="1" t="s">
        <v>8884</v>
      </c>
      <c r="G459" s="1">
        <v>5</v>
      </c>
      <c r="H459" s="1" t="s">
        <v>229</v>
      </c>
      <c r="I459" s="1" t="str">
        <f>("1212260162")</f>
        <v>1212260162</v>
      </c>
    </row>
    <row r="460" spans="1:9" x14ac:dyDescent="0.45">
      <c r="A460" s="2" t="str">
        <f t="shared" si="7"/>
        <v>別保ＳＦＣ_5</v>
      </c>
      <c r="B460" s="1" t="s">
        <v>2084</v>
      </c>
      <c r="C460" s="1" t="str">
        <f>("5")</f>
        <v>5</v>
      </c>
      <c r="D460" s="1" t="s">
        <v>209</v>
      </c>
      <c r="E460" s="1" t="s">
        <v>8885</v>
      </c>
      <c r="F460" s="1" t="s">
        <v>8886</v>
      </c>
      <c r="G460" s="1">
        <v>5</v>
      </c>
      <c r="H460" s="1" t="s">
        <v>231</v>
      </c>
      <c r="I460" s="1" t="str">
        <f>("1301040172")</f>
        <v>1301040172</v>
      </c>
    </row>
    <row r="461" spans="1:9" x14ac:dyDescent="0.45">
      <c r="A461" s="2" t="str">
        <f t="shared" si="7"/>
        <v>別保ＳＦＣ_6</v>
      </c>
      <c r="B461" s="1" t="s">
        <v>2084</v>
      </c>
      <c r="C461" s="1" t="str">
        <f>("6")</f>
        <v>6</v>
      </c>
      <c r="D461" s="1" t="s">
        <v>208</v>
      </c>
      <c r="E461" s="1" t="s">
        <v>8887</v>
      </c>
      <c r="F461" s="1" t="s">
        <v>8888</v>
      </c>
      <c r="G461" s="1">
        <v>6</v>
      </c>
      <c r="H461" s="1" t="s">
        <v>229</v>
      </c>
      <c r="I461" s="1" t="str">
        <f>("1201070129")</f>
        <v>1201070129</v>
      </c>
    </row>
    <row r="462" spans="1:9" x14ac:dyDescent="0.45">
      <c r="A462" s="2" t="str">
        <f t="shared" si="7"/>
        <v>別保ＳＦＣ_7</v>
      </c>
      <c r="B462" s="1" t="s">
        <v>2084</v>
      </c>
      <c r="C462" s="1" t="str">
        <f>("7")</f>
        <v>7</v>
      </c>
      <c r="D462" s="1" t="s">
        <v>209</v>
      </c>
      <c r="E462" s="1" t="s">
        <v>8889</v>
      </c>
      <c r="F462" s="1" t="s">
        <v>8890</v>
      </c>
      <c r="G462" s="1">
        <v>5</v>
      </c>
      <c r="H462" s="1" t="s">
        <v>229</v>
      </c>
      <c r="I462" s="1" t="str">
        <f>("1210210110")</f>
        <v>1210210110</v>
      </c>
    </row>
    <row r="463" spans="1:9" x14ac:dyDescent="0.45">
      <c r="A463" s="2" t="str">
        <f t="shared" si="7"/>
        <v>別保ＳＦＣ_8</v>
      </c>
      <c r="B463" s="1" t="s">
        <v>2084</v>
      </c>
      <c r="C463" s="1" t="str">
        <f>("8")</f>
        <v>8</v>
      </c>
      <c r="D463" s="1" t="s">
        <v>209</v>
      </c>
      <c r="E463" s="1" t="s">
        <v>8891</v>
      </c>
      <c r="F463" s="1" t="s">
        <v>8892</v>
      </c>
      <c r="G463" s="1">
        <v>6</v>
      </c>
      <c r="H463" s="1" t="s">
        <v>231</v>
      </c>
      <c r="I463" s="1" t="str">
        <f>("1112050114")</f>
        <v>1112050114</v>
      </c>
    </row>
    <row r="464" spans="1:9" x14ac:dyDescent="0.45">
      <c r="A464" s="2" t="str">
        <f t="shared" si="7"/>
        <v>別保ＳＦＣ_9</v>
      </c>
      <c r="B464" s="1" t="s">
        <v>2084</v>
      </c>
      <c r="C464" s="1" t="str">
        <f>("9")</f>
        <v>9</v>
      </c>
      <c r="D464" s="1" t="s">
        <v>210</v>
      </c>
      <c r="E464" s="1" t="s">
        <v>6208</v>
      </c>
      <c r="F464" s="1" t="s">
        <v>6209</v>
      </c>
      <c r="G464" s="1">
        <v>6</v>
      </c>
      <c r="H464" s="1" t="s">
        <v>229</v>
      </c>
      <c r="I464" s="1" t="str">
        <f>("1108110161")</f>
        <v>1108110161</v>
      </c>
    </row>
    <row r="465" spans="1:10" x14ac:dyDescent="0.45">
      <c r="A465" s="2" t="str">
        <f t="shared" si="7"/>
        <v>別保ＳＦＣ_10</v>
      </c>
      <c r="B465" s="1" t="s">
        <v>2084</v>
      </c>
      <c r="C465" s="1" t="str">
        <f>("10")</f>
        <v>10</v>
      </c>
      <c r="D465" s="1" t="s">
        <v>209</v>
      </c>
      <c r="E465" s="1" t="s">
        <v>6204</v>
      </c>
      <c r="F465" s="1" t="s">
        <v>6205</v>
      </c>
      <c r="G465" s="1">
        <v>6</v>
      </c>
      <c r="H465" s="1" t="s">
        <v>229</v>
      </c>
      <c r="I465" s="1" t="str">
        <f>("1109210163")</f>
        <v>1109210163</v>
      </c>
      <c r="J465" s="1" t="s">
        <v>1858</v>
      </c>
    </row>
    <row r="466" spans="1:10" x14ac:dyDescent="0.45">
      <c r="A466" s="2" t="str">
        <f t="shared" si="7"/>
        <v>別保ＳＦＣ_11</v>
      </c>
      <c r="B466" s="1" t="s">
        <v>2084</v>
      </c>
      <c r="C466" s="1" t="str">
        <f>("11")</f>
        <v>11</v>
      </c>
      <c r="D466" s="1" t="s">
        <v>208</v>
      </c>
      <c r="E466" s="1" t="s">
        <v>8893</v>
      </c>
      <c r="F466" s="1" t="s">
        <v>8894</v>
      </c>
      <c r="G466" s="1">
        <v>6</v>
      </c>
      <c r="H466" s="1" t="s">
        <v>229</v>
      </c>
      <c r="I466" s="1" t="str">
        <f>("1203100089")</f>
        <v>1203100089</v>
      </c>
    </row>
    <row r="467" spans="1:10" x14ac:dyDescent="0.45">
      <c r="A467" s="2" t="str">
        <f t="shared" si="7"/>
        <v>別保ＳＦＣ_12</v>
      </c>
      <c r="B467" s="1" t="s">
        <v>2084</v>
      </c>
      <c r="C467" s="1" t="str">
        <f>("12")</f>
        <v>12</v>
      </c>
      <c r="D467" s="1" t="s">
        <v>208</v>
      </c>
      <c r="E467" s="1" t="s">
        <v>8895</v>
      </c>
      <c r="F467" s="1" t="s">
        <v>8896</v>
      </c>
      <c r="G467" s="1">
        <v>5</v>
      </c>
      <c r="H467" s="1" t="s">
        <v>229</v>
      </c>
      <c r="I467" s="1" t="str">
        <f>("1207180257")</f>
        <v>1207180257</v>
      </c>
    </row>
    <row r="468" spans="1:10" x14ac:dyDescent="0.45">
      <c r="A468" s="2" t="str">
        <f t="shared" si="7"/>
        <v>別保ＳＦＣ_16</v>
      </c>
      <c r="B468" s="1" t="s">
        <v>2084</v>
      </c>
      <c r="C468" s="1" t="str">
        <f>("16")</f>
        <v>16</v>
      </c>
      <c r="D468" s="1" t="s">
        <v>207</v>
      </c>
      <c r="E468" s="1" t="s">
        <v>8897</v>
      </c>
      <c r="F468" s="1" t="s">
        <v>6212</v>
      </c>
      <c r="G468" s="1">
        <v>5</v>
      </c>
      <c r="H468" s="1" t="s">
        <v>229</v>
      </c>
      <c r="I468" s="1" t="str">
        <f>("1210210109")</f>
        <v>1210210109</v>
      </c>
    </row>
    <row r="469" spans="1:10" x14ac:dyDescent="0.45">
      <c r="A469" s="2" t="str">
        <f t="shared" si="7"/>
        <v>大分トリニータＵ－１２_1</v>
      </c>
      <c r="B469" s="1" t="s">
        <v>3249</v>
      </c>
      <c r="C469" s="1" t="str">
        <f>("1")</f>
        <v>1</v>
      </c>
      <c r="D469" s="1" t="s">
        <v>208</v>
      </c>
      <c r="E469" s="1" t="s">
        <v>8898</v>
      </c>
      <c r="F469" s="1" t="s">
        <v>8899</v>
      </c>
      <c r="G469" s="1">
        <v>6</v>
      </c>
      <c r="H469" s="1" t="s">
        <v>229</v>
      </c>
      <c r="I469" s="1" t="str">
        <f>("1107040161")</f>
        <v>1107040161</v>
      </c>
    </row>
    <row r="470" spans="1:10" x14ac:dyDescent="0.45">
      <c r="A470" s="2" t="str">
        <f t="shared" si="7"/>
        <v>大分トリニータＵ－１２_2</v>
      </c>
      <c r="B470" s="1" t="s">
        <v>3249</v>
      </c>
      <c r="C470" s="1" t="str">
        <f>("2")</f>
        <v>2</v>
      </c>
      <c r="D470" s="1" t="s">
        <v>209</v>
      </c>
      <c r="E470" s="1" t="s">
        <v>8900</v>
      </c>
      <c r="F470" s="1" t="s">
        <v>8901</v>
      </c>
      <c r="G470" s="1">
        <v>5</v>
      </c>
      <c r="H470" s="1" t="s">
        <v>229</v>
      </c>
      <c r="I470" s="1" t="str">
        <f>("1303210036")</f>
        <v>1303210036</v>
      </c>
    </row>
    <row r="471" spans="1:10" x14ac:dyDescent="0.45">
      <c r="A471" s="2" t="str">
        <f t="shared" si="7"/>
        <v>大分トリニータＵ－１２_3</v>
      </c>
      <c r="B471" s="1" t="s">
        <v>3249</v>
      </c>
      <c r="C471" s="1" t="str">
        <f>("3")</f>
        <v>3</v>
      </c>
      <c r="D471" s="1" t="s">
        <v>209</v>
      </c>
      <c r="E471" s="1" t="s">
        <v>8902</v>
      </c>
      <c r="F471" s="1" t="s">
        <v>8903</v>
      </c>
      <c r="G471" s="1">
        <v>6</v>
      </c>
      <c r="H471" s="1" t="s">
        <v>229</v>
      </c>
      <c r="I471" s="1" t="str">
        <f>("1107110130")</f>
        <v>1107110130</v>
      </c>
    </row>
    <row r="472" spans="1:10" x14ac:dyDescent="0.45">
      <c r="A472" s="2" t="str">
        <f t="shared" si="7"/>
        <v>大分トリニータＵ－１２_4</v>
      </c>
      <c r="B472" s="1" t="s">
        <v>3249</v>
      </c>
      <c r="C472" s="1" t="str">
        <f>("4")</f>
        <v>4</v>
      </c>
      <c r="D472" s="1" t="s">
        <v>208</v>
      </c>
      <c r="E472" s="1" t="s">
        <v>8904</v>
      </c>
      <c r="F472" s="1" t="s">
        <v>8905</v>
      </c>
      <c r="G472" s="1">
        <v>5</v>
      </c>
      <c r="H472" s="1" t="s">
        <v>229</v>
      </c>
      <c r="I472" s="1" t="str">
        <f>("1204180092")</f>
        <v>1204180092</v>
      </c>
    </row>
    <row r="473" spans="1:10" x14ac:dyDescent="0.45">
      <c r="A473" s="2" t="str">
        <f t="shared" si="7"/>
        <v>大分トリニータＵ－１２_5</v>
      </c>
      <c r="B473" s="1" t="s">
        <v>3249</v>
      </c>
      <c r="C473" s="1" t="str">
        <f>("5")</f>
        <v>5</v>
      </c>
      <c r="D473" s="1" t="s">
        <v>208</v>
      </c>
      <c r="E473" s="1" t="s">
        <v>8906</v>
      </c>
      <c r="F473" s="1" t="s">
        <v>8907</v>
      </c>
      <c r="G473" s="1">
        <v>6</v>
      </c>
      <c r="H473" s="1" t="s">
        <v>229</v>
      </c>
      <c r="I473" s="1" t="str">
        <f>("1105090019")</f>
        <v>1105090019</v>
      </c>
    </row>
    <row r="474" spans="1:10" x14ac:dyDescent="0.45">
      <c r="A474" s="2" t="str">
        <f t="shared" si="7"/>
        <v>大分トリニータＵ－１２_6</v>
      </c>
      <c r="B474" s="1" t="s">
        <v>3249</v>
      </c>
      <c r="C474" s="1" t="str">
        <f>("6")</f>
        <v>6</v>
      </c>
      <c r="D474" s="1" t="s">
        <v>210</v>
      </c>
      <c r="E474" s="1" t="s">
        <v>6225</v>
      </c>
      <c r="F474" s="1" t="s">
        <v>6226</v>
      </c>
      <c r="G474" s="1">
        <v>5</v>
      </c>
      <c r="H474" s="1" t="s">
        <v>229</v>
      </c>
      <c r="I474" s="1" t="str">
        <f>("1210100169")</f>
        <v>1210100169</v>
      </c>
    </row>
    <row r="475" spans="1:10" x14ac:dyDescent="0.45">
      <c r="A475" s="2" t="str">
        <f t="shared" si="7"/>
        <v>大分トリニータＵ－１２_7</v>
      </c>
      <c r="B475" s="1" t="s">
        <v>3249</v>
      </c>
      <c r="C475" s="1" t="str">
        <f>("7")</f>
        <v>7</v>
      </c>
      <c r="D475" s="1" t="s">
        <v>209</v>
      </c>
      <c r="E475" s="1" t="s">
        <v>8908</v>
      </c>
      <c r="F475" s="1" t="s">
        <v>8909</v>
      </c>
      <c r="G475" s="1">
        <v>6</v>
      </c>
      <c r="H475" s="1" t="s">
        <v>229</v>
      </c>
      <c r="I475" s="1" t="str">
        <f>("1111050005")</f>
        <v>1111050005</v>
      </c>
    </row>
    <row r="476" spans="1:10" x14ac:dyDescent="0.45">
      <c r="A476" s="2" t="str">
        <f t="shared" si="7"/>
        <v>大分トリニータＵ－１２_8</v>
      </c>
      <c r="B476" s="1" t="s">
        <v>3249</v>
      </c>
      <c r="C476" s="1" t="str">
        <f>("8")</f>
        <v>8</v>
      </c>
      <c r="D476" s="1" t="s">
        <v>209</v>
      </c>
      <c r="E476" s="1" t="s">
        <v>8910</v>
      </c>
      <c r="F476" s="1" t="s">
        <v>8911</v>
      </c>
      <c r="G476" s="1">
        <v>6</v>
      </c>
      <c r="H476" s="1" t="s">
        <v>229</v>
      </c>
      <c r="I476" s="1" t="str">
        <f>("1106110045")</f>
        <v>1106110045</v>
      </c>
    </row>
    <row r="477" spans="1:10" x14ac:dyDescent="0.45">
      <c r="A477" s="2" t="str">
        <f t="shared" si="7"/>
        <v>大分トリニータＵ－１２_9</v>
      </c>
      <c r="B477" s="1" t="s">
        <v>3249</v>
      </c>
      <c r="C477" s="1" t="str">
        <f>("9")</f>
        <v>9</v>
      </c>
      <c r="D477" s="1" t="s">
        <v>210</v>
      </c>
      <c r="E477" s="1" t="s">
        <v>8912</v>
      </c>
      <c r="F477" s="1" t="s">
        <v>8913</v>
      </c>
      <c r="G477" s="1">
        <v>6</v>
      </c>
      <c r="H477" s="1" t="s">
        <v>229</v>
      </c>
      <c r="I477" s="1" t="str">
        <f>("1104200059")</f>
        <v>1104200059</v>
      </c>
      <c r="J477" s="1" t="s">
        <v>1858</v>
      </c>
    </row>
    <row r="478" spans="1:10" x14ac:dyDescent="0.45">
      <c r="A478" s="2" t="str">
        <f t="shared" si="7"/>
        <v>大分トリニータＵ－１２_10</v>
      </c>
      <c r="B478" s="1" t="s">
        <v>3249</v>
      </c>
      <c r="C478" s="1" t="str">
        <f>("10")</f>
        <v>10</v>
      </c>
      <c r="D478" s="1" t="s">
        <v>210</v>
      </c>
      <c r="E478" s="1" t="s">
        <v>5513</v>
      </c>
      <c r="F478" s="1" t="s">
        <v>5514</v>
      </c>
      <c r="G478" s="1">
        <v>6</v>
      </c>
      <c r="H478" s="1" t="s">
        <v>229</v>
      </c>
      <c r="I478" s="1" t="str">
        <f>("1106170133")</f>
        <v>1106170133</v>
      </c>
    </row>
    <row r="479" spans="1:10" x14ac:dyDescent="0.45">
      <c r="A479" s="2" t="str">
        <f t="shared" si="7"/>
        <v>大分トリニータＵ－１２_11</v>
      </c>
      <c r="B479" s="1" t="s">
        <v>3249</v>
      </c>
      <c r="C479" s="1" t="str">
        <f>("11")</f>
        <v>11</v>
      </c>
      <c r="D479" s="1" t="s">
        <v>208</v>
      </c>
      <c r="E479" s="1" t="s">
        <v>8914</v>
      </c>
      <c r="F479" s="1" t="s">
        <v>8915</v>
      </c>
      <c r="G479" s="1">
        <v>6</v>
      </c>
      <c r="H479" s="1" t="s">
        <v>229</v>
      </c>
      <c r="I479" s="1" t="str">
        <f>("1109100095")</f>
        <v>1109100095</v>
      </c>
    </row>
    <row r="480" spans="1:10" x14ac:dyDescent="0.45">
      <c r="A480" s="2" t="str">
        <f t="shared" si="7"/>
        <v>大分トリニータＵ－１２_12</v>
      </c>
      <c r="B480" s="1" t="s">
        <v>3249</v>
      </c>
      <c r="C480" s="1" t="str">
        <f>("12")</f>
        <v>12</v>
      </c>
      <c r="D480" s="1" t="s">
        <v>209</v>
      </c>
      <c r="E480" s="1" t="s">
        <v>8916</v>
      </c>
      <c r="F480" s="1" t="s">
        <v>8917</v>
      </c>
      <c r="G480" s="1">
        <v>6</v>
      </c>
      <c r="H480" s="1" t="s">
        <v>229</v>
      </c>
      <c r="I480" s="1" t="str">
        <f>("1108170018")</f>
        <v>1108170018</v>
      </c>
    </row>
    <row r="481" spans="1:10" x14ac:dyDescent="0.45">
      <c r="A481" s="2" t="str">
        <f t="shared" si="7"/>
        <v>大分トリニータＵ－１２_13</v>
      </c>
      <c r="B481" s="1" t="s">
        <v>3249</v>
      </c>
      <c r="C481" s="1" t="str">
        <f>("13")</f>
        <v>13</v>
      </c>
      <c r="D481" s="1" t="s">
        <v>209</v>
      </c>
      <c r="E481" s="1" t="s">
        <v>8918</v>
      </c>
      <c r="F481" s="1" t="s">
        <v>8919</v>
      </c>
      <c r="G481" s="1">
        <v>5</v>
      </c>
      <c r="H481" s="1" t="s">
        <v>229</v>
      </c>
      <c r="I481" s="1" t="str">
        <f>("1206140116")</f>
        <v>1206140116</v>
      </c>
    </row>
    <row r="482" spans="1:10" x14ac:dyDescent="0.45">
      <c r="A482" s="2" t="str">
        <f t="shared" si="7"/>
        <v>大分トリニータＵ－１２_14</v>
      </c>
      <c r="B482" s="1" t="s">
        <v>3249</v>
      </c>
      <c r="C482" s="1" t="str">
        <f>("14")</f>
        <v>14</v>
      </c>
      <c r="D482" s="1" t="s">
        <v>209</v>
      </c>
      <c r="E482" s="1" t="s">
        <v>8920</v>
      </c>
      <c r="F482" s="1" t="s">
        <v>8921</v>
      </c>
      <c r="G482" s="1">
        <v>6</v>
      </c>
      <c r="H482" s="1" t="s">
        <v>229</v>
      </c>
      <c r="I482" s="1" t="str">
        <f>("1109010005")</f>
        <v>1109010005</v>
      </c>
    </row>
    <row r="483" spans="1:10" x14ac:dyDescent="0.45">
      <c r="A483" s="2" t="str">
        <f t="shared" si="7"/>
        <v>大分トリニータＵ－１２_15</v>
      </c>
      <c r="B483" s="1" t="s">
        <v>3249</v>
      </c>
      <c r="C483" s="1" t="str">
        <f>("15")</f>
        <v>15</v>
      </c>
      <c r="D483" s="1" t="s">
        <v>210</v>
      </c>
      <c r="E483" s="1" t="s">
        <v>8922</v>
      </c>
      <c r="F483" s="1" t="s">
        <v>8923</v>
      </c>
      <c r="G483" s="1">
        <v>6</v>
      </c>
      <c r="H483" s="1" t="s">
        <v>229</v>
      </c>
      <c r="I483" s="1" t="str">
        <f>("1106300074")</f>
        <v>1106300074</v>
      </c>
    </row>
    <row r="484" spans="1:10" x14ac:dyDescent="0.45">
      <c r="A484" s="2" t="str">
        <f t="shared" si="7"/>
        <v>大分トリニータＵ－１２_16</v>
      </c>
      <c r="B484" s="1" t="s">
        <v>3249</v>
      </c>
      <c r="C484" s="1" t="str">
        <f>("16")</f>
        <v>16</v>
      </c>
      <c r="D484" s="1" t="s">
        <v>209</v>
      </c>
      <c r="E484" s="1" t="s">
        <v>8924</v>
      </c>
      <c r="F484" s="1" t="s">
        <v>8925</v>
      </c>
      <c r="G484" s="1">
        <v>6</v>
      </c>
      <c r="H484" s="1" t="s">
        <v>229</v>
      </c>
      <c r="I484" s="1" t="str">
        <f>("1106030017")</f>
        <v>1106030017</v>
      </c>
    </row>
    <row r="485" spans="1:10" x14ac:dyDescent="0.45">
      <c r="A485" s="2" t="str">
        <f t="shared" si="7"/>
        <v>碩田サッカースポーツ少年団_1</v>
      </c>
      <c r="B485" s="1" t="s">
        <v>3959</v>
      </c>
      <c r="C485" s="1" t="str">
        <f>("1")</f>
        <v>1</v>
      </c>
      <c r="D485" s="1" t="s">
        <v>207</v>
      </c>
      <c r="E485" s="1" t="s">
        <v>8926</v>
      </c>
      <c r="F485" s="1" t="s">
        <v>8927</v>
      </c>
      <c r="G485" s="1">
        <v>4</v>
      </c>
      <c r="H485" s="1" t="s">
        <v>229</v>
      </c>
      <c r="I485" s="1" t="str">
        <f>("1311030005")</f>
        <v>1311030005</v>
      </c>
    </row>
    <row r="486" spans="1:10" x14ac:dyDescent="0.45">
      <c r="A486" s="2" t="str">
        <f t="shared" si="7"/>
        <v>碩田サッカースポーツ少年団_2</v>
      </c>
      <c r="B486" s="1" t="s">
        <v>3959</v>
      </c>
      <c r="C486" s="1" t="str">
        <f>("2")</f>
        <v>2</v>
      </c>
      <c r="D486" s="1" t="s">
        <v>209</v>
      </c>
      <c r="E486" s="1" t="s">
        <v>8928</v>
      </c>
      <c r="F486" s="1" t="s">
        <v>8929</v>
      </c>
      <c r="G486" s="1">
        <v>4</v>
      </c>
      <c r="H486" s="1" t="s">
        <v>231</v>
      </c>
      <c r="I486" s="1" t="str">
        <f>("1308050135")</f>
        <v>1308050135</v>
      </c>
    </row>
    <row r="487" spans="1:10" x14ac:dyDescent="0.45">
      <c r="A487" s="2" t="str">
        <f t="shared" si="7"/>
        <v>碩田サッカースポーツ少年団_3</v>
      </c>
      <c r="B487" s="1" t="s">
        <v>3959</v>
      </c>
      <c r="C487" s="1" t="str">
        <f>("3")</f>
        <v>3</v>
      </c>
      <c r="D487" s="1" t="s">
        <v>209</v>
      </c>
      <c r="E487" s="1" t="s">
        <v>6231</v>
      </c>
      <c r="F487" s="1" t="s">
        <v>6232</v>
      </c>
      <c r="G487" s="1">
        <v>4</v>
      </c>
      <c r="H487" s="1" t="s">
        <v>231</v>
      </c>
      <c r="I487" s="1" t="str">
        <f>("1310150009")</f>
        <v>1310150009</v>
      </c>
    </row>
    <row r="488" spans="1:10" x14ac:dyDescent="0.45">
      <c r="A488" s="2" t="str">
        <f t="shared" si="7"/>
        <v>碩田サッカースポーツ少年団_4</v>
      </c>
      <c r="B488" s="1" t="s">
        <v>3959</v>
      </c>
      <c r="C488" s="1" t="str">
        <f>("4")</f>
        <v>4</v>
      </c>
      <c r="D488" s="1" t="s">
        <v>209</v>
      </c>
      <c r="E488" s="1" t="s">
        <v>8930</v>
      </c>
      <c r="F488" s="1" t="s">
        <v>8931</v>
      </c>
      <c r="G488" s="1">
        <v>4</v>
      </c>
      <c r="H488" s="1" t="s">
        <v>231</v>
      </c>
      <c r="I488" s="1" t="str">
        <f>("1304180005")</f>
        <v>1304180005</v>
      </c>
    </row>
    <row r="489" spans="1:10" x14ac:dyDescent="0.45">
      <c r="A489" s="2" t="str">
        <f t="shared" si="7"/>
        <v>碩田サッカースポーツ少年団_5</v>
      </c>
      <c r="B489" s="1" t="s">
        <v>3959</v>
      </c>
      <c r="C489" s="1" t="str">
        <f>("5")</f>
        <v>5</v>
      </c>
      <c r="D489" s="1" t="s">
        <v>208</v>
      </c>
      <c r="E489" s="1" t="s">
        <v>8932</v>
      </c>
      <c r="F489" s="1" t="s">
        <v>8933</v>
      </c>
      <c r="G489" s="1">
        <v>4</v>
      </c>
      <c r="H489" s="1" t="s">
        <v>229</v>
      </c>
      <c r="I489" s="1" t="str">
        <f>("1311270011")</f>
        <v>1311270011</v>
      </c>
    </row>
    <row r="490" spans="1:10" x14ac:dyDescent="0.45">
      <c r="A490" s="2" t="str">
        <f t="shared" si="7"/>
        <v>碩田サッカースポーツ少年団_6</v>
      </c>
      <c r="B490" s="1" t="s">
        <v>3959</v>
      </c>
      <c r="C490" s="1" t="str">
        <f>("6")</f>
        <v>6</v>
      </c>
      <c r="D490" s="1" t="s">
        <v>209</v>
      </c>
      <c r="E490" s="1" t="s">
        <v>6240</v>
      </c>
      <c r="F490" s="1" t="s">
        <v>6241</v>
      </c>
      <c r="G490" s="1">
        <v>4</v>
      </c>
      <c r="H490" s="1" t="s">
        <v>229</v>
      </c>
      <c r="I490" s="1" t="str">
        <f>("1210090023")</f>
        <v>1210090023</v>
      </c>
    </row>
    <row r="491" spans="1:10" x14ac:dyDescent="0.45">
      <c r="A491" s="2" t="str">
        <f t="shared" si="7"/>
        <v>碩田サッカースポーツ少年団_7</v>
      </c>
      <c r="B491" s="1" t="s">
        <v>3959</v>
      </c>
      <c r="C491" s="1" t="str">
        <f>("7")</f>
        <v>7</v>
      </c>
      <c r="D491" s="1" t="s">
        <v>209</v>
      </c>
      <c r="E491" s="1" t="s">
        <v>8934</v>
      </c>
      <c r="F491" s="1" t="s">
        <v>6239</v>
      </c>
      <c r="G491" s="1">
        <v>5</v>
      </c>
      <c r="H491" s="1" t="s">
        <v>229</v>
      </c>
      <c r="I491" s="1" t="str">
        <f>("1204100144")</f>
        <v>1204100144</v>
      </c>
    </row>
    <row r="492" spans="1:10" x14ac:dyDescent="0.45">
      <c r="A492" s="2" t="str">
        <f t="shared" si="7"/>
        <v>碩田サッカースポーツ少年団_8</v>
      </c>
      <c r="B492" s="1" t="s">
        <v>3959</v>
      </c>
      <c r="C492" s="1" t="str">
        <f>("8")</f>
        <v>8</v>
      </c>
      <c r="D492" s="1" t="s">
        <v>208</v>
      </c>
      <c r="E492" s="1" t="s">
        <v>6233</v>
      </c>
      <c r="F492" s="1" t="s">
        <v>6234</v>
      </c>
      <c r="G492" s="1">
        <v>5</v>
      </c>
      <c r="H492" s="1" t="s">
        <v>229</v>
      </c>
      <c r="I492" s="1" t="str">
        <f>("1212240019")</f>
        <v>1212240019</v>
      </c>
    </row>
    <row r="493" spans="1:10" x14ac:dyDescent="0.45">
      <c r="A493" s="2" t="str">
        <f t="shared" si="7"/>
        <v>碩田サッカースポーツ少年団_9</v>
      </c>
      <c r="B493" s="1" t="s">
        <v>3959</v>
      </c>
      <c r="C493" s="1" t="str">
        <f>("9")</f>
        <v>9</v>
      </c>
      <c r="D493" s="1" t="s">
        <v>209</v>
      </c>
      <c r="E493" s="1" t="s">
        <v>6237</v>
      </c>
      <c r="F493" s="1" t="s">
        <v>6238</v>
      </c>
      <c r="G493" s="1">
        <v>5</v>
      </c>
      <c r="H493" s="1" t="s">
        <v>229</v>
      </c>
      <c r="I493" s="1" t="str">
        <f>("1211170058")</f>
        <v>1211170058</v>
      </c>
    </row>
    <row r="494" spans="1:10" x14ac:dyDescent="0.45">
      <c r="A494" s="2" t="str">
        <f t="shared" si="7"/>
        <v>碩田サッカースポーツ少年団_10</v>
      </c>
      <c r="B494" s="1" t="s">
        <v>3959</v>
      </c>
      <c r="C494" s="1" t="str">
        <f>("10")</f>
        <v>10</v>
      </c>
      <c r="D494" s="1" t="s">
        <v>209</v>
      </c>
      <c r="E494" s="1" t="s">
        <v>6229</v>
      </c>
      <c r="F494" s="1" t="s">
        <v>6230</v>
      </c>
      <c r="G494" s="1">
        <v>6</v>
      </c>
      <c r="H494" s="1" t="s">
        <v>229</v>
      </c>
      <c r="I494" s="1" t="str">
        <f>("1108170045")</f>
        <v>1108170045</v>
      </c>
      <c r="J494" s="1" t="s">
        <v>1858</v>
      </c>
    </row>
    <row r="495" spans="1:10" x14ac:dyDescent="0.45">
      <c r="A495" s="2" t="str">
        <f t="shared" si="7"/>
        <v>碩田サッカースポーツ少年団_11</v>
      </c>
      <c r="B495" s="1" t="s">
        <v>3959</v>
      </c>
      <c r="C495" s="1" t="str">
        <f>("11")</f>
        <v>11</v>
      </c>
      <c r="D495" s="1" t="s">
        <v>208</v>
      </c>
      <c r="E495" s="1" t="s">
        <v>6242</v>
      </c>
      <c r="F495" s="1" t="s">
        <v>6243</v>
      </c>
      <c r="G495" s="1">
        <v>5</v>
      </c>
      <c r="H495" s="1" t="s">
        <v>229</v>
      </c>
      <c r="I495" s="1" t="str">
        <f>("1301210041")</f>
        <v>1301210041</v>
      </c>
    </row>
    <row r="496" spans="1:10" x14ac:dyDescent="0.45">
      <c r="A496" s="2" t="str">
        <f t="shared" si="7"/>
        <v>碩田サッカースポーツ少年団_12</v>
      </c>
      <c r="B496" s="1" t="s">
        <v>3959</v>
      </c>
      <c r="C496" s="1" t="str">
        <f>("12")</f>
        <v>12</v>
      </c>
      <c r="D496" s="1" t="s">
        <v>210</v>
      </c>
      <c r="E496" s="1" t="s">
        <v>8935</v>
      </c>
      <c r="F496" s="1" t="s">
        <v>8936</v>
      </c>
      <c r="G496" s="1">
        <v>4</v>
      </c>
      <c r="H496" s="1" t="s">
        <v>229</v>
      </c>
      <c r="I496" s="1" t="str">
        <f>("1304190011")</f>
        <v>1304190011</v>
      </c>
    </row>
    <row r="497" spans="1:10" x14ac:dyDescent="0.45">
      <c r="A497" s="2" t="str">
        <f t="shared" si="7"/>
        <v>碩田サッカースポーツ少年団_13</v>
      </c>
      <c r="B497" s="1" t="s">
        <v>3959</v>
      </c>
      <c r="C497" s="1" t="str">
        <f>("13")</f>
        <v>13</v>
      </c>
      <c r="D497" s="1" t="s">
        <v>210</v>
      </c>
      <c r="E497" s="1" t="s">
        <v>8937</v>
      </c>
      <c r="F497" s="1" t="s">
        <v>8938</v>
      </c>
      <c r="G497" s="1">
        <v>3</v>
      </c>
      <c r="H497" s="1" t="s">
        <v>229</v>
      </c>
      <c r="I497" s="1" t="str">
        <f>("1412070021")</f>
        <v>1412070021</v>
      </c>
    </row>
    <row r="498" spans="1:10" x14ac:dyDescent="0.45">
      <c r="A498" s="2" t="str">
        <f t="shared" si="7"/>
        <v>碩田サッカースポーツ少年団_14</v>
      </c>
      <c r="B498" s="1" t="s">
        <v>3959</v>
      </c>
      <c r="C498" s="1" t="str">
        <f>("14")</f>
        <v>14</v>
      </c>
      <c r="D498" s="1" t="s">
        <v>208</v>
      </c>
      <c r="E498" s="1" t="s">
        <v>8939</v>
      </c>
      <c r="F498" s="1" t="s">
        <v>8940</v>
      </c>
      <c r="G498" s="1">
        <v>3</v>
      </c>
      <c r="H498" s="1" t="s">
        <v>229</v>
      </c>
      <c r="I498" s="1" t="str">
        <f>("1407080001")</f>
        <v>1407080001</v>
      </c>
    </row>
    <row r="499" spans="1:10" x14ac:dyDescent="0.45">
      <c r="A499" s="2" t="str">
        <f t="shared" si="7"/>
        <v>碩田サッカースポーツ少年団_15</v>
      </c>
      <c r="B499" s="1" t="s">
        <v>3959</v>
      </c>
      <c r="C499" s="1" t="str">
        <f>("15")</f>
        <v>15</v>
      </c>
      <c r="D499" s="1" t="s">
        <v>210</v>
      </c>
      <c r="E499" s="1" t="s">
        <v>8941</v>
      </c>
      <c r="F499" s="1" t="s">
        <v>8942</v>
      </c>
      <c r="G499" s="1">
        <v>3</v>
      </c>
      <c r="H499" s="1" t="s">
        <v>229</v>
      </c>
      <c r="I499" s="1" t="str">
        <f>("1405230037")</f>
        <v>1405230037</v>
      </c>
    </row>
    <row r="500" spans="1:10" x14ac:dyDescent="0.45">
      <c r="A500" s="2" t="str">
        <f t="shared" si="7"/>
        <v>碩田サッカースポーツ少年団_16</v>
      </c>
      <c r="B500" s="1" t="s">
        <v>3959</v>
      </c>
      <c r="C500" s="1" t="str">
        <f>("16")</f>
        <v>16</v>
      </c>
      <c r="D500" s="1" t="s">
        <v>207</v>
      </c>
      <c r="E500" s="1" t="s">
        <v>8943</v>
      </c>
      <c r="F500" s="1" t="s">
        <v>8944</v>
      </c>
      <c r="G500" s="1">
        <v>4</v>
      </c>
      <c r="H500" s="1" t="s">
        <v>229</v>
      </c>
      <c r="I500" s="1" t="str">
        <f>("1308190020")</f>
        <v>1308190020</v>
      </c>
    </row>
    <row r="501" spans="1:10" x14ac:dyDescent="0.45">
      <c r="A501" s="2" t="str">
        <f t="shared" si="7"/>
        <v>春日ＳＳＳ_1</v>
      </c>
      <c r="B501" s="1" t="s">
        <v>3955</v>
      </c>
      <c r="C501" s="1" t="str">
        <f>("1")</f>
        <v>1</v>
      </c>
      <c r="D501" s="1" t="s">
        <v>207</v>
      </c>
      <c r="E501" s="1" t="s">
        <v>8945</v>
      </c>
      <c r="F501" s="1" t="s">
        <v>6254</v>
      </c>
      <c r="G501" s="1">
        <v>5</v>
      </c>
      <c r="H501" s="1" t="s">
        <v>229</v>
      </c>
      <c r="I501" s="1" t="str">
        <f>("1209040063")</f>
        <v>1209040063</v>
      </c>
    </row>
    <row r="502" spans="1:10" x14ac:dyDescent="0.45">
      <c r="A502" s="2" t="str">
        <f t="shared" si="7"/>
        <v>春日ＳＳＳ_2</v>
      </c>
      <c r="B502" s="1" t="s">
        <v>3955</v>
      </c>
      <c r="C502" s="1" t="str">
        <f>("2")</f>
        <v>2</v>
      </c>
      <c r="D502" s="1" t="s">
        <v>208</v>
      </c>
      <c r="E502" s="1" t="s">
        <v>6250</v>
      </c>
      <c r="F502" s="1" t="s">
        <v>6251</v>
      </c>
      <c r="G502" s="1">
        <v>3</v>
      </c>
      <c r="H502" s="1" t="s">
        <v>229</v>
      </c>
      <c r="I502" s="1" t="str">
        <f>("1409050024")</f>
        <v>1409050024</v>
      </c>
    </row>
    <row r="503" spans="1:10" x14ac:dyDescent="0.45">
      <c r="A503" s="2" t="str">
        <f t="shared" si="7"/>
        <v>春日ＳＳＳ_3</v>
      </c>
      <c r="B503" s="1" t="s">
        <v>3955</v>
      </c>
      <c r="C503" s="1" t="str">
        <f>("3")</f>
        <v>3</v>
      </c>
      <c r="D503" s="1" t="s">
        <v>210</v>
      </c>
      <c r="E503" s="1" t="s">
        <v>5284</v>
      </c>
      <c r="F503" s="1" t="s">
        <v>5285</v>
      </c>
      <c r="G503" s="1">
        <v>4</v>
      </c>
      <c r="H503" s="1" t="s">
        <v>231</v>
      </c>
      <c r="I503" s="1" t="str">
        <f>("1309130026")</f>
        <v>1309130026</v>
      </c>
    </row>
    <row r="504" spans="1:10" x14ac:dyDescent="0.45">
      <c r="A504" s="2" t="str">
        <f t="shared" si="7"/>
        <v>春日ＳＳＳ_4</v>
      </c>
      <c r="B504" s="1" t="s">
        <v>3955</v>
      </c>
      <c r="C504" s="1" t="str">
        <f>("4")</f>
        <v>4</v>
      </c>
      <c r="D504" s="1" t="s">
        <v>209</v>
      </c>
      <c r="E504" s="1" t="s">
        <v>8946</v>
      </c>
      <c r="F504" s="1" t="s">
        <v>8947</v>
      </c>
      <c r="G504" s="1">
        <v>3</v>
      </c>
      <c r="H504" s="1" t="s">
        <v>231</v>
      </c>
      <c r="I504" s="1" t="str">
        <f>("1411050035")</f>
        <v>1411050035</v>
      </c>
    </row>
    <row r="505" spans="1:10" x14ac:dyDescent="0.45">
      <c r="A505" s="2" t="str">
        <f t="shared" si="7"/>
        <v>春日ＳＳＳ_5</v>
      </c>
      <c r="B505" s="1" t="s">
        <v>3955</v>
      </c>
      <c r="C505" s="1" t="str">
        <f>("5")</f>
        <v>5</v>
      </c>
      <c r="D505" s="1" t="s">
        <v>208</v>
      </c>
      <c r="E505" s="1" t="s">
        <v>6248</v>
      </c>
      <c r="F505" s="1" t="s">
        <v>6249</v>
      </c>
      <c r="G505" s="1">
        <v>5</v>
      </c>
      <c r="H505" s="1" t="s">
        <v>229</v>
      </c>
      <c r="I505" s="1" t="str">
        <f>("1206010125")</f>
        <v>1206010125</v>
      </c>
    </row>
    <row r="506" spans="1:10" x14ac:dyDescent="0.45">
      <c r="A506" s="2" t="str">
        <f t="shared" si="7"/>
        <v>春日ＳＳＳ_6</v>
      </c>
      <c r="B506" s="1" t="s">
        <v>3955</v>
      </c>
      <c r="C506" s="1" t="str">
        <f>("6")</f>
        <v>6</v>
      </c>
      <c r="D506" s="1" t="s">
        <v>209</v>
      </c>
      <c r="E506" s="1" t="s">
        <v>8948</v>
      </c>
      <c r="F506" s="1" t="s">
        <v>8949</v>
      </c>
      <c r="G506" s="1">
        <v>3</v>
      </c>
      <c r="H506" s="1" t="s">
        <v>229</v>
      </c>
      <c r="I506" s="1" t="str">
        <f>("1411070034")</f>
        <v>1411070034</v>
      </c>
    </row>
    <row r="507" spans="1:10" x14ac:dyDescent="0.45">
      <c r="A507" s="2" t="str">
        <f t="shared" si="7"/>
        <v>春日ＳＳＳ_7</v>
      </c>
      <c r="B507" s="1" t="s">
        <v>3955</v>
      </c>
      <c r="C507" s="1" t="str">
        <f>("7")</f>
        <v>7</v>
      </c>
      <c r="D507" s="1" t="s">
        <v>209</v>
      </c>
      <c r="E507" s="1" t="s">
        <v>6252</v>
      </c>
      <c r="F507" s="1" t="s">
        <v>6253</v>
      </c>
      <c r="G507" s="1">
        <v>3</v>
      </c>
      <c r="H507" s="1" t="s">
        <v>229</v>
      </c>
      <c r="I507" s="1" t="str">
        <f>("1408020007")</f>
        <v>1408020007</v>
      </c>
    </row>
    <row r="508" spans="1:10" x14ac:dyDescent="0.45">
      <c r="A508" s="2" t="str">
        <f t="shared" si="7"/>
        <v>春日ＳＳＳ_8</v>
      </c>
      <c r="B508" s="1" t="s">
        <v>3955</v>
      </c>
      <c r="C508" s="1" t="str">
        <f>("8")</f>
        <v>8</v>
      </c>
      <c r="D508" s="1" t="s">
        <v>208</v>
      </c>
      <c r="E508" s="1" t="s">
        <v>6246</v>
      </c>
      <c r="F508" s="1" t="s">
        <v>6247</v>
      </c>
      <c r="G508" s="1">
        <v>5</v>
      </c>
      <c r="H508" s="1" t="s">
        <v>229</v>
      </c>
      <c r="I508" s="1" t="str">
        <f>("1302030010")</f>
        <v>1302030010</v>
      </c>
      <c r="J508" s="1" t="s">
        <v>1858</v>
      </c>
    </row>
    <row r="509" spans="1:10" x14ac:dyDescent="0.45">
      <c r="A509" s="2" t="str">
        <f t="shared" si="7"/>
        <v>春日ＳＳＳ_9</v>
      </c>
      <c r="B509" s="1" t="s">
        <v>3955</v>
      </c>
      <c r="C509" s="1" t="str">
        <f>("9")</f>
        <v>9</v>
      </c>
      <c r="D509" s="1" t="s">
        <v>210</v>
      </c>
      <c r="E509" s="1" t="s">
        <v>8950</v>
      </c>
      <c r="F509" s="1" t="s">
        <v>8951</v>
      </c>
      <c r="G509" s="1">
        <v>3</v>
      </c>
      <c r="H509" s="1" t="s">
        <v>229</v>
      </c>
      <c r="I509" s="1" t="str">
        <f>("1406200049")</f>
        <v>1406200049</v>
      </c>
    </row>
    <row r="510" spans="1:10" x14ac:dyDescent="0.45">
      <c r="A510" s="2" t="str">
        <f t="shared" si="7"/>
        <v>春日ＳＳＳ_10</v>
      </c>
      <c r="B510" s="1" t="s">
        <v>3955</v>
      </c>
      <c r="C510" s="1" t="str">
        <f>("10")</f>
        <v>10</v>
      </c>
      <c r="D510" s="1" t="s">
        <v>209</v>
      </c>
      <c r="E510" s="1" t="s">
        <v>6244</v>
      </c>
      <c r="F510" s="1" t="s">
        <v>6245</v>
      </c>
      <c r="G510" s="1">
        <v>5</v>
      </c>
      <c r="H510" s="1" t="s">
        <v>229</v>
      </c>
      <c r="I510" s="1" t="str">
        <f>("1209210033")</f>
        <v>1209210033</v>
      </c>
    </row>
    <row r="511" spans="1:10" x14ac:dyDescent="0.45">
      <c r="A511" s="2" t="str">
        <f t="shared" si="7"/>
        <v>春日ＳＳＳ_11</v>
      </c>
      <c r="B511" s="1" t="s">
        <v>3955</v>
      </c>
      <c r="C511" s="1" t="str">
        <f>("11")</f>
        <v>11</v>
      </c>
      <c r="D511" s="1" t="s">
        <v>208</v>
      </c>
      <c r="E511" s="1" t="s">
        <v>8952</v>
      </c>
      <c r="F511" s="1" t="s">
        <v>8953</v>
      </c>
      <c r="G511" s="1">
        <v>3</v>
      </c>
      <c r="H511" s="1" t="s">
        <v>231</v>
      </c>
      <c r="I511" s="1" t="str">
        <f>("1502120031")</f>
        <v>1502120031</v>
      </c>
    </row>
    <row r="512" spans="1:10" x14ac:dyDescent="0.45">
      <c r="A512" s="2" t="str">
        <f t="shared" si="7"/>
        <v>春日ＳＳＳ_12</v>
      </c>
      <c r="B512" s="1" t="s">
        <v>3955</v>
      </c>
      <c r="C512" s="1" t="str">
        <f>("12")</f>
        <v>12</v>
      </c>
      <c r="D512" s="1" t="s">
        <v>210</v>
      </c>
      <c r="E512" s="1" t="s">
        <v>8954</v>
      </c>
      <c r="F512" s="1" t="s">
        <v>8955</v>
      </c>
      <c r="G512" s="1">
        <v>3</v>
      </c>
      <c r="H512" s="1" t="s">
        <v>229</v>
      </c>
      <c r="I512" s="1" t="str">
        <f>("1410010086")</f>
        <v>1410010086</v>
      </c>
    </row>
    <row r="513" spans="1:10" x14ac:dyDescent="0.45">
      <c r="A513" s="2" t="str">
        <f t="shared" ref="A513:A576" si="8">CONCATENATE(B513,"_",C513)</f>
        <v>春日ＳＳＳ_16</v>
      </c>
      <c r="B513" s="1" t="s">
        <v>3955</v>
      </c>
      <c r="C513" s="1" t="str">
        <f>("16")</f>
        <v>16</v>
      </c>
      <c r="D513" s="1" t="s">
        <v>207</v>
      </c>
      <c r="E513" s="1" t="s">
        <v>8956</v>
      </c>
      <c r="F513" s="1" t="s">
        <v>8957</v>
      </c>
      <c r="G513" s="1">
        <v>3</v>
      </c>
      <c r="H513" s="1" t="s">
        <v>229</v>
      </c>
      <c r="I513" s="1" t="str">
        <f>("1406080038")</f>
        <v>1406080038</v>
      </c>
    </row>
    <row r="514" spans="1:10" x14ac:dyDescent="0.45">
      <c r="A514" s="2" t="str">
        <f t="shared" si="8"/>
        <v>南大分サッカー少年団_1</v>
      </c>
      <c r="B514" s="1" t="s">
        <v>3971</v>
      </c>
      <c r="C514" s="1" t="str">
        <f>("1")</f>
        <v>1</v>
      </c>
      <c r="D514" s="1" t="s">
        <v>207</v>
      </c>
      <c r="E514" s="1" t="s">
        <v>8958</v>
      </c>
      <c r="F514" s="1" t="s">
        <v>8959</v>
      </c>
      <c r="G514" s="1">
        <v>5</v>
      </c>
      <c r="H514" s="1" t="s">
        <v>229</v>
      </c>
      <c r="I514" s="1" t="str">
        <f>("1209250148")</f>
        <v>1209250148</v>
      </c>
    </row>
    <row r="515" spans="1:10" x14ac:dyDescent="0.45">
      <c r="A515" s="2" t="str">
        <f t="shared" si="8"/>
        <v>南大分サッカー少年団_3</v>
      </c>
      <c r="B515" s="1" t="s">
        <v>3971</v>
      </c>
      <c r="C515" s="1" t="str">
        <f>("3")</f>
        <v>3</v>
      </c>
      <c r="D515" s="1" t="s">
        <v>209</v>
      </c>
      <c r="E515" s="1" t="s">
        <v>6255</v>
      </c>
      <c r="F515" s="1" t="s">
        <v>6256</v>
      </c>
      <c r="G515" s="1">
        <v>6</v>
      </c>
      <c r="H515" s="1" t="s">
        <v>229</v>
      </c>
      <c r="I515" s="1" t="str">
        <f>("1107040146")</f>
        <v>1107040146</v>
      </c>
      <c r="J515" s="1" t="s">
        <v>1858</v>
      </c>
    </row>
    <row r="516" spans="1:10" x14ac:dyDescent="0.45">
      <c r="A516" s="2" t="str">
        <f t="shared" si="8"/>
        <v>南大分サッカー少年団_4</v>
      </c>
      <c r="B516" s="1" t="s">
        <v>3971</v>
      </c>
      <c r="C516" s="1" t="str">
        <f>("4")</f>
        <v>4</v>
      </c>
      <c r="D516" s="1" t="s">
        <v>209</v>
      </c>
      <c r="E516" s="1" t="s">
        <v>6257</v>
      </c>
      <c r="F516" s="1" t="s">
        <v>6258</v>
      </c>
      <c r="G516" s="1">
        <v>6</v>
      </c>
      <c r="H516" s="1" t="s">
        <v>229</v>
      </c>
      <c r="I516" s="1" t="str">
        <f>("1106210130")</f>
        <v>1106210130</v>
      </c>
    </row>
    <row r="517" spans="1:10" x14ac:dyDescent="0.45">
      <c r="A517" s="2" t="str">
        <f t="shared" si="8"/>
        <v>南大分サッカー少年団_6</v>
      </c>
      <c r="B517" s="1" t="s">
        <v>3971</v>
      </c>
      <c r="C517" s="1" t="str">
        <f>("6")</f>
        <v>6</v>
      </c>
      <c r="D517" s="1" t="s">
        <v>209</v>
      </c>
      <c r="E517" s="1" t="s">
        <v>6259</v>
      </c>
      <c r="F517" s="1" t="s">
        <v>6260</v>
      </c>
      <c r="G517" s="1">
        <v>6</v>
      </c>
      <c r="H517" s="1" t="s">
        <v>229</v>
      </c>
      <c r="I517" s="1" t="str">
        <f>("1202050059")</f>
        <v>1202050059</v>
      </c>
    </row>
    <row r="518" spans="1:10" x14ac:dyDescent="0.45">
      <c r="A518" s="2" t="str">
        <f t="shared" si="8"/>
        <v>南大分サッカー少年団_7</v>
      </c>
      <c r="B518" s="1" t="s">
        <v>3971</v>
      </c>
      <c r="C518" s="1" t="str">
        <f>("7")</f>
        <v>7</v>
      </c>
      <c r="D518" s="1" t="s">
        <v>209</v>
      </c>
      <c r="E518" s="1" t="s">
        <v>8960</v>
      </c>
      <c r="F518" s="1" t="s">
        <v>8961</v>
      </c>
      <c r="G518" s="1">
        <v>4</v>
      </c>
      <c r="H518" s="1" t="s">
        <v>229</v>
      </c>
      <c r="I518" s="1" t="str">
        <f>("1310250107")</f>
        <v>1310250107</v>
      </c>
    </row>
    <row r="519" spans="1:10" x14ac:dyDescent="0.45">
      <c r="A519" s="2" t="str">
        <f t="shared" si="8"/>
        <v>南大分サッカー少年団_8</v>
      </c>
      <c r="B519" s="1" t="s">
        <v>3971</v>
      </c>
      <c r="C519" s="1" t="str">
        <f>("8")</f>
        <v>8</v>
      </c>
      <c r="D519" s="1" t="s">
        <v>208</v>
      </c>
      <c r="E519" s="1" t="s">
        <v>8962</v>
      </c>
      <c r="F519" s="1" t="s">
        <v>8963</v>
      </c>
      <c r="G519" s="1">
        <v>5</v>
      </c>
      <c r="H519" s="1" t="s">
        <v>231</v>
      </c>
      <c r="I519" s="1" t="str">
        <f>("1212010093")</f>
        <v>1212010093</v>
      </c>
    </row>
    <row r="520" spans="1:10" x14ac:dyDescent="0.45">
      <c r="A520" s="2" t="str">
        <f t="shared" si="8"/>
        <v>南大分サッカー少年団_9</v>
      </c>
      <c r="B520" s="1" t="s">
        <v>3971</v>
      </c>
      <c r="C520" s="1" t="str">
        <f>("9")</f>
        <v>9</v>
      </c>
      <c r="D520" s="1" t="s">
        <v>208</v>
      </c>
      <c r="E520" s="1" t="s">
        <v>6261</v>
      </c>
      <c r="F520" s="1" t="s">
        <v>6262</v>
      </c>
      <c r="G520" s="1">
        <v>6</v>
      </c>
      <c r="H520" s="1" t="s">
        <v>231</v>
      </c>
      <c r="I520" s="1" t="str">
        <f>("1107180092")</f>
        <v>1107180092</v>
      </c>
    </row>
    <row r="521" spans="1:10" x14ac:dyDescent="0.45">
      <c r="A521" s="2" t="str">
        <f t="shared" si="8"/>
        <v>南大分サッカー少年団_10</v>
      </c>
      <c r="B521" s="1" t="s">
        <v>3971</v>
      </c>
      <c r="C521" s="1" t="str">
        <f>("10")</f>
        <v>10</v>
      </c>
      <c r="D521" s="1" t="s">
        <v>209</v>
      </c>
      <c r="E521" s="1" t="s">
        <v>8964</v>
      </c>
      <c r="F521" s="1" t="s">
        <v>8965</v>
      </c>
      <c r="G521" s="1">
        <v>4</v>
      </c>
      <c r="H521" s="1" t="s">
        <v>229</v>
      </c>
      <c r="I521" s="1" t="str">
        <f>("1310250108")</f>
        <v>1310250108</v>
      </c>
    </row>
    <row r="522" spans="1:10" x14ac:dyDescent="0.45">
      <c r="A522" s="2" t="str">
        <f t="shared" si="8"/>
        <v>南大分サッカー少年団_11</v>
      </c>
      <c r="B522" s="1" t="s">
        <v>3971</v>
      </c>
      <c r="C522" s="1" t="str">
        <f>("11")</f>
        <v>11</v>
      </c>
      <c r="D522" s="1" t="s">
        <v>210</v>
      </c>
      <c r="E522" s="1" t="s">
        <v>8966</v>
      </c>
      <c r="F522" s="1" t="s">
        <v>8967</v>
      </c>
      <c r="G522" s="1">
        <v>4</v>
      </c>
      <c r="H522" s="1" t="s">
        <v>229</v>
      </c>
      <c r="I522" s="1" t="str">
        <f>("1304300111")</f>
        <v>1304300111</v>
      </c>
    </row>
    <row r="523" spans="1:10" x14ac:dyDescent="0.45">
      <c r="A523" s="2" t="str">
        <f t="shared" si="8"/>
        <v>南大分サッカー少年団_12</v>
      </c>
      <c r="B523" s="1" t="s">
        <v>3971</v>
      </c>
      <c r="C523" s="1" t="str">
        <f>("12")</f>
        <v>12</v>
      </c>
      <c r="D523" s="1" t="s">
        <v>208</v>
      </c>
      <c r="E523" s="1" t="s">
        <v>8968</v>
      </c>
      <c r="F523" s="1" t="s">
        <v>8969</v>
      </c>
      <c r="G523" s="1">
        <v>4</v>
      </c>
      <c r="H523" s="1" t="s">
        <v>229</v>
      </c>
      <c r="I523" s="1" t="str">
        <f>("1311050092")</f>
        <v>1311050092</v>
      </c>
    </row>
    <row r="524" spans="1:10" x14ac:dyDescent="0.45">
      <c r="A524" s="2" t="str">
        <f t="shared" si="8"/>
        <v>南大分サッカー少年団_14</v>
      </c>
      <c r="B524" s="1" t="s">
        <v>3971</v>
      </c>
      <c r="C524" s="1" t="str">
        <f>("14")</f>
        <v>14</v>
      </c>
      <c r="D524" s="1" t="s">
        <v>208</v>
      </c>
      <c r="E524" s="1" t="s">
        <v>8970</v>
      </c>
      <c r="F524" s="1" t="s">
        <v>8971</v>
      </c>
      <c r="G524" s="1">
        <v>6</v>
      </c>
      <c r="H524" s="1" t="s">
        <v>231</v>
      </c>
      <c r="I524" s="1" t="str">
        <f>("1111240117")</f>
        <v>1111240117</v>
      </c>
    </row>
    <row r="525" spans="1:10" x14ac:dyDescent="0.45">
      <c r="A525" s="2" t="str">
        <f t="shared" si="8"/>
        <v>南大分サッカー少年団_15</v>
      </c>
      <c r="B525" s="1" t="s">
        <v>3971</v>
      </c>
      <c r="C525" s="1" t="str">
        <f>("15")</f>
        <v>15</v>
      </c>
      <c r="D525" s="1" t="s">
        <v>208</v>
      </c>
      <c r="E525" s="1" t="s">
        <v>8972</v>
      </c>
      <c r="F525" s="1" t="s">
        <v>8973</v>
      </c>
      <c r="G525" s="1">
        <v>4</v>
      </c>
      <c r="H525" s="1" t="s">
        <v>229</v>
      </c>
      <c r="I525" s="1" t="str">
        <f>("1312140077")</f>
        <v>1312140077</v>
      </c>
    </row>
    <row r="526" spans="1:10" x14ac:dyDescent="0.45">
      <c r="A526" s="2" t="str">
        <f t="shared" si="8"/>
        <v>南大分サッカー少年団_16</v>
      </c>
      <c r="B526" s="1" t="s">
        <v>3971</v>
      </c>
      <c r="C526" s="1" t="str">
        <f>("16")</f>
        <v>16</v>
      </c>
      <c r="D526" s="1" t="s">
        <v>209</v>
      </c>
      <c r="E526" s="1" t="s">
        <v>8974</v>
      </c>
      <c r="F526" s="1" t="s">
        <v>8975</v>
      </c>
      <c r="G526" s="1">
        <v>4</v>
      </c>
      <c r="H526" s="1" t="s">
        <v>231</v>
      </c>
      <c r="I526" s="1" t="str">
        <f>("1402130104")</f>
        <v>1402130104</v>
      </c>
    </row>
    <row r="527" spans="1:10" x14ac:dyDescent="0.45">
      <c r="A527" s="2" t="str">
        <f t="shared" si="8"/>
        <v>南大分サッカー少年団_17</v>
      </c>
      <c r="B527" s="1" t="s">
        <v>3971</v>
      </c>
      <c r="C527" s="1" t="str">
        <f>("17")</f>
        <v>17</v>
      </c>
      <c r="D527" s="1" t="s">
        <v>208</v>
      </c>
      <c r="E527" s="1" t="s">
        <v>8976</v>
      </c>
      <c r="F527" s="1" t="s">
        <v>8977</v>
      </c>
      <c r="G527" s="1">
        <v>4</v>
      </c>
      <c r="H527" s="1" t="s">
        <v>229</v>
      </c>
      <c r="I527" s="1" t="str">
        <f>("1309300095")</f>
        <v>1309300095</v>
      </c>
    </row>
    <row r="528" spans="1:10" x14ac:dyDescent="0.45">
      <c r="A528" s="2" t="str">
        <f t="shared" si="8"/>
        <v>南大分サッカー少年団_18</v>
      </c>
      <c r="B528" s="1" t="s">
        <v>3971</v>
      </c>
      <c r="C528" s="1" t="str">
        <f>("18")</f>
        <v>18</v>
      </c>
      <c r="D528" s="1" t="s">
        <v>209</v>
      </c>
      <c r="E528" s="1" t="s">
        <v>8978</v>
      </c>
      <c r="F528" s="1" t="s">
        <v>8979</v>
      </c>
      <c r="G528" s="1">
        <v>4</v>
      </c>
      <c r="H528" s="1" t="s">
        <v>229</v>
      </c>
      <c r="I528" s="1" t="str">
        <f>("1306040122")</f>
        <v>1306040122</v>
      </c>
    </row>
    <row r="529" spans="1:10" x14ac:dyDescent="0.45">
      <c r="A529" s="2" t="str">
        <f t="shared" si="8"/>
        <v>南大分サッカー少年団_19</v>
      </c>
      <c r="B529" s="1" t="s">
        <v>3971</v>
      </c>
      <c r="C529" s="1" t="str">
        <f>("19")</f>
        <v>19</v>
      </c>
      <c r="D529" s="1" t="s">
        <v>209</v>
      </c>
      <c r="E529" s="1" t="s">
        <v>8980</v>
      </c>
      <c r="F529" s="1" t="s">
        <v>8981</v>
      </c>
      <c r="G529" s="1">
        <v>4</v>
      </c>
      <c r="H529" s="1" t="s">
        <v>229</v>
      </c>
      <c r="I529" s="1" t="str">
        <f>("1312110113")</f>
        <v>1312110113</v>
      </c>
    </row>
    <row r="530" spans="1:10" x14ac:dyDescent="0.45">
      <c r="A530" s="2" t="str">
        <f t="shared" si="8"/>
        <v>アトレチコエラン横瀬_1</v>
      </c>
      <c r="B530" s="1" t="s">
        <v>3952</v>
      </c>
      <c r="C530" s="1" t="str">
        <f>("1")</f>
        <v>1</v>
      </c>
      <c r="D530" s="1" t="s">
        <v>207</v>
      </c>
      <c r="E530" s="1" t="s">
        <v>8982</v>
      </c>
      <c r="F530" s="1" t="s">
        <v>8983</v>
      </c>
      <c r="G530" s="1">
        <v>4</v>
      </c>
      <c r="H530" s="1" t="s">
        <v>229</v>
      </c>
      <c r="I530" s="1" t="str">
        <f>("1307310041")</f>
        <v>1307310041</v>
      </c>
    </row>
    <row r="531" spans="1:10" x14ac:dyDescent="0.45">
      <c r="A531" s="2" t="str">
        <f t="shared" si="8"/>
        <v>アトレチコエラン横瀬_2</v>
      </c>
      <c r="B531" s="1" t="s">
        <v>3952</v>
      </c>
      <c r="C531" s="1" t="str">
        <f>("2")</f>
        <v>2</v>
      </c>
      <c r="D531" s="1" t="s">
        <v>208</v>
      </c>
      <c r="E531" s="1" t="s">
        <v>8984</v>
      </c>
      <c r="F531" s="1" t="s">
        <v>8985</v>
      </c>
      <c r="G531" s="1">
        <v>4</v>
      </c>
      <c r="H531" s="1" t="s">
        <v>229</v>
      </c>
      <c r="I531" s="1" t="str">
        <f>("1307050134")</f>
        <v>1307050134</v>
      </c>
    </row>
    <row r="532" spans="1:10" x14ac:dyDescent="0.45">
      <c r="A532" s="2" t="str">
        <f t="shared" si="8"/>
        <v>アトレチコエラン横瀬_3</v>
      </c>
      <c r="B532" s="1" t="s">
        <v>3952</v>
      </c>
      <c r="C532" s="1" t="str">
        <f>("3")</f>
        <v>3</v>
      </c>
      <c r="D532" s="1" t="s">
        <v>208</v>
      </c>
      <c r="E532" s="1" t="s">
        <v>8986</v>
      </c>
      <c r="F532" s="1" t="s">
        <v>8987</v>
      </c>
      <c r="G532" s="1">
        <v>4</v>
      </c>
      <c r="H532" s="1" t="s">
        <v>229</v>
      </c>
      <c r="I532" s="1" t="str">
        <f>("1307210033")</f>
        <v>1307210033</v>
      </c>
    </row>
    <row r="533" spans="1:10" x14ac:dyDescent="0.45">
      <c r="A533" s="2" t="str">
        <f t="shared" si="8"/>
        <v>アトレチコエラン横瀬_4</v>
      </c>
      <c r="B533" s="1" t="s">
        <v>3952</v>
      </c>
      <c r="C533" s="1" t="str">
        <f>("4")</f>
        <v>4</v>
      </c>
      <c r="D533" s="1" t="s">
        <v>208</v>
      </c>
      <c r="E533" s="1" t="s">
        <v>6271</v>
      </c>
      <c r="F533" s="1" t="s">
        <v>6272</v>
      </c>
      <c r="G533" s="1">
        <v>6</v>
      </c>
      <c r="H533" s="1" t="s">
        <v>229</v>
      </c>
      <c r="I533" s="1" t="str">
        <f>("1203170143")</f>
        <v>1203170143</v>
      </c>
    </row>
    <row r="534" spans="1:10" x14ac:dyDescent="0.45">
      <c r="A534" s="2" t="str">
        <f t="shared" si="8"/>
        <v>アトレチコエラン横瀬_5</v>
      </c>
      <c r="B534" s="1" t="s">
        <v>3952</v>
      </c>
      <c r="C534" s="1" t="str">
        <f>("5")</f>
        <v>5</v>
      </c>
      <c r="D534" s="1" t="s">
        <v>209</v>
      </c>
      <c r="E534" s="1" t="s">
        <v>8988</v>
      </c>
      <c r="F534" s="1" t="s">
        <v>8989</v>
      </c>
      <c r="G534" s="1">
        <v>6</v>
      </c>
      <c r="H534" s="1" t="s">
        <v>229</v>
      </c>
      <c r="I534" s="1" t="str">
        <f>("1203230185")</f>
        <v>1203230185</v>
      </c>
    </row>
    <row r="535" spans="1:10" x14ac:dyDescent="0.45">
      <c r="A535" s="2" t="str">
        <f t="shared" si="8"/>
        <v>アトレチコエラン横瀬_6</v>
      </c>
      <c r="B535" s="1" t="s">
        <v>3952</v>
      </c>
      <c r="C535" s="1" t="str">
        <f>("6")</f>
        <v>6</v>
      </c>
      <c r="D535" s="1" t="s">
        <v>209</v>
      </c>
      <c r="E535" s="1" t="s">
        <v>5430</v>
      </c>
      <c r="F535" s="1" t="s">
        <v>5431</v>
      </c>
      <c r="G535" s="1">
        <v>4</v>
      </c>
      <c r="H535" s="1" t="s">
        <v>229</v>
      </c>
      <c r="I535" s="1" t="str">
        <f>("1205090015")</f>
        <v>1205090015</v>
      </c>
    </row>
    <row r="536" spans="1:10" x14ac:dyDescent="0.45">
      <c r="A536" s="2" t="str">
        <f t="shared" si="8"/>
        <v>アトレチコエラン横瀬_7</v>
      </c>
      <c r="B536" s="1" t="s">
        <v>3952</v>
      </c>
      <c r="C536" s="1" t="str">
        <f>("7")</f>
        <v>7</v>
      </c>
      <c r="D536" s="1" t="s">
        <v>208</v>
      </c>
      <c r="E536" s="1" t="s">
        <v>6265</v>
      </c>
      <c r="F536" s="1" t="s">
        <v>6266</v>
      </c>
      <c r="G536" s="1">
        <v>6</v>
      </c>
      <c r="H536" s="1" t="s">
        <v>229</v>
      </c>
      <c r="I536" s="1" t="str">
        <f>("1111040131")</f>
        <v>1111040131</v>
      </c>
    </row>
    <row r="537" spans="1:10" x14ac:dyDescent="0.45">
      <c r="A537" s="2" t="str">
        <f t="shared" si="8"/>
        <v>アトレチコエラン横瀬_8</v>
      </c>
      <c r="B537" s="1" t="s">
        <v>3952</v>
      </c>
      <c r="C537" s="1" t="str">
        <f>("8")</f>
        <v>8</v>
      </c>
      <c r="D537" s="1" t="s">
        <v>209</v>
      </c>
      <c r="E537" s="1" t="s">
        <v>6267</v>
      </c>
      <c r="F537" s="1" t="s">
        <v>6268</v>
      </c>
      <c r="G537" s="1">
        <v>6</v>
      </c>
      <c r="H537" s="1" t="s">
        <v>229</v>
      </c>
      <c r="I537" s="1" t="str">
        <f>("1202070090")</f>
        <v>1202070090</v>
      </c>
    </row>
    <row r="538" spans="1:10" x14ac:dyDescent="0.45">
      <c r="A538" s="2" t="str">
        <f t="shared" si="8"/>
        <v>アトレチコエラン横瀬_9</v>
      </c>
      <c r="B538" s="1" t="s">
        <v>3952</v>
      </c>
      <c r="C538" s="1" t="str">
        <f>("9")</f>
        <v>9</v>
      </c>
      <c r="D538" s="1" t="s">
        <v>210</v>
      </c>
      <c r="E538" s="1" t="s">
        <v>6269</v>
      </c>
      <c r="F538" s="1" t="s">
        <v>6270</v>
      </c>
      <c r="G538" s="1">
        <v>6</v>
      </c>
      <c r="H538" s="1" t="s">
        <v>229</v>
      </c>
      <c r="I538" s="1" t="str">
        <f>("1203060113")</f>
        <v>1203060113</v>
      </c>
    </row>
    <row r="539" spans="1:10" x14ac:dyDescent="0.45">
      <c r="A539" s="2" t="str">
        <f t="shared" si="8"/>
        <v>アトレチコエラン横瀬_10</v>
      </c>
      <c r="B539" s="1" t="s">
        <v>3952</v>
      </c>
      <c r="C539" s="1" t="str">
        <f>("10")</f>
        <v>10</v>
      </c>
      <c r="D539" s="1" t="s">
        <v>210</v>
      </c>
      <c r="E539" s="1" t="s">
        <v>5428</v>
      </c>
      <c r="F539" s="1" t="s">
        <v>5429</v>
      </c>
      <c r="G539" s="1">
        <v>5</v>
      </c>
      <c r="H539" s="1" t="s">
        <v>231</v>
      </c>
      <c r="I539" s="1" t="str">
        <f>("1111040043")</f>
        <v>1111040043</v>
      </c>
    </row>
    <row r="540" spans="1:10" x14ac:dyDescent="0.45">
      <c r="A540" s="2" t="str">
        <f t="shared" si="8"/>
        <v>アトレチコエラン横瀬_11</v>
      </c>
      <c r="B540" s="1" t="s">
        <v>3952</v>
      </c>
      <c r="C540" s="1" t="str">
        <f>("11")</f>
        <v>11</v>
      </c>
      <c r="D540" s="1" t="s">
        <v>209</v>
      </c>
      <c r="E540" s="1" t="s">
        <v>6263</v>
      </c>
      <c r="F540" s="1" t="s">
        <v>6264</v>
      </c>
      <c r="G540" s="1">
        <v>6</v>
      </c>
      <c r="H540" s="1" t="s">
        <v>229</v>
      </c>
      <c r="I540" s="1" t="str">
        <f>("1105040068")</f>
        <v>1105040068</v>
      </c>
      <c r="J540" s="1" t="s">
        <v>1858</v>
      </c>
    </row>
    <row r="541" spans="1:10" x14ac:dyDescent="0.45">
      <c r="A541" s="2" t="str">
        <f t="shared" si="8"/>
        <v>アトレチコエラン横瀬_12</v>
      </c>
      <c r="B541" s="1" t="s">
        <v>3952</v>
      </c>
      <c r="C541" s="1" t="str">
        <f>("12")</f>
        <v>12</v>
      </c>
      <c r="D541" s="1" t="s">
        <v>207</v>
      </c>
      <c r="E541" s="1" t="s">
        <v>8990</v>
      </c>
      <c r="F541" s="1" t="s">
        <v>8991</v>
      </c>
      <c r="G541" s="1">
        <v>5</v>
      </c>
      <c r="H541" s="1" t="s">
        <v>229</v>
      </c>
      <c r="I541" s="1" t="str">
        <f>("1210040101")</f>
        <v>1210040101</v>
      </c>
    </row>
    <row r="542" spans="1:10" x14ac:dyDescent="0.45">
      <c r="A542" s="2" t="str">
        <f t="shared" si="8"/>
        <v>アトレチコエラン横瀬_13</v>
      </c>
      <c r="B542" s="1" t="s">
        <v>3952</v>
      </c>
      <c r="C542" s="1" t="str">
        <f>("13")</f>
        <v>13</v>
      </c>
      <c r="D542" s="1" t="s">
        <v>210</v>
      </c>
      <c r="E542" s="1" t="s">
        <v>8992</v>
      </c>
      <c r="F542" s="1" t="s">
        <v>8993</v>
      </c>
      <c r="G542" s="1">
        <v>5</v>
      </c>
      <c r="H542" s="1" t="s">
        <v>229</v>
      </c>
      <c r="I542" s="1" t="str">
        <f>("1303220080")</f>
        <v>1303220080</v>
      </c>
    </row>
    <row r="543" spans="1:10" x14ac:dyDescent="0.45">
      <c r="A543" s="2" t="str">
        <f t="shared" si="8"/>
        <v>アトレチコエラン横瀬_14</v>
      </c>
      <c r="B543" s="1" t="s">
        <v>3952</v>
      </c>
      <c r="C543" s="1" t="str">
        <f>("14")</f>
        <v>14</v>
      </c>
      <c r="D543" s="1" t="s">
        <v>210</v>
      </c>
      <c r="E543" s="1" t="s">
        <v>8994</v>
      </c>
      <c r="F543" s="1" t="s">
        <v>4933</v>
      </c>
      <c r="G543" s="1">
        <v>4</v>
      </c>
      <c r="H543" s="1" t="s">
        <v>229</v>
      </c>
      <c r="I543" s="1" t="str">
        <f>("1305060030")</f>
        <v>1305060030</v>
      </c>
    </row>
    <row r="544" spans="1:10" x14ac:dyDescent="0.45">
      <c r="A544" s="2" t="str">
        <f t="shared" si="8"/>
        <v>アトレチコエラン横瀬_15</v>
      </c>
      <c r="B544" s="1" t="s">
        <v>3952</v>
      </c>
      <c r="C544" s="1" t="str">
        <f>("15")</f>
        <v>15</v>
      </c>
      <c r="D544" s="1" t="s">
        <v>209</v>
      </c>
      <c r="E544" s="1" t="s">
        <v>5435</v>
      </c>
      <c r="F544" s="1" t="s">
        <v>5436</v>
      </c>
      <c r="G544" s="1">
        <v>4</v>
      </c>
      <c r="H544" s="1" t="s">
        <v>229</v>
      </c>
      <c r="I544" s="1" t="str">
        <f>("1301250007")</f>
        <v>1301250007</v>
      </c>
    </row>
    <row r="545" spans="1:10" x14ac:dyDescent="0.45">
      <c r="A545" s="2" t="str">
        <f t="shared" si="8"/>
        <v>アトレチコエラン横瀬_16</v>
      </c>
      <c r="B545" s="1" t="s">
        <v>3952</v>
      </c>
      <c r="C545" s="1" t="str">
        <f>("16")</f>
        <v>16</v>
      </c>
      <c r="D545" s="1" t="s">
        <v>209</v>
      </c>
      <c r="E545" s="1" t="s">
        <v>8995</v>
      </c>
      <c r="F545" s="1" t="s">
        <v>8996</v>
      </c>
      <c r="G545" s="1">
        <v>3</v>
      </c>
      <c r="H545" s="1" t="s">
        <v>229</v>
      </c>
      <c r="I545" s="1" t="str">
        <f>("1404120015")</f>
        <v>1404120015</v>
      </c>
    </row>
    <row r="546" spans="1:10" x14ac:dyDescent="0.45">
      <c r="A546" s="2" t="str">
        <f t="shared" si="8"/>
        <v>明野北フットボールクラブ_1</v>
      </c>
      <c r="B546" s="1" t="s">
        <v>3951</v>
      </c>
      <c r="C546" s="1" t="str">
        <f>("1")</f>
        <v>1</v>
      </c>
      <c r="D546" s="1" t="s">
        <v>207</v>
      </c>
      <c r="E546" s="1" t="s">
        <v>6275</v>
      </c>
      <c r="F546" s="1" t="s">
        <v>6276</v>
      </c>
      <c r="G546" s="1">
        <v>5</v>
      </c>
      <c r="H546" s="1" t="s">
        <v>229</v>
      </c>
      <c r="I546" s="1" t="str">
        <f>("1204200156")</f>
        <v>1204200156</v>
      </c>
    </row>
    <row r="547" spans="1:10" x14ac:dyDescent="0.45">
      <c r="A547" s="2" t="str">
        <f t="shared" si="8"/>
        <v>明野北フットボールクラブ_2</v>
      </c>
      <c r="B547" s="1" t="s">
        <v>3951</v>
      </c>
      <c r="C547" s="1" t="str">
        <f>("2")</f>
        <v>2</v>
      </c>
      <c r="D547" s="1" t="s">
        <v>208</v>
      </c>
      <c r="E547" s="1" t="s">
        <v>8997</v>
      </c>
      <c r="F547" s="1" t="s">
        <v>8998</v>
      </c>
      <c r="G547" s="1">
        <v>6</v>
      </c>
      <c r="H547" s="1" t="s">
        <v>229</v>
      </c>
      <c r="I547" s="1" t="str">
        <f>("1106210250")</f>
        <v>1106210250</v>
      </c>
    </row>
    <row r="548" spans="1:10" x14ac:dyDescent="0.45">
      <c r="A548" s="2" t="str">
        <f t="shared" si="8"/>
        <v>明野北フットボールクラブ_3</v>
      </c>
      <c r="B548" s="1" t="s">
        <v>3951</v>
      </c>
      <c r="C548" s="1" t="str">
        <f>("3")</f>
        <v>3</v>
      </c>
      <c r="D548" s="1" t="s">
        <v>209</v>
      </c>
      <c r="E548" s="1" t="s">
        <v>5294</v>
      </c>
      <c r="F548" s="1" t="s">
        <v>5295</v>
      </c>
      <c r="G548" s="1">
        <v>6</v>
      </c>
      <c r="H548" s="1" t="s">
        <v>229</v>
      </c>
      <c r="I548" s="1" t="str">
        <f>("1108090080")</f>
        <v>1108090080</v>
      </c>
      <c r="J548" s="1" t="s">
        <v>1858</v>
      </c>
    </row>
    <row r="549" spans="1:10" x14ac:dyDescent="0.45">
      <c r="A549" s="2" t="str">
        <f t="shared" si="8"/>
        <v>明野北フットボールクラブ_4</v>
      </c>
      <c r="B549" s="1" t="s">
        <v>3951</v>
      </c>
      <c r="C549" s="1" t="str">
        <f>("4")</f>
        <v>4</v>
      </c>
      <c r="D549" s="1" t="s">
        <v>209</v>
      </c>
      <c r="E549" s="1" t="s">
        <v>5296</v>
      </c>
      <c r="F549" s="1" t="s">
        <v>5297</v>
      </c>
      <c r="G549" s="1">
        <v>6</v>
      </c>
      <c r="H549" s="1" t="s">
        <v>229</v>
      </c>
      <c r="I549" s="1" t="str">
        <f>("1103250109")</f>
        <v>1103250109</v>
      </c>
    </row>
    <row r="550" spans="1:10" x14ac:dyDescent="0.45">
      <c r="A550" s="2" t="str">
        <f t="shared" si="8"/>
        <v>明野北フットボールクラブ_5</v>
      </c>
      <c r="B550" s="1" t="s">
        <v>3951</v>
      </c>
      <c r="C550" s="1" t="str">
        <f>("5")</f>
        <v>5</v>
      </c>
      <c r="D550" s="1" t="s">
        <v>209</v>
      </c>
      <c r="E550" s="1" t="s">
        <v>5298</v>
      </c>
      <c r="F550" s="1" t="s">
        <v>5299</v>
      </c>
      <c r="G550" s="1">
        <v>6</v>
      </c>
      <c r="H550" s="1" t="s">
        <v>229</v>
      </c>
      <c r="I550" s="1" t="str">
        <f>("1107050102")</f>
        <v>1107050102</v>
      </c>
    </row>
    <row r="551" spans="1:10" x14ac:dyDescent="0.45">
      <c r="A551" s="2" t="str">
        <f t="shared" si="8"/>
        <v>明野北フットボールクラブ_6</v>
      </c>
      <c r="B551" s="1" t="s">
        <v>3951</v>
      </c>
      <c r="C551" s="1" t="str">
        <f>("6")</f>
        <v>6</v>
      </c>
      <c r="D551" s="1" t="s">
        <v>209</v>
      </c>
      <c r="E551" s="1" t="s">
        <v>5300</v>
      </c>
      <c r="F551" s="1" t="s">
        <v>5301</v>
      </c>
      <c r="G551" s="1">
        <v>6</v>
      </c>
      <c r="H551" s="1" t="s">
        <v>229</v>
      </c>
      <c r="I551" s="1" t="str">
        <f>("1203070110")</f>
        <v>1203070110</v>
      </c>
    </row>
    <row r="552" spans="1:10" x14ac:dyDescent="0.45">
      <c r="A552" s="2" t="str">
        <f t="shared" si="8"/>
        <v>明野北フットボールクラブ_7</v>
      </c>
      <c r="B552" s="1" t="s">
        <v>3951</v>
      </c>
      <c r="C552" s="1" t="str">
        <f>("7")</f>
        <v>7</v>
      </c>
      <c r="D552" s="1" t="s">
        <v>208</v>
      </c>
      <c r="E552" s="1" t="s">
        <v>5302</v>
      </c>
      <c r="F552" s="1" t="s">
        <v>5303</v>
      </c>
      <c r="G552" s="1">
        <v>6</v>
      </c>
      <c r="H552" s="1" t="s">
        <v>229</v>
      </c>
      <c r="I552" s="1" t="str">
        <f>("1104010125")</f>
        <v>1104010125</v>
      </c>
    </row>
    <row r="553" spans="1:10" x14ac:dyDescent="0.45">
      <c r="A553" s="2" t="str">
        <f t="shared" si="8"/>
        <v>明野北フットボールクラブ_8</v>
      </c>
      <c r="B553" s="1" t="s">
        <v>3951</v>
      </c>
      <c r="C553" s="1" t="str">
        <f>("8")</f>
        <v>8</v>
      </c>
      <c r="D553" s="1" t="s">
        <v>210</v>
      </c>
      <c r="E553" s="1" t="s">
        <v>6273</v>
      </c>
      <c r="F553" s="1" t="s">
        <v>6274</v>
      </c>
      <c r="G553" s="1">
        <v>6</v>
      </c>
      <c r="H553" s="1" t="s">
        <v>229</v>
      </c>
      <c r="I553" s="1" t="str">
        <f>("1109220218")</f>
        <v>1109220218</v>
      </c>
    </row>
    <row r="554" spans="1:10" x14ac:dyDescent="0.45">
      <c r="A554" s="2" t="str">
        <f t="shared" si="8"/>
        <v>明野北フットボールクラブ_9</v>
      </c>
      <c r="B554" s="1" t="s">
        <v>3951</v>
      </c>
      <c r="C554" s="1" t="str">
        <f>("9")</f>
        <v>9</v>
      </c>
      <c r="D554" s="1" t="s">
        <v>209</v>
      </c>
      <c r="E554" s="1" t="s">
        <v>8999</v>
      </c>
      <c r="F554" s="1" t="s">
        <v>9000</v>
      </c>
      <c r="G554" s="1">
        <v>6</v>
      </c>
      <c r="H554" s="1" t="s">
        <v>229</v>
      </c>
      <c r="I554" s="1" t="str">
        <f>("1201130223")</f>
        <v>1201130223</v>
      </c>
    </row>
    <row r="555" spans="1:10" x14ac:dyDescent="0.45">
      <c r="A555" s="2" t="str">
        <f t="shared" si="8"/>
        <v>明野北フットボールクラブ_10</v>
      </c>
      <c r="B555" s="1" t="s">
        <v>3951</v>
      </c>
      <c r="C555" s="1" t="str">
        <f>("10")</f>
        <v>10</v>
      </c>
      <c r="D555" s="1" t="s">
        <v>209</v>
      </c>
      <c r="E555" s="1" t="s">
        <v>6277</v>
      </c>
      <c r="F555" s="1" t="s">
        <v>6278</v>
      </c>
      <c r="G555" s="1">
        <v>5</v>
      </c>
      <c r="H555" s="1" t="s">
        <v>229</v>
      </c>
      <c r="I555" s="1" t="str">
        <f>("1204250111")</f>
        <v>1204250111</v>
      </c>
    </row>
    <row r="556" spans="1:10" x14ac:dyDescent="0.45">
      <c r="A556" s="2" t="str">
        <f t="shared" si="8"/>
        <v>明野北フットボールクラブ_11</v>
      </c>
      <c r="B556" s="1" t="s">
        <v>3951</v>
      </c>
      <c r="C556" s="1" t="str">
        <f>("11")</f>
        <v>11</v>
      </c>
      <c r="D556" s="1" t="s">
        <v>209</v>
      </c>
      <c r="E556" s="1" t="s">
        <v>6279</v>
      </c>
      <c r="F556" s="1" t="s">
        <v>6280</v>
      </c>
      <c r="G556" s="1">
        <v>5</v>
      </c>
      <c r="H556" s="1" t="s">
        <v>229</v>
      </c>
      <c r="I556" s="1" t="str">
        <f>("1208210101")</f>
        <v>1208210101</v>
      </c>
    </row>
    <row r="557" spans="1:10" x14ac:dyDescent="0.45">
      <c r="A557" s="2" t="str">
        <f t="shared" si="8"/>
        <v>明野北フットボールクラブ_12</v>
      </c>
      <c r="B557" s="1" t="s">
        <v>3951</v>
      </c>
      <c r="C557" s="1" t="str">
        <f>("12")</f>
        <v>12</v>
      </c>
      <c r="D557" s="1" t="s">
        <v>209</v>
      </c>
      <c r="E557" s="1" t="s">
        <v>9001</v>
      </c>
      <c r="F557" s="1" t="s">
        <v>9002</v>
      </c>
      <c r="G557" s="1">
        <v>5</v>
      </c>
      <c r="H557" s="1" t="s">
        <v>229</v>
      </c>
      <c r="I557" s="1" t="str">
        <f>("1204260140")</f>
        <v>1204260140</v>
      </c>
    </row>
    <row r="558" spans="1:10" x14ac:dyDescent="0.45">
      <c r="A558" s="2" t="str">
        <f t="shared" si="8"/>
        <v>明野北フットボールクラブ_13</v>
      </c>
      <c r="B558" s="1" t="s">
        <v>3951</v>
      </c>
      <c r="C558" s="1" t="str">
        <f>("13")</f>
        <v>13</v>
      </c>
      <c r="D558" s="1" t="s">
        <v>209</v>
      </c>
      <c r="E558" s="1" t="s">
        <v>9003</v>
      </c>
      <c r="F558" s="1" t="s">
        <v>9004</v>
      </c>
      <c r="G558" s="1">
        <v>5</v>
      </c>
      <c r="H558" s="1" t="s">
        <v>231</v>
      </c>
      <c r="I558" s="1" t="str">
        <f>("1301040124")</f>
        <v>1301040124</v>
      </c>
    </row>
    <row r="559" spans="1:10" x14ac:dyDescent="0.45">
      <c r="A559" s="2" t="str">
        <f t="shared" si="8"/>
        <v>明野北フットボールクラブ_14</v>
      </c>
      <c r="B559" s="1" t="s">
        <v>3951</v>
      </c>
      <c r="C559" s="1" t="str">
        <f>("14")</f>
        <v>14</v>
      </c>
      <c r="D559" s="1" t="s">
        <v>209</v>
      </c>
      <c r="E559" s="1" t="s">
        <v>9005</v>
      </c>
      <c r="F559" s="1" t="s">
        <v>9006</v>
      </c>
      <c r="G559" s="1">
        <v>5</v>
      </c>
      <c r="H559" s="1" t="s">
        <v>231</v>
      </c>
      <c r="I559" s="1" t="str">
        <f>("1211020115")</f>
        <v>1211020115</v>
      </c>
    </row>
    <row r="560" spans="1:10" x14ac:dyDescent="0.45">
      <c r="A560" s="2" t="str">
        <f t="shared" si="8"/>
        <v>明治北ＳＳＣ_1</v>
      </c>
      <c r="B560" s="1" t="s">
        <v>3973</v>
      </c>
      <c r="C560" s="1" t="str">
        <f>("1")</f>
        <v>1</v>
      </c>
      <c r="D560" s="1" t="s">
        <v>207</v>
      </c>
      <c r="E560" s="1" t="s">
        <v>9007</v>
      </c>
      <c r="F560" s="1" t="s">
        <v>9008</v>
      </c>
      <c r="G560" s="1">
        <v>4</v>
      </c>
      <c r="H560" s="1" t="s">
        <v>229</v>
      </c>
      <c r="I560" s="1" t="str">
        <f>("1312250082")</f>
        <v>1312250082</v>
      </c>
    </row>
    <row r="561" spans="1:10" x14ac:dyDescent="0.45">
      <c r="A561" s="2" t="str">
        <f t="shared" si="8"/>
        <v>明治北ＳＳＣ_2</v>
      </c>
      <c r="B561" s="1" t="s">
        <v>3973</v>
      </c>
      <c r="C561" s="1" t="str">
        <f>("2")</f>
        <v>2</v>
      </c>
      <c r="D561" s="1" t="s">
        <v>210</v>
      </c>
      <c r="E561" s="1" t="s">
        <v>9009</v>
      </c>
      <c r="F561" s="1" t="s">
        <v>4739</v>
      </c>
      <c r="G561" s="1">
        <v>5</v>
      </c>
      <c r="H561" s="1" t="s">
        <v>229</v>
      </c>
      <c r="I561" s="1" t="str">
        <f>("1207090137")</f>
        <v>1207090137</v>
      </c>
    </row>
    <row r="562" spans="1:10" x14ac:dyDescent="0.45">
      <c r="A562" s="2" t="str">
        <f t="shared" si="8"/>
        <v>明治北ＳＳＣ_3</v>
      </c>
      <c r="B562" s="1" t="s">
        <v>3973</v>
      </c>
      <c r="C562" s="1" t="str">
        <f>("3")</f>
        <v>3</v>
      </c>
      <c r="D562" s="1" t="s">
        <v>210</v>
      </c>
      <c r="E562" s="1" t="s">
        <v>9010</v>
      </c>
      <c r="F562" s="1" t="s">
        <v>9011</v>
      </c>
      <c r="G562" s="1">
        <v>5</v>
      </c>
      <c r="H562" s="1" t="s">
        <v>229</v>
      </c>
      <c r="I562" s="1" t="str">
        <f>("1205140238")</f>
        <v>1205140238</v>
      </c>
    </row>
    <row r="563" spans="1:10" x14ac:dyDescent="0.45">
      <c r="A563" s="2" t="str">
        <f t="shared" si="8"/>
        <v>明治北ＳＳＣ_4</v>
      </c>
      <c r="B563" s="1" t="s">
        <v>3973</v>
      </c>
      <c r="C563" s="1" t="str">
        <f>("4")</f>
        <v>4</v>
      </c>
      <c r="D563" s="1" t="s">
        <v>209</v>
      </c>
      <c r="E563" s="1" t="s">
        <v>9012</v>
      </c>
      <c r="F563" s="1" t="s">
        <v>9013</v>
      </c>
      <c r="G563" s="1">
        <v>5</v>
      </c>
      <c r="H563" s="1" t="s">
        <v>229</v>
      </c>
      <c r="I563" s="1" t="str">
        <f>("1207140130")</f>
        <v>1207140130</v>
      </c>
    </row>
    <row r="564" spans="1:10" x14ac:dyDescent="0.45">
      <c r="A564" s="2" t="str">
        <f t="shared" si="8"/>
        <v>明治北ＳＳＣ_5</v>
      </c>
      <c r="B564" s="1" t="s">
        <v>3973</v>
      </c>
      <c r="C564" s="1" t="str">
        <f>("5")</f>
        <v>5</v>
      </c>
      <c r="D564" s="1" t="s">
        <v>208</v>
      </c>
      <c r="E564" s="1" t="s">
        <v>9014</v>
      </c>
      <c r="F564" s="1" t="s">
        <v>9015</v>
      </c>
      <c r="G564" s="1">
        <v>5</v>
      </c>
      <c r="H564" s="1" t="s">
        <v>229</v>
      </c>
      <c r="I564" s="1" t="str">
        <f>("1205030114")</f>
        <v>1205030114</v>
      </c>
    </row>
    <row r="565" spans="1:10" x14ac:dyDescent="0.45">
      <c r="A565" s="2" t="str">
        <f t="shared" si="8"/>
        <v>明治北ＳＳＣ_6</v>
      </c>
      <c r="B565" s="1" t="s">
        <v>3973</v>
      </c>
      <c r="C565" s="1" t="str">
        <f>("6")</f>
        <v>6</v>
      </c>
      <c r="D565" s="1" t="s">
        <v>209</v>
      </c>
      <c r="E565" s="1" t="s">
        <v>6570</v>
      </c>
      <c r="F565" s="1" t="s">
        <v>6571</v>
      </c>
      <c r="G565" s="1">
        <v>3</v>
      </c>
      <c r="H565" s="1" t="s">
        <v>229</v>
      </c>
      <c r="I565" s="1" t="str">
        <f>("1310310034")</f>
        <v>1310310034</v>
      </c>
    </row>
    <row r="566" spans="1:10" x14ac:dyDescent="0.45">
      <c r="A566" s="2" t="str">
        <f t="shared" si="8"/>
        <v>明治北ＳＳＣ_7</v>
      </c>
      <c r="B566" s="1" t="s">
        <v>3973</v>
      </c>
      <c r="C566" s="1" t="str">
        <f>("7")</f>
        <v>7</v>
      </c>
      <c r="D566" s="1" t="s">
        <v>210</v>
      </c>
      <c r="E566" s="1" t="s">
        <v>9016</v>
      </c>
      <c r="F566" s="1" t="s">
        <v>9017</v>
      </c>
      <c r="G566" s="1">
        <v>4</v>
      </c>
      <c r="H566" s="1" t="s">
        <v>229</v>
      </c>
      <c r="I566" s="1" t="str">
        <f>("1401070064")</f>
        <v>1401070064</v>
      </c>
    </row>
    <row r="567" spans="1:10" x14ac:dyDescent="0.45">
      <c r="A567" s="2" t="str">
        <f t="shared" si="8"/>
        <v>明治北ＳＳＣ_8</v>
      </c>
      <c r="B567" s="1" t="s">
        <v>3973</v>
      </c>
      <c r="C567" s="1" t="str">
        <f>("8")</f>
        <v>8</v>
      </c>
      <c r="D567" s="1" t="s">
        <v>208</v>
      </c>
      <c r="E567" s="1" t="s">
        <v>9018</v>
      </c>
      <c r="F567" s="1" t="s">
        <v>3480</v>
      </c>
      <c r="G567" s="1">
        <v>4</v>
      </c>
      <c r="H567" s="1" t="s">
        <v>229</v>
      </c>
      <c r="I567" s="1" t="str">
        <f>("1308120051")</f>
        <v>1308120051</v>
      </c>
    </row>
    <row r="568" spans="1:10" x14ac:dyDescent="0.45">
      <c r="A568" s="2" t="str">
        <f t="shared" si="8"/>
        <v>明治北ＳＳＣ_9</v>
      </c>
      <c r="B568" s="1" t="s">
        <v>3973</v>
      </c>
      <c r="C568" s="1" t="str">
        <f>("9")</f>
        <v>9</v>
      </c>
      <c r="D568" s="1" t="s">
        <v>208</v>
      </c>
      <c r="E568" s="1" t="s">
        <v>9019</v>
      </c>
      <c r="F568" s="1" t="s">
        <v>9020</v>
      </c>
      <c r="G568" s="1">
        <v>4</v>
      </c>
      <c r="H568" s="1" t="s">
        <v>229</v>
      </c>
      <c r="I568" s="1" t="str">
        <f>("1308090073")</f>
        <v>1308090073</v>
      </c>
    </row>
    <row r="569" spans="1:10" x14ac:dyDescent="0.45">
      <c r="A569" s="2" t="str">
        <f t="shared" si="8"/>
        <v>明治北ＳＳＣ_10</v>
      </c>
      <c r="B569" s="1" t="s">
        <v>3973</v>
      </c>
      <c r="C569" s="1" t="str">
        <f>("10")</f>
        <v>10</v>
      </c>
      <c r="D569" s="1" t="s">
        <v>210</v>
      </c>
      <c r="E569" s="1" t="s">
        <v>6285</v>
      </c>
      <c r="F569" s="1" t="s">
        <v>6286</v>
      </c>
      <c r="G569" s="1">
        <v>6</v>
      </c>
      <c r="H569" s="1" t="s">
        <v>229</v>
      </c>
      <c r="I569" s="1" t="str">
        <f>("1109120149")</f>
        <v>1109120149</v>
      </c>
      <c r="J569" s="1" t="s">
        <v>1858</v>
      </c>
    </row>
    <row r="570" spans="1:10" x14ac:dyDescent="0.45">
      <c r="A570" s="2" t="str">
        <f t="shared" si="8"/>
        <v>明治北ＳＳＣ_11</v>
      </c>
      <c r="B570" s="1" t="s">
        <v>3973</v>
      </c>
      <c r="C570" s="1" t="str">
        <f>("11")</f>
        <v>11</v>
      </c>
      <c r="D570" s="1" t="s">
        <v>209</v>
      </c>
      <c r="E570" s="1" t="s">
        <v>9021</v>
      </c>
      <c r="F570" s="1" t="s">
        <v>9022</v>
      </c>
      <c r="G570" s="1">
        <v>4</v>
      </c>
      <c r="H570" s="1" t="s">
        <v>229</v>
      </c>
      <c r="I570" s="1" t="str">
        <f>("1308100057")</f>
        <v>1308100057</v>
      </c>
    </row>
    <row r="571" spans="1:10" x14ac:dyDescent="0.45">
      <c r="A571" s="2" t="str">
        <f t="shared" si="8"/>
        <v>明治北ＳＳＣ_12</v>
      </c>
      <c r="B571" s="1" t="s">
        <v>3973</v>
      </c>
      <c r="C571" s="1" t="str">
        <f>("12")</f>
        <v>12</v>
      </c>
      <c r="D571" s="1" t="s">
        <v>207</v>
      </c>
      <c r="E571" s="1" t="s">
        <v>9023</v>
      </c>
      <c r="F571" s="1" t="s">
        <v>9024</v>
      </c>
      <c r="G571" s="1">
        <v>4</v>
      </c>
      <c r="H571" s="1" t="s">
        <v>229</v>
      </c>
      <c r="I571" s="1" t="str">
        <f>("1312230044")</f>
        <v>1312230044</v>
      </c>
    </row>
    <row r="572" spans="1:10" x14ac:dyDescent="0.45">
      <c r="A572" s="2" t="str">
        <f t="shared" si="8"/>
        <v>明治北ＳＳＣ_13</v>
      </c>
      <c r="B572" s="1" t="s">
        <v>3973</v>
      </c>
      <c r="C572" s="1" t="str">
        <f>("13")</f>
        <v>13</v>
      </c>
      <c r="D572" s="1" t="s">
        <v>210</v>
      </c>
      <c r="E572" s="1" t="s">
        <v>9025</v>
      </c>
      <c r="F572" s="1" t="s">
        <v>9026</v>
      </c>
      <c r="G572" s="1">
        <v>4</v>
      </c>
      <c r="H572" s="1" t="s">
        <v>229</v>
      </c>
      <c r="I572" s="1" t="str">
        <f>("1402160032")</f>
        <v>1402160032</v>
      </c>
    </row>
    <row r="573" spans="1:10" x14ac:dyDescent="0.45">
      <c r="A573" s="2" t="str">
        <f t="shared" si="8"/>
        <v>明治北ＳＳＣ_14</v>
      </c>
      <c r="B573" s="1" t="s">
        <v>3973</v>
      </c>
      <c r="C573" s="1" t="str">
        <f>("14")</f>
        <v>14</v>
      </c>
      <c r="D573" s="1" t="s">
        <v>208</v>
      </c>
      <c r="E573" s="1" t="s">
        <v>9027</v>
      </c>
      <c r="F573" s="1" t="s">
        <v>9028</v>
      </c>
      <c r="G573" s="1">
        <v>3</v>
      </c>
      <c r="H573" s="1" t="s">
        <v>229</v>
      </c>
      <c r="I573" s="1" t="str">
        <f>("1306300080")</f>
        <v>1306300080</v>
      </c>
    </row>
    <row r="574" spans="1:10" x14ac:dyDescent="0.45">
      <c r="A574" s="2" t="str">
        <f t="shared" si="8"/>
        <v>明治北ＳＳＣ_15</v>
      </c>
      <c r="B574" s="1" t="s">
        <v>3973</v>
      </c>
      <c r="C574" s="1" t="str">
        <f>("15")</f>
        <v>15</v>
      </c>
      <c r="D574" s="1" t="s">
        <v>210</v>
      </c>
      <c r="E574" s="1" t="s">
        <v>9029</v>
      </c>
      <c r="F574" s="1" t="s">
        <v>9030</v>
      </c>
      <c r="G574" s="1">
        <v>4</v>
      </c>
      <c r="H574" s="1" t="s">
        <v>229</v>
      </c>
      <c r="I574" s="1" t="str">
        <f>("1306300042")</f>
        <v>1306300042</v>
      </c>
    </row>
    <row r="575" spans="1:10" x14ac:dyDescent="0.45">
      <c r="A575" s="2" t="str">
        <f t="shared" si="8"/>
        <v>明野東サッカースポーツ少年団_1</v>
      </c>
      <c r="B575" s="1" t="s">
        <v>3250</v>
      </c>
      <c r="C575" s="1" t="str">
        <f>("1")</f>
        <v>1</v>
      </c>
      <c r="D575" s="1" t="s">
        <v>207</v>
      </c>
      <c r="E575" s="1" t="s">
        <v>5310</v>
      </c>
      <c r="F575" s="1" t="s">
        <v>5311</v>
      </c>
      <c r="G575" s="1">
        <v>6</v>
      </c>
      <c r="H575" s="1" t="s">
        <v>229</v>
      </c>
      <c r="I575" s="1" t="str">
        <f>("1112220110")</f>
        <v>1112220110</v>
      </c>
    </row>
    <row r="576" spans="1:10" x14ac:dyDescent="0.45">
      <c r="A576" s="2" t="str">
        <f t="shared" si="8"/>
        <v>明野東サッカースポーツ少年団_2</v>
      </c>
      <c r="B576" s="1" t="s">
        <v>3250</v>
      </c>
      <c r="C576" s="1" t="str">
        <f>("2")</f>
        <v>2</v>
      </c>
      <c r="D576" s="1" t="s">
        <v>208</v>
      </c>
      <c r="E576" s="1" t="s">
        <v>6297</v>
      </c>
      <c r="F576" s="1" t="s">
        <v>6298</v>
      </c>
      <c r="G576" s="1">
        <v>5</v>
      </c>
      <c r="H576" s="1" t="s">
        <v>229</v>
      </c>
      <c r="I576" s="1" t="str">
        <f>("1205310076")</f>
        <v>1205310076</v>
      </c>
    </row>
    <row r="577" spans="1:10" x14ac:dyDescent="0.45">
      <c r="A577" s="2" t="str">
        <f t="shared" ref="A577:A640" si="9">CONCATENATE(B577,"_",C577)</f>
        <v>明野東サッカースポーツ少年団_3</v>
      </c>
      <c r="B577" s="1" t="s">
        <v>3250</v>
      </c>
      <c r="C577" s="1" t="str">
        <f>("3")</f>
        <v>3</v>
      </c>
      <c r="D577" s="1" t="s">
        <v>209</v>
      </c>
      <c r="E577" s="1" t="s">
        <v>6287</v>
      </c>
      <c r="F577" s="1" t="s">
        <v>6288</v>
      </c>
      <c r="G577" s="1">
        <v>6</v>
      </c>
      <c r="H577" s="1" t="s">
        <v>231</v>
      </c>
      <c r="I577" s="1" t="str">
        <f>("1104080166")</f>
        <v>1104080166</v>
      </c>
    </row>
    <row r="578" spans="1:10" x14ac:dyDescent="0.45">
      <c r="A578" s="2" t="str">
        <f t="shared" si="9"/>
        <v>明野東サッカースポーツ少年団_4</v>
      </c>
      <c r="B578" s="1" t="s">
        <v>3250</v>
      </c>
      <c r="C578" s="1" t="str">
        <f>("4")</f>
        <v>4</v>
      </c>
      <c r="D578" s="1" t="s">
        <v>210</v>
      </c>
      <c r="E578" s="1" t="s">
        <v>9031</v>
      </c>
      <c r="F578" s="1" t="s">
        <v>9032</v>
      </c>
      <c r="G578" s="1">
        <v>4</v>
      </c>
      <c r="H578" s="1" t="s">
        <v>229</v>
      </c>
      <c r="I578" s="1" t="str">
        <f>("1308160078")</f>
        <v>1308160078</v>
      </c>
    </row>
    <row r="579" spans="1:10" x14ac:dyDescent="0.45">
      <c r="A579" s="2" t="str">
        <f t="shared" si="9"/>
        <v>明野東サッカースポーツ少年団_5</v>
      </c>
      <c r="B579" s="1" t="s">
        <v>3250</v>
      </c>
      <c r="C579" s="1" t="str">
        <f>("5")</f>
        <v>5</v>
      </c>
      <c r="D579" s="1" t="s">
        <v>209</v>
      </c>
      <c r="E579" s="1" t="s">
        <v>9033</v>
      </c>
      <c r="F579" s="1" t="s">
        <v>3620</v>
      </c>
      <c r="G579" s="1">
        <v>4</v>
      </c>
      <c r="H579" s="1" t="s">
        <v>229</v>
      </c>
      <c r="I579" s="1" t="str">
        <f>("1306300041")</f>
        <v>1306300041</v>
      </c>
    </row>
    <row r="580" spans="1:10" x14ac:dyDescent="0.45">
      <c r="A580" s="2" t="str">
        <f t="shared" si="9"/>
        <v>明野東サッカースポーツ少年団_6</v>
      </c>
      <c r="B580" s="1" t="s">
        <v>3250</v>
      </c>
      <c r="C580" s="1" t="str">
        <f>("6")</f>
        <v>6</v>
      </c>
      <c r="D580" s="1" t="s">
        <v>209</v>
      </c>
      <c r="E580" s="1" t="s">
        <v>6299</v>
      </c>
      <c r="F580" s="1" t="s">
        <v>6300</v>
      </c>
      <c r="G580" s="1">
        <v>5</v>
      </c>
      <c r="H580" s="1" t="s">
        <v>229</v>
      </c>
      <c r="I580" s="1" t="str">
        <f>("1205170137")</f>
        <v>1205170137</v>
      </c>
    </row>
    <row r="581" spans="1:10" x14ac:dyDescent="0.45">
      <c r="A581" s="2" t="str">
        <f t="shared" si="9"/>
        <v>明野東サッカースポーツ少年団_7</v>
      </c>
      <c r="B581" s="1" t="s">
        <v>3250</v>
      </c>
      <c r="C581" s="1" t="str">
        <f>("7")</f>
        <v>7</v>
      </c>
      <c r="D581" s="1" t="s">
        <v>209</v>
      </c>
      <c r="E581" s="1" t="s">
        <v>6293</v>
      </c>
      <c r="F581" s="1" t="s">
        <v>6294</v>
      </c>
      <c r="G581" s="1">
        <v>6</v>
      </c>
      <c r="H581" s="1" t="s">
        <v>229</v>
      </c>
      <c r="I581" s="1" t="str">
        <f>("1107310092")</f>
        <v>1107310092</v>
      </c>
      <c r="J581" s="1" t="s">
        <v>1858</v>
      </c>
    </row>
    <row r="582" spans="1:10" x14ac:dyDescent="0.45">
      <c r="A582" s="2" t="str">
        <f t="shared" si="9"/>
        <v>明野東サッカースポーツ少年団_8</v>
      </c>
      <c r="B582" s="1" t="s">
        <v>3250</v>
      </c>
      <c r="C582" s="1" t="str">
        <f>("8")</f>
        <v>8</v>
      </c>
      <c r="D582" s="1" t="s">
        <v>208</v>
      </c>
      <c r="E582" s="1" t="s">
        <v>6291</v>
      </c>
      <c r="F582" s="1" t="s">
        <v>6292</v>
      </c>
      <c r="G582" s="1">
        <v>6</v>
      </c>
      <c r="H582" s="1" t="s">
        <v>231</v>
      </c>
      <c r="I582" s="1" t="str">
        <f>("1112100125")</f>
        <v>1112100125</v>
      </c>
    </row>
    <row r="583" spans="1:10" x14ac:dyDescent="0.45">
      <c r="A583" s="2" t="str">
        <f t="shared" si="9"/>
        <v>明野東サッカースポーツ少年団_9</v>
      </c>
      <c r="B583" s="1" t="s">
        <v>3250</v>
      </c>
      <c r="C583" s="1" t="str">
        <f>("9")</f>
        <v>9</v>
      </c>
      <c r="D583" s="1" t="s">
        <v>208</v>
      </c>
      <c r="E583" s="1" t="s">
        <v>9034</v>
      </c>
      <c r="F583" s="1" t="s">
        <v>9035</v>
      </c>
      <c r="G583" s="1">
        <v>4</v>
      </c>
      <c r="H583" s="1" t="s">
        <v>229</v>
      </c>
      <c r="I583" s="1" t="str">
        <f>("1403150041")</f>
        <v>1403150041</v>
      </c>
    </row>
    <row r="584" spans="1:10" x14ac:dyDescent="0.45">
      <c r="A584" s="2" t="str">
        <f t="shared" si="9"/>
        <v>明野東サッカースポーツ少年団_10</v>
      </c>
      <c r="B584" s="1" t="s">
        <v>3250</v>
      </c>
      <c r="C584" s="1" t="str">
        <f>("10")</f>
        <v>10</v>
      </c>
      <c r="D584" s="1" t="s">
        <v>209</v>
      </c>
      <c r="E584" s="1" t="s">
        <v>6295</v>
      </c>
      <c r="F584" s="1" t="s">
        <v>6296</v>
      </c>
      <c r="G584" s="1">
        <v>6</v>
      </c>
      <c r="H584" s="1" t="s">
        <v>229</v>
      </c>
      <c r="I584" s="1" t="str">
        <f>("1202140166")</f>
        <v>1202140166</v>
      </c>
    </row>
    <row r="585" spans="1:10" x14ac:dyDescent="0.45">
      <c r="A585" s="2" t="str">
        <f t="shared" si="9"/>
        <v>明野東サッカースポーツ少年団_11</v>
      </c>
      <c r="B585" s="1" t="s">
        <v>3250</v>
      </c>
      <c r="C585" s="1" t="str">
        <f>("11")</f>
        <v>11</v>
      </c>
      <c r="D585" s="1" t="s">
        <v>210</v>
      </c>
      <c r="E585" s="1" t="s">
        <v>6289</v>
      </c>
      <c r="F585" s="1" t="s">
        <v>6290</v>
      </c>
      <c r="G585" s="1">
        <v>5</v>
      </c>
      <c r="H585" s="1" t="s">
        <v>229</v>
      </c>
      <c r="I585" s="1" t="str">
        <f>("1206100057")</f>
        <v>1206100057</v>
      </c>
    </row>
    <row r="586" spans="1:10" x14ac:dyDescent="0.45">
      <c r="A586" s="2" t="str">
        <f t="shared" si="9"/>
        <v>明野東サッカースポーツ少年団_12</v>
      </c>
      <c r="B586" s="1" t="s">
        <v>3250</v>
      </c>
      <c r="C586" s="1" t="str">
        <f>("12")</f>
        <v>12</v>
      </c>
      <c r="D586" s="1" t="s">
        <v>210</v>
      </c>
      <c r="E586" s="1" t="s">
        <v>9036</v>
      </c>
      <c r="F586" s="1" t="s">
        <v>9037</v>
      </c>
      <c r="G586" s="1">
        <v>4</v>
      </c>
      <c r="H586" s="1" t="s">
        <v>231</v>
      </c>
      <c r="I586" s="1" t="str">
        <f>("1310100084")</f>
        <v>1310100084</v>
      </c>
    </row>
    <row r="587" spans="1:10" x14ac:dyDescent="0.45">
      <c r="A587" s="2" t="str">
        <f t="shared" si="9"/>
        <v>明野東サッカースポーツ少年団_13</v>
      </c>
      <c r="B587" s="1" t="s">
        <v>3250</v>
      </c>
      <c r="C587" s="1" t="str">
        <f>("13")</f>
        <v>13</v>
      </c>
      <c r="D587" s="1" t="s">
        <v>210</v>
      </c>
      <c r="E587" s="1" t="s">
        <v>9038</v>
      </c>
      <c r="F587" s="1" t="s">
        <v>9039</v>
      </c>
      <c r="G587" s="1">
        <v>4</v>
      </c>
      <c r="H587" s="1" t="s">
        <v>231</v>
      </c>
      <c r="I587" s="1" t="str">
        <f>("1402100050")</f>
        <v>1402100050</v>
      </c>
    </row>
    <row r="588" spans="1:10" x14ac:dyDescent="0.45">
      <c r="A588" s="2" t="str">
        <f t="shared" si="9"/>
        <v>明野東サッカースポーツ少年団_15</v>
      </c>
      <c r="B588" s="1" t="s">
        <v>3250</v>
      </c>
      <c r="C588" s="1" t="str">
        <f>("15")</f>
        <v>15</v>
      </c>
      <c r="D588" s="1" t="s">
        <v>210</v>
      </c>
      <c r="E588" s="1" t="s">
        <v>9040</v>
      </c>
      <c r="F588" s="1" t="s">
        <v>9041</v>
      </c>
      <c r="G588" s="1">
        <v>4</v>
      </c>
      <c r="H588" s="1" t="s">
        <v>229</v>
      </c>
      <c r="I588" s="1" t="str">
        <f>("1306050066")</f>
        <v>1306050066</v>
      </c>
    </row>
    <row r="589" spans="1:10" x14ac:dyDescent="0.45">
      <c r="A589" s="2" t="str">
        <f t="shared" si="9"/>
        <v>明野東サッカースポーツ少年団_16</v>
      </c>
      <c r="B589" s="1" t="s">
        <v>3250</v>
      </c>
      <c r="C589" s="1" t="str">
        <f>("16")</f>
        <v>16</v>
      </c>
      <c r="D589" s="1" t="s">
        <v>209</v>
      </c>
      <c r="E589" s="1" t="s">
        <v>9042</v>
      </c>
      <c r="F589" s="1" t="s">
        <v>9043</v>
      </c>
      <c r="G589" s="1">
        <v>4</v>
      </c>
      <c r="H589" s="1" t="s">
        <v>229</v>
      </c>
      <c r="I589" s="1" t="str">
        <f>("1312180077")</f>
        <v>1312180077</v>
      </c>
    </row>
    <row r="590" spans="1:10" x14ac:dyDescent="0.45">
      <c r="A590" s="2" t="str">
        <f t="shared" si="9"/>
        <v>明野東サッカースポーツ少年団_17</v>
      </c>
      <c r="B590" s="1" t="s">
        <v>3250</v>
      </c>
      <c r="C590" s="1" t="str">
        <f>("17")</f>
        <v>17</v>
      </c>
      <c r="D590" s="1" t="s">
        <v>210</v>
      </c>
      <c r="E590" s="1" t="s">
        <v>9044</v>
      </c>
      <c r="F590" s="1" t="s">
        <v>9045</v>
      </c>
      <c r="G590" s="1">
        <v>4</v>
      </c>
      <c r="H590" s="1" t="s">
        <v>229</v>
      </c>
      <c r="I590" s="1" t="str">
        <f>("1310050073")</f>
        <v>1310050073</v>
      </c>
    </row>
    <row r="591" spans="1:10" x14ac:dyDescent="0.45">
      <c r="A591" s="2" t="str">
        <f t="shared" si="9"/>
        <v>大道サッカースポーツ少年団_1</v>
      </c>
      <c r="B591" s="1" t="s">
        <v>3251</v>
      </c>
      <c r="C591" s="1" t="str">
        <f>("1")</f>
        <v>1</v>
      </c>
      <c r="D591" s="1" t="s">
        <v>207</v>
      </c>
      <c r="E591" s="1" t="s">
        <v>6301</v>
      </c>
      <c r="F591" s="1" t="s">
        <v>6302</v>
      </c>
      <c r="G591" s="1">
        <v>6</v>
      </c>
      <c r="H591" s="1" t="s">
        <v>229</v>
      </c>
      <c r="I591" s="1" t="str">
        <f>("1107140025")</f>
        <v>1107140025</v>
      </c>
      <c r="J591" s="1" t="s">
        <v>1858</v>
      </c>
    </row>
    <row r="592" spans="1:10" x14ac:dyDescent="0.45">
      <c r="A592" s="2" t="str">
        <f t="shared" si="9"/>
        <v>大道サッカースポーツ少年団_2</v>
      </c>
      <c r="B592" s="1" t="s">
        <v>3251</v>
      </c>
      <c r="C592" s="1" t="str">
        <f>("2")</f>
        <v>2</v>
      </c>
      <c r="D592" s="1" t="s">
        <v>208</v>
      </c>
      <c r="E592" s="1" t="s">
        <v>6303</v>
      </c>
      <c r="F592" s="1" t="s">
        <v>6304</v>
      </c>
      <c r="G592" s="1">
        <v>6</v>
      </c>
      <c r="H592" s="1" t="s">
        <v>229</v>
      </c>
      <c r="I592" s="1" t="str">
        <f>("1111300032")</f>
        <v>1111300032</v>
      </c>
    </row>
    <row r="593" spans="1:10" x14ac:dyDescent="0.45">
      <c r="A593" s="2" t="str">
        <f t="shared" si="9"/>
        <v>大道サッカースポーツ少年団_3</v>
      </c>
      <c r="B593" s="1" t="s">
        <v>3251</v>
      </c>
      <c r="C593" s="1" t="str">
        <f>("3")</f>
        <v>3</v>
      </c>
      <c r="D593" s="1" t="s">
        <v>210</v>
      </c>
      <c r="E593" s="1" t="s">
        <v>9046</v>
      </c>
      <c r="F593" s="1" t="s">
        <v>9047</v>
      </c>
      <c r="G593" s="1">
        <v>6</v>
      </c>
      <c r="H593" s="1" t="s">
        <v>229</v>
      </c>
      <c r="I593" s="1" t="str">
        <f>("1203110163")</f>
        <v>1203110163</v>
      </c>
    </row>
    <row r="594" spans="1:10" x14ac:dyDescent="0.45">
      <c r="A594" s="2" t="str">
        <f t="shared" si="9"/>
        <v>大道サッカースポーツ少年団_4</v>
      </c>
      <c r="B594" s="1" t="s">
        <v>3251</v>
      </c>
      <c r="C594" s="1" t="str">
        <f>("4")</f>
        <v>4</v>
      </c>
      <c r="D594" s="1" t="s">
        <v>209</v>
      </c>
      <c r="E594" s="1" t="s">
        <v>6305</v>
      </c>
      <c r="F594" s="1" t="s">
        <v>6306</v>
      </c>
      <c r="G594" s="1">
        <v>6</v>
      </c>
      <c r="H594" s="1" t="s">
        <v>229</v>
      </c>
      <c r="I594" s="1" t="str">
        <f>("1109140193")</f>
        <v>1109140193</v>
      </c>
    </row>
    <row r="595" spans="1:10" x14ac:dyDescent="0.45">
      <c r="A595" s="2" t="str">
        <f t="shared" si="9"/>
        <v>大道サッカースポーツ少年団_5</v>
      </c>
      <c r="B595" s="1" t="s">
        <v>3251</v>
      </c>
      <c r="C595" s="1" t="str">
        <f>("5")</f>
        <v>5</v>
      </c>
      <c r="D595" s="1" t="s">
        <v>210</v>
      </c>
      <c r="E595" s="1" t="s">
        <v>9048</v>
      </c>
      <c r="F595" s="1" t="s">
        <v>9049</v>
      </c>
      <c r="G595" s="1">
        <v>6</v>
      </c>
      <c r="H595" s="1" t="s">
        <v>229</v>
      </c>
      <c r="I595" s="1" t="str">
        <f>("1106130122")</f>
        <v>1106130122</v>
      </c>
    </row>
    <row r="596" spans="1:10" x14ac:dyDescent="0.45">
      <c r="A596" s="2" t="str">
        <f t="shared" si="9"/>
        <v>大道サッカースポーツ少年団_6</v>
      </c>
      <c r="B596" s="1" t="s">
        <v>3251</v>
      </c>
      <c r="C596" s="1" t="str">
        <f>("6")</f>
        <v>6</v>
      </c>
      <c r="D596" s="1" t="s">
        <v>210</v>
      </c>
      <c r="E596" s="1" t="s">
        <v>6309</v>
      </c>
      <c r="F596" s="1" t="s">
        <v>6310</v>
      </c>
      <c r="G596" s="1">
        <v>5</v>
      </c>
      <c r="H596" s="1" t="s">
        <v>229</v>
      </c>
      <c r="I596" s="1" t="str">
        <f>("1303290047")</f>
        <v>1303290047</v>
      </c>
    </row>
    <row r="597" spans="1:10" x14ac:dyDescent="0.45">
      <c r="A597" s="2" t="str">
        <f t="shared" si="9"/>
        <v>大道サッカースポーツ少年団_7</v>
      </c>
      <c r="B597" s="1" t="s">
        <v>3251</v>
      </c>
      <c r="C597" s="1" t="str">
        <f>("7")</f>
        <v>7</v>
      </c>
      <c r="D597" s="1" t="s">
        <v>208</v>
      </c>
      <c r="E597" s="1" t="s">
        <v>6307</v>
      </c>
      <c r="F597" s="1" t="s">
        <v>6308</v>
      </c>
      <c r="G597" s="1">
        <v>5</v>
      </c>
      <c r="H597" s="1" t="s">
        <v>229</v>
      </c>
      <c r="I597" s="1" t="str">
        <f>("1303270003")</f>
        <v>1303270003</v>
      </c>
    </row>
    <row r="598" spans="1:10" x14ac:dyDescent="0.45">
      <c r="A598" s="2" t="str">
        <f t="shared" si="9"/>
        <v>大道サッカースポーツ少年団_8</v>
      </c>
      <c r="B598" s="1" t="s">
        <v>3251</v>
      </c>
      <c r="C598" s="1" t="str">
        <f>("8")</f>
        <v>8</v>
      </c>
      <c r="D598" s="1" t="s">
        <v>209</v>
      </c>
      <c r="E598" s="1" t="s">
        <v>9050</v>
      </c>
      <c r="F598" s="1" t="s">
        <v>9051</v>
      </c>
      <c r="G598" s="1">
        <v>5</v>
      </c>
      <c r="H598" s="1" t="s">
        <v>229</v>
      </c>
      <c r="I598" s="1" t="str">
        <f>("1303120183")</f>
        <v>1303120183</v>
      </c>
    </row>
    <row r="599" spans="1:10" x14ac:dyDescent="0.45">
      <c r="A599" s="2" t="str">
        <f t="shared" si="9"/>
        <v>大道サッカースポーツ少年団_9</v>
      </c>
      <c r="B599" s="1" t="s">
        <v>3251</v>
      </c>
      <c r="C599" s="1" t="str">
        <f>("9")</f>
        <v>9</v>
      </c>
      <c r="D599" s="1" t="s">
        <v>208</v>
      </c>
      <c r="E599" s="1" t="s">
        <v>9052</v>
      </c>
      <c r="F599" s="1" t="s">
        <v>9053</v>
      </c>
      <c r="G599" s="1">
        <v>4</v>
      </c>
      <c r="H599" s="1" t="s">
        <v>229</v>
      </c>
      <c r="I599" s="1" t="str">
        <f>("1312040010")</f>
        <v>1312040010</v>
      </c>
    </row>
    <row r="600" spans="1:10" x14ac:dyDescent="0.45">
      <c r="A600" s="2" t="str">
        <f t="shared" si="9"/>
        <v>大道サッカースポーツ少年団_10</v>
      </c>
      <c r="B600" s="1" t="s">
        <v>3251</v>
      </c>
      <c r="C600" s="1" t="str">
        <f>("10")</f>
        <v>10</v>
      </c>
      <c r="D600" s="1" t="s">
        <v>209</v>
      </c>
      <c r="E600" s="1" t="s">
        <v>9054</v>
      </c>
      <c r="F600" s="1" t="s">
        <v>9055</v>
      </c>
      <c r="G600" s="1">
        <v>4</v>
      </c>
      <c r="H600" s="1" t="s">
        <v>229</v>
      </c>
      <c r="I600" s="1" t="str">
        <f>("1311290012")</f>
        <v>1311290012</v>
      </c>
    </row>
    <row r="601" spans="1:10" x14ac:dyDescent="0.45">
      <c r="A601" s="2" t="str">
        <f t="shared" si="9"/>
        <v>大道サッカースポーツ少年団_11</v>
      </c>
      <c r="B601" s="1" t="s">
        <v>3251</v>
      </c>
      <c r="C601" s="1" t="str">
        <f>("11")</f>
        <v>11</v>
      </c>
      <c r="D601" s="1" t="s">
        <v>210</v>
      </c>
      <c r="E601" s="1" t="s">
        <v>9056</v>
      </c>
      <c r="F601" s="1" t="s">
        <v>9057</v>
      </c>
      <c r="G601" s="1">
        <v>4</v>
      </c>
      <c r="H601" s="1" t="s">
        <v>229</v>
      </c>
      <c r="I601" s="1" t="str">
        <f>("1310030001")</f>
        <v>1310030001</v>
      </c>
    </row>
    <row r="602" spans="1:10" x14ac:dyDescent="0.45">
      <c r="A602" s="2" t="str">
        <f t="shared" si="9"/>
        <v>大道サッカースポーツ少年団_12</v>
      </c>
      <c r="B602" s="1" t="s">
        <v>3251</v>
      </c>
      <c r="C602" s="1" t="str">
        <f>("12")</f>
        <v>12</v>
      </c>
      <c r="D602" s="1" t="s">
        <v>207</v>
      </c>
      <c r="E602" s="1" t="s">
        <v>5315</v>
      </c>
      <c r="F602" s="1" t="s">
        <v>5316</v>
      </c>
      <c r="G602" s="1">
        <v>6</v>
      </c>
      <c r="H602" s="1" t="s">
        <v>229</v>
      </c>
      <c r="I602" s="1" t="str">
        <f>("1201260013")</f>
        <v>1201260013</v>
      </c>
    </row>
    <row r="603" spans="1:10" x14ac:dyDescent="0.45">
      <c r="A603" s="2" t="str">
        <f t="shared" si="9"/>
        <v>大道サッカースポーツ少年団_13</v>
      </c>
      <c r="B603" s="1" t="s">
        <v>3251</v>
      </c>
      <c r="C603" s="1" t="str">
        <f>("13")</f>
        <v>13</v>
      </c>
      <c r="D603" s="1" t="s">
        <v>209</v>
      </c>
      <c r="E603" s="1" t="s">
        <v>9058</v>
      </c>
      <c r="F603" s="1" t="s">
        <v>9059</v>
      </c>
      <c r="G603" s="1">
        <v>4</v>
      </c>
      <c r="H603" s="1" t="s">
        <v>229</v>
      </c>
      <c r="I603" s="1" t="str">
        <f>("1308170010")</f>
        <v>1308170010</v>
      </c>
    </row>
    <row r="604" spans="1:10" x14ac:dyDescent="0.45">
      <c r="A604" s="2" t="str">
        <f t="shared" si="9"/>
        <v>大道サッカースポーツ少年団_14</v>
      </c>
      <c r="B604" s="1" t="s">
        <v>3251</v>
      </c>
      <c r="C604" s="1" t="str">
        <f>("14")</f>
        <v>14</v>
      </c>
      <c r="D604" s="1" t="s">
        <v>209</v>
      </c>
      <c r="E604" s="1" t="s">
        <v>9060</v>
      </c>
      <c r="F604" s="1" t="s">
        <v>9061</v>
      </c>
      <c r="G604" s="1">
        <v>4</v>
      </c>
      <c r="H604" s="1" t="s">
        <v>229</v>
      </c>
      <c r="I604" s="1" t="str">
        <f>("1306150029")</f>
        <v>1306150029</v>
      </c>
    </row>
    <row r="605" spans="1:10" x14ac:dyDescent="0.45">
      <c r="A605" s="2" t="str">
        <f t="shared" si="9"/>
        <v>大道サッカースポーツ少年団_15</v>
      </c>
      <c r="B605" s="1" t="s">
        <v>3251</v>
      </c>
      <c r="C605" s="1" t="str">
        <f>("15")</f>
        <v>15</v>
      </c>
      <c r="D605" s="1" t="s">
        <v>210</v>
      </c>
      <c r="E605" s="1" t="s">
        <v>9062</v>
      </c>
      <c r="F605" s="1" t="s">
        <v>9063</v>
      </c>
      <c r="G605" s="1">
        <v>3</v>
      </c>
      <c r="H605" s="1" t="s">
        <v>229</v>
      </c>
      <c r="I605" s="1" t="str">
        <f>("1503170005")</f>
        <v>1503170005</v>
      </c>
    </row>
    <row r="606" spans="1:10" x14ac:dyDescent="0.45">
      <c r="A606" s="2" t="str">
        <f t="shared" si="9"/>
        <v>大道サッカースポーツ少年団_16</v>
      </c>
      <c r="B606" s="1" t="s">
        <v>3251</v>
      </c>
      <c r="C606" s="1" t="str">
        <f>("16")</f>
        <v>16</v>
      </c>
      <c r="D606" s="1" t="s">
        <v>209</v>
      </c>
      <c r="E606" s="1" t="s">
        <v>9064</v>
      </c>
      <c r="F606" s="1" t="s">
        <v>9065</v>
      </c>
      <c r="G606" s="1">
        <v>3</v>
      </c>
      <c r="H606" s="1" t="s">
        <v>229</v>
      </c>
      <c r="I606" s="1" t="str">
        <f>("1408280002")</f>
        <v>1408280002</v>
      </c>
    </row>
    <row r="607" spans="1:10" x14ac:dyDescent="0.45">
      <c r="A607" s="2" t="str">
        <f t="shared" si="9"/>
        <v>東稙田サッカースポーツ少年団_2</v>
      </c>
      <c r="B607" s="1" t="s">
        <v>3966</v>
      </c>
      <c r="C607" s="1" t="str">
        <f>("2")</f>
        <v>2</v>
      </c>
      <c r="D607" s="1" t="s">
        <v>208</v>
      </c>
      <c r="E607" s="1" t="s">
        <v>5335</v>
      </c>
      <c r="F607" s="1" t="s">
        <v>5336</v>
      </c>
      <c r="G607" s="1">
        <v>5</v>
      </c>
      <c r="H607" s="1" t="s">
        <v>229</v>
      </c>
      <c r="I607" s="1" t="str">
        <f>("1212120089")</f>
        <v>1212120089</v>
      </c>
    </row>
    <row r="608" spans="1:10" x14ac:dyDescent="0.45">
      <c r="A608" s="2" t="str">
        <f t="shared" si="9"/>
        <v>東稙田サッカースポーツ少年団_3</v>
      </c>
      <c r="B608" s="1" t="s">
        <v>3966</v>
      </c>
      <c r="C608" s="1" t="str">
        <f>("3")</f>
        <v>3</v>
      </c>
      <c r="D608" s="1" t="s">
        <v>208</v>
      </c>
      <c r="E608" s="1" t="s">
        <v>5333</v>
      </c>
      <c r="F608" s="1" t="s">
        <v>5334</v>
      </c>
      <c r="G608" s="1">
        <v>5</v>
      </c>
      <c r="H608" s="1" t="s">
        <v>229</v>
      </c>
      <c r="I608" s="1" t="str">
        <f>("1204110096")</f>
        <v>1204110096</v>
      </c>
      <c r="J608" s="1" t="s">
        <v>1858</v>
      </c>
    </row>
    <row r="609" spans="1:10" x14ac:dyDescent="0.45">
      <c r="A609" s="2" t="str">
        <f t="shared" si="9"/>
        <v>東稙田サッカースポーツ少年団_5</v>
      </c>
      <c r="B609" s="1" t="s">
        <v>3966</v>
      </c>
      <c r="C609" s="1" t="str">
        <f>("5")</f>
        <v>5</v>
      </c>
      <c r="D609" s="1" t="s">
        <v>208</v>
      </c>
      <c r="E609" s="1" t="s">
        <v>5329</v>
      </c>
      <c r="F609" s="1" t="s">
        <v>5330</v>
      </c>
      <c r="G609" s="1">
        <v>5</v>
      </c>
      <c r="H609" s="1" t="s">
        <v>229</v>
      </c>
      <c r="I609" s="1" t="str">
        <f>("1210270022")</f>
        <v>1210270022</v>
      </c>
    </row>
    <row r="610" spans="1:10" x14ac:dyDescent="0.45">
      <c r="A610" s="2" t="str">
        <f t="shared" si="9"/>
        <v>東稙田サッカースポーツ少年団_6</v>
      </c>
      <c r="B610" s="1" t="s">
        <v>3966</v>
      </c>
      <c r="C610" s="1" t="str">
        <f>("6")</f>
        <v>6</v>
      </c>
      <c r="D610" s="1" t="s">
        <v>210</v>
      </c>
      <c r="E610" s="1" t="s">
        <v>6311</v>
      </c>
      <c r="F610" s="1" t="s">
        <v>6312</v>
      </c>
      <c r="G610" s="1">
        <v>5</v>
      </c>
      <c r="H610" s="1" t="s">
        <v>229</v>
      </c>
      <c r="I610" s="1" t="str">
        <f>("1207270119")</f>
        <v>1207270119</v>
      </c>
    </row>
    <row r="611" spans="1:10" x14ac:dyDescent="0.45">
      <c r="A611" s="2" t="str">
        <f t="shared" si="9"/>
        <v>東稙田サッカースポーツ少年団_7</v>
      </c>
      <c r="B611" s="1" t="s">
        <v>3966</v>
      </c>
      <c r="C611" s="1" t="str">
        <f>("7")</f>
        <v>7</v>
      </c>
      <c r="D611" s="1" t="s">
        <v>209</v>
      </c>
      <c r="E611" s="1" t="s">
        <v>5327</v>
      </c>
      <c r="F611" s="1" t="s">
        <v>5328</v>
      </c>
      <c r="G611" s="1">
        <v>5</v>
      </c>
      <c r="H611" s="1" t="s">
        <v>229</v>
      </c>
      <c r="I611" s="1" t="str">
        <f>("1206080031")</f>
        <v>1206080031</v>
      </c>
    </row>
    <row r="612" spans="1:10" x14ac:dyDescent="0.45">
      <c r="A612" s="2" t="str">
        <f t="shared" si="9"/>
        <v>東稙田サッカースポーツ少年団_8</v>
      </c>
      <c r="B612" s="1" t="s">
        <v>3966</v>
      </c>
      <c r="C612" s="1" t="str">
        <f>("8")</f>
        <v>8</v>
      </c>
      <c r="D612" s="1" t="s">
        <v>209</v>
      </c>
      <c r="E612" s="1" t="s">
        <v>5321</v>
      </c>
      <c r="F612" s="1" t="s">
        <v>5322</v>
      </c>
      <c r="G612" s="1">
        <v>5</v>
      </c>
      <c r="H612" s="1" t="s">
        <v>229</v>
      </c>
      <c r="I612" s="1" t="str">
        <f>("1208270030")</f>
        <v>1208270030</v>
      </c>
    </row>
    <row r="613" spans="1:10" x14ac:dyDescent="0.45">
      <c r="A613" s="2" t="str">
        <f t="shared" si="9"/>
        <v>東稙田サッカースポーツ少年団_9</v>
      </c>
      <c r="B613" s="1" t="s">
        <v>3966</v>
      </c>
      <c r="C613" s="1" t="str">
        <f>("9")</f>
        <v>9</v>
      </c>
      <c r="D613" s="1" t="s">
        <v>210</v>
      </c>
      <c r="E613" s="1" t="s">
        <v>5319</v>
      </c>
      <c r="F613" s="1" t="s">
        <v>5320</v>
      </c>
      <c r="G613" s="1">
        <v>5</v>
      </c>
      <c r="H613" s="1" t="s">
        <v>229</v>
      </c>
      <c r="I613" s="1" t="str">
        <f>("1302040007")</f>
        <v>1302040007</v>
      </c>
    </row>
    <row r="614" spans="1:10" x14ac:dyDescent="0.45">
      <c r="A614" s="2" t="str">
        <f t="shared" si="9"/>
        <v>東稙田サッカースポーツ少年団_10</v>
      </c>
      <c r="B614" s="1" t="s">
        <v>3966</v>
      </c>
      <c r="C614" s="1" t="str">
        <f>("10")</f>
        <v>10</v>
      </c>
      <c r="D614" s="1" t="s">
        <v>209</v>
      </c>
      <c r="E614" s="1" t="s">
        <v>5331</v>
      </c>
      <c r="F614" s="1" t="s">
        <v>5332</v>
      </c>
      <c r="G614" s="1">
        <v>5</v>
      </c>
      <c r="H614" s="1" t="s">
        <v>229</v>
      </c>
      <c r="I614" s="1" t="str">
        <f>("1204150069")</f>
        <v>1204150069</v>
      </c>
    </row>
    <row r="615" spans="1:10" x14ac:dyDescent="0.45">
      <c r="A615" s="2" t="str">
        <f t="shared" si="9"/>
        <v>東稙田サッカースポーツ少年団_11</v>
      </c>
      <c r="B615" s="1" t="s">
        <v>3966</v>
      </c>
      <c r="C615" s="1" t="str">
        <f>("11")</f>
        <v>11</v>
      </c>
      <c r="D615" s="1" t="s">
        <v>209</v>
      </c>
      <c r="E615" s="1" t="s">
        <v>5325</v>
      </c>
      <c r="F615" s="1" t="s">
        <v>5326</v>
      </c>
      <c r="G615" s="1">
        <v>5</v>
      </c>
      <c r="H615" s="1" t="s">
        <v>229</v>
      </c>
      <c r="I615" s="1" t="str">
        <f>("1208110027")</f>
        <v>1208110027</v>
      </c>
    </row>
    <row r="616" spans="1:10" x14ac:dyDescent="0.45">
      <c r="A616" s="2" t="str">
        <f t="shared" si="9"/>
        <v>東稙田サッカースポーツ少年団_12</v>
      </c>
      <c r="B616" s="1" t="s">
        <v>3966</v>
      </c>
      <c r="C616" s="1" t="str">
        <f>("12")</f>
        <v>12</v>
      </c>
      <c r="D616" s="1" t="s">
        <v>209</v>
      </c>
      <c r="E616" s="1" t="s">
        <v>6314</v>
      </c>
      <c r="F616" s="1" t="s">
        <v>6315</v>
      </c>
      <c r="G616" s="1">
        <v>5</v>
      </c>
      <c r="H616" s="1" t="s">
        <v>229</v>
      </c>
      <c r="I616" s="1" t="str">
        <f>("1302160057")</f>
        <v>1302160057</v>
      </c>
    </row>
    <row r="617" spans="1:10" x14ac:dyDescent="0.45">
      <c r="A617" s="2" t="str">
        <f t="shared" si="9"/>
        <v>東稙田サッカースポーツ少年団_13</v>
      </c>
      <c r="B617" s="1" t="s">
        <v>3966</v>
      </c>
      <c r="C617" s="1" t="str">
        <f>("13")</f>
        <v>13</v>
      </c>
      <c r="D617" s="1" t="s">
        <v>209</v>
      </c>
      <c r="E617" s="1" t="s">
        <v>6313</v>
      </c>
      <c r="F617" s="1" t="s">
        <v>5751</v>
      </c>
      <c r="G617" s="1">
        <v>5</v>
      </c>
      <c r="H617" s="1" t="s">
        <v>229</v>
      </c>
      <c r="I617" s="1" t="str">
        <f>("1208010106")</f>
        <v>1208010106</v>
      </c>
    </row>
    <row r="618" spans="1:10" x14ac:dyDescent="0.45">
      <c r="A618" s="2" t="str">
        <f t="shared" si="9"/>
        <v>東稙田サッカースポーツ少年団_14</v>
      </c>
      <c r="B618" s="1" t="s">
        <v>3966</v>
      </c>
      <c r="C618" s="1" t="str">
        <f>("14")</f>
        <v>14</v>
      </c>
      <c r="D618" s="1" t="s">
        <v>210</v>
      </c>
      <c r="E618" s="1" t="s">
        <v>9066</v>
      </c>
      <c r="F618" s="1" t="s">
        <v>9067</v>
      </c>
      <c r="G618" s="1">
        <v>2</v>
      </c>
      <c r="H618" s="1" t="s">
        <v>229</v>
      </c>
      <c r="I618" s="1" t="str">
        <f>("1506040035")</f>
        <v>1506040035</v>
      </c>
    </row>
    <row r="619" spans="1:10" x14ac:dyDescent="0.45">
      <c r="A619" s="2" t="str">
        <f t="shared" si="9"/>
        <v>東稙田サッカースポーツ少年団_17</v>
      </c>
      <c r="B619" s="1" t="s">
        <v>3966</v>
      </c>
      <c r="C619" s="1" t="str">
        <f>("17")</f>
        <v>17</v>
      </c>
      <c r="D619" s="1" t="s">
        <v>207</v>
      </c>
      <c r="E619" s="1" t="s">
        <v>5323</v>
      </c>
      <c r="F619" s="1" t="s">
        <v>5324</v>
      </c>
      <c r="G619" s="1">
        <v>5</v>
      </c>
      <c r="H619" s="1" t="s">
        <v>229</v>
      </c>
      <c r="I619" s="1" t="str">
        <f>("1211020008")</f>
        <v>1211020008</v>
      </c>
    </row>
    <row r="620" spans="1:10" x14ac:dyDescent="0.45">
      <c r="A620" s="2" t="str">
        <f t="shared" si="9"/>
        <v>寒田．敷戸ＦＣ_1</v>
      </c>
      <c r="B620" s="1" t="s">
        <v>8458</v>
      </c>
      <c r="C620" s="1" t="str">
        <f>("1")</f>
        <v>1</v>
      </c>
      <c r="D620" s="1" t="s">
        <v>207</v>
      </c>
      <c r="E620" s="1" t="s">
        <v>6316</v>
      </c>
      <c r="F620" s="1" t="s">
        <v>6317</v>
      </c>
      <c r="G620" s="1">
        <v>6</v>
      </c>
      <c r="H620" s="1" t="s">
        <v>229</v>
      </c>
      <c r="I620" s="1" t="str">
        <f>("1106250080")</f>
        <v>1106250080</v>
      </c>
    </row>
    <row r="621" spans="1:10" x14ac:dyDescent="0.45">
      <c r="A621" s="2" t="str">
        <f t="shared" si="9"/>
        <v>寒田．敷戸ＦＣ_2</v>
      </c>
      <c r="B621" s="1" t="s">
        <v>8458</v>
      </c>
      <c r="C621" s="1" t="str">
        <f>("2")</f>
        <v>2</v>
      </c>
      <c r="D621" s="1" t="s">
        <v>210</v>
      </c>
      <c r="E621" s="1" t="s">
        <v>9068</v>
      </c>
      <c r="F621" s="1" t="s">
        <v>9069</v>
      </c>
      <c r="G621" s="1">
        <v>6</v>
      </c>
      <c r="H621" s="1" t="s">
        <v>229</v>
      </c>
      <c r="I621" s="1" t="str">
        <f>("1112100186")</f>
        <v>1112100186</v>
      </c>
    </row>
    <row r="622" spans="1:10" x14ac:dyDescent="0.45">
      <c r="A622" s="2" t="str">
        <f t="shared" si="9"/>
        <v>寒田．敷戸ＦＣ_3</v>
      </c>
      <c r="B622" s="1" t="s">
        <v>8458</v>
      </c>
      <c r="C622" s="1" t="str">
        <f>("3")</f>
        <v>3</v>
      </c>
      <c r="D622" s="1" t="s">
        <v>208</v>
      </c>
      <c r="E622" s="1" t="s">
        <v>6330</v>
      </c>
      <c r="F622" s="1" t="s">
        <v>6331</v>
      </c>
      <c r="G622" s="1">
        <v>6</v>
      </c>
      <c r="H622" s="1" t="s">
        <v>229</v>
      </c>
      <c r="I622" s="1" t="str">
        <f>("1104020172")</f>
        <v>1104020172</v>
      </c>
    </row>
    <row r="623" spans="1:10" x14ac:dyDescent="0.45">
      <c r="A623" s="2" t="str">
        <f t="shared" si="9"/>
        <v>寒田．敷戸ＦＣ_4</v>
      </c>
      <c r="B623" s="1" t="s">
        <v>8458</v>
      </c>
      <c r="C623" s="1" t="str">
        <f>("4")</f>
        <v>4</v>
      </c>
      <c r="D623" s="1" t="s">
        <v>208</v>
      </c>
      <c r="E623" s="1" t="s">
        <v>6318</v>
      </c>
      <c r="F623" s="1" t="s">
        <v>6319</v>
      </c>
      <c r="G623" s="1">
        <v>6</v>
      </c>
      <c r="H623" s="1" t="s">
        <v>229</v>
      </c>
      <c r="I623" s="1" t="str">
        <f>("1202140109")</f>
        <v>1202140109</v>
      </c>
      <c r="J623" s="1" t="s">
        <v>1858</v>
      </c>
    </row>
    <row r="624" spans="1:10" x14ac:dyDescent="0.45">
      <c r="A624" s="2" t="str">
        <f t="shared" si="9"/>
        <v>寒田．敷戸ＦＣ_5</v>
      </c>
      <c r="B624" s="1" t="s">
        <v>8458</v>
      </c>
      <c r="C624" s="1" t="str">
        <f>("5")</f>
        <v>5</v>
      </c>
      <c r="D624" s="1" t="s">
        <v>208</v>
      </c>
      <c r="E624" s="1" t="s">
        <v>6320</v>
      </c>
      <c r="F624" s="1" t="s">
        <v>6321</v>
      </c>
      <c r="G624" s="1">
        <v>6</v>
      </c>
      <c r="H624" s="1" t="s">
        <v>229</v>
      </c>
      <c r="I624" s="1" t="str">
        <f>("1104230129")</f>
        <v>1104230129</v>
      </c>
    </row>
    <row r="625" spans="1:9" x14ac:dyDescent="0.45">
      <c r="A625" s="2" t="str">
        <f t="shared" si="9"/>
        <v>寒田．敷戸ＦＣ_6</v>
      </c>
      <c r="B625" s="1" t="s">
        <v>8458</v>
      </c>
      <c r="C625" s="1" t="str">
        <f>("6")</f>
        <v>6</v>
      </c>
      <c r="D625" s="1" t="s">
        <v>208</v>
      </c>
      <c r="E625" s="1" t="s">
        <v>6322</v>
      </c>
      <c r="F625" s="1" t="s">
        <v>6323</v>
      </c>
      <c r="G625" s="1">
        <v>6</v>
      </c>
      <c r="H625" s="1" t="s">
        <v>229</v>
      </c>
      <c r="I625" s="1" t="str">
        <f>("1111080188")</f>
        <v>1111080188</v>
      </c>
    </row>
    <row r="626" spans="1:9" x14ac:dyDescent="0.45">
      <c r="A626" s="2" t="str">
        <f t="shared" si="9"/>
        <v>寒田．敷戸ＦＣ_7</v>
      </c>
      <c r="B626" s="1" t="s">
        <v>8458</v>
      </c>
      <c r="C626" s="1" t="str">
        <f>("7")</f>
        <v>7</v>
      </c>
      <c r="D626" s="1" t="s">
        <v>209</v>
      </c>
      <c r="E626" s="1" t="s">
        <v>9070</v>
      </c>
      <c r="F626" s="1" t="s">
        <v>9071</v>
      </c>
      <c r="G626" s="1">
        <v>6</v>
      </c>
      <c r="H626" s="1" t="s">
        <v>229</v>
      </c>
      <c r="I626" s="1" t="str">
        <f>("1409180050")</f>
        <v>1409180050</v>
      </c>
    </row>
    <row r="627" spans="1:9" x14ac:dyDescent="0.45">
      <c r="A627" s="2" t="str">
        <f t="shared" si="9"/>
        <v>寒田．敷戸ＦＣ_8</v>
      </c>
      <c r="B627" s="1" t="s">
        <v>8458</v>
      </c>
      <c r="C627" s="1" t="str">
        <f>("8")</f>
        <v>8</v>
      </c>
      <c r="D627" s="1" t="s">
        <v>209</v>
      </c>
      <c r="E627" s="1" t="s">
        <v>6324</v>
      </c>
      <c r="F627" s="1" t="s">
        <v>6325</v>
      </c>
      <c r="G627" s="1">
        <v>6</v>
      </c>
      <c r="H627" s="1" t="s">
        <v>231</v>
      </c>
      <c r="I627" s="1" t="str">
        <f>("1202270098")</f>
        <v>1202270098</v>
      </c>
    </row>
    <row r="628" spans="1:9" x14ac:dyDescent="0.45">
      <c r="A628" s="2" t="str">
        <f t="shared" si="9"/>
        <v>寒田．敷戸ＦＣ_9</v>
      </c>
      <c r="B628" s="1" t="s">
        <v>8458</v>
      </c>
      <c r="C628" s="1" t="str">
        <f>("9")</f>
        <v>9</v>
      </c>
      <c r="D628" s="1" t="s">
        <v>209</v>
      </c>
      <c r="E628" s="1" t="s">
        <v>6326</v>
      </c>
      <c r="F628" s="1" t="s">
        <v>6327</v>
      </c>
      <c r="G628" s="1">
        <v>6</v>
      </c>
      <c r="H628" s="1" t="s">
        <v>231</v>
      </c>
      <c r="I628" s="1" t="str">
        <f>("1107010138")</f>
        <v>1107010138</v>
      </c>
    </row>
    <row r="629" spans="1:9" x14ac:dyDescent="0.45">
      <c r="A629" s="2" t="str">
        <f t="shared" si="9"/>
        <v>寒田．敷戸ＦＣ_10</v>
      </c>
      <c r="B629" s="1" t="s">
        <v>8458</v>
      </c>
      <c r="C629" s="1" t="str">
        <f>("10")</f>
        <v>10</v>
      </c>
      <c r="D629" s="1" t="s">
        <v>208</v>
      </c>
      <c r="E629" s="1" t="s">
        <v>6328</v>
      </c>
      <c r="F629" s="1" t="s">
        <v>6329</v>
      </c>
      <c r="G629" s="1">
        <v>6</v>
      </c>
      <c r="H629" s="1" t="s">
        <v>229</v>
      </c>
      <c r="I629" s="1" t="str">
        <f>("1104160004")</f>
        <v>1104160004</v>
      </c>
    </row>
    <row r="630" spans="1:9" x14ac:dyDescent="0.45">
      <c r="A630" s="2" t="str">
        <f t="shared" si="9"/>
        <v>寒田．敷戸ＦＣ_11</v>
      </c>
      <c r="B630" s="1" t="s">
        <v>8458</v>
      </c>
      <c r="C630" s="1" t="str">
        <f>("11")</f>
        <v>11</v>
      </c>
      <c r="D630" s="1" t="s">
        <v>209</v>
      </c>
      <c r="E630" s="1" t="s">
        <v>5337</v>
      </c>
      <c r="F630" s="1" t="s">
        <v>5338</v>
      </c>
      <c r="G630" s="1">
        <v>6</v>
      </c>
      <c r="H630" s="1" t="s">
        <v>231</v>
      </c>
      <c r="I630" s="1" t="str">
        <f>("1108280110")</f>
        <v>1108280110</v>
      </c>
    </row>
    <row r="631" spans="1:9" x14ac:dyDescent="0.45">
      <c r="A631" s="2" t="str">
        <f t="shared" si="9"/>
        <v>寒田．敷戸ＦＣ_12</v>
      </c>
      <c r="B631" s="1" t="s">
        <v>8458</v>
      </c>
      <c r="C631" s="1" t="str">
        <f>("12")</f>
        <v>12</v>
      </c>
      <c r="D631" s="1" t="s">
        <v>209</v>
      </c>
      <c r="E631" s="1" t="s">
        <v>6336</v>
      </c>
      <c r="F631" s="1" t="s">
        <v>6337</v>
      </c>
      <c r="G631" s="1">
        <v>5</v>
      </c>
      <c r="H631" s="1" t="s">
        <v>229</v>
      </c>
      <c r="I631" s="1" t="str">
        <f>("1211050167")</f>
        <v>1211050167</v>
      </c>
    </row>
    <row r="632" spans="1:9" x14ac:dyDescent="0.45">
      <c r="A632" s="2" t="str">
        <f t="shared" si="9"/>
        <v>寒田．敷戸ＦＣ_14</v>
      </c>
      <c r="B632" s="1" t="s">
        <v>8458</v>
      </c>
      <c r="C632" s="1" t="str">
        <f>("14")</f>
        <v>14</v>
      </c>
      <c r="D632" s="1" t="s">
        <v>210</v>
      </c>
      <c r="E632" s="1" t="s">
        <v>9072</v>
      </c>
      <c r="F632" s="1" t="s">
        <v>9073</v>
      </c>
      <c r="G632" s="1">
        <v>4</v>
      </c>
      <c r="H632" s="1" t="s">
        <v>229</v>
      </c>
      <c r="I632" s="1" t="str">
        <f>("1401290002")</f>
        <v>1401290002</v>
      </c>
    </row>
    <row r="633" spans="1:9" x14ac:dyDescent="0.45">
      <c r="A633" s="2" t="str">
        <f t="shared" si="9"/>
        <v>寒田．敷戸ＦＣ_15</v>
      </c>
      <c r="B633" s="1" t="s">
        <v>8458</v>
      </c>
      <c r="C633" s="1" t="str">
        <f>("15")</f>
        <v>15</v>
      </c>
      <c r="D633" s="1" t="s">
        <v>207</v>
      </c>
      <c r="E633" s="1" t="s">
        <v>6338</v>
      </c>
      <c r="F633" s="1" t="s">
        <v>6339</v>
      </c>
      <c r="G633" s="1">
        <v>5</v>
      </c>
      <c r="H633" s="1" t="s">
        <v>229</v>
      </c>
      <c r="I633" s="1" t="str">
        <f>("1205110040")</f>
        <v>1205110040</v>
      </c>
    </row>
    <row r="634" spans="1:9" x14ac:dyDescent="0.45">
      <c r="A634" s="2" t="str">
        <f t="shared" si="9"/>
        <v>寒田．敷戸ＦＣ_21</v>
      </c>
      <c r="B634" s="1" t="s">
        <v>8458</v>
      </c>
      <c r="C634" s="1" t="str">
        <f>("21")</f>
        <v>21</v>
      </c>
      <c r="D634" s="1" t="s">
        <v>207</v>
      </c>
      <c r="E634" s="1" t="s">
        <v>6332</v>
      </c>
      <c r="F634" s="1" t="s">
        <v>6333</v>
      </c>
      <c r="G634" s="1">
        <v>5</v>
      </c>
      <c r="H634" s="1" t="s">
        <v>229</v>
      </c>
      <c r="I634" s="1" t="str">
        <f>("1208310008")</f>
        <v>1208310008</v>
      </c>
    </row>
    <row r="635" spans="1:9" x14ac:dyDescent="0.45">
      <c r="A635" s="2" t="str">
        <f t="shared" si="9"/>
        <v>滝尾下郡サッカースポーツ少年団_1</v>
      </c>
      <c r="B635" s="1" t="s">
        <v>3960</v>
      </c>
      <c r="C635" s="1" t="str">
        <f>("1")</f>
        <v>1</v>
      </c>
      <c r="D635" s="1" t="s">
        <v>207</v>
      </c>
      <c r="E635" s="1" t="s">
        <v>6346</v>
      </c>
      <c r="F635" s="1" t="s">
        <v>6347</v>
      </c>
      <c r="G635" s="1">
        <v>5</v>
      </c>
      <c r="H635" s="1" t="s">
        <v>229</v>
      </c>
      <c r="I635" s="1" t="str">
        <f>("1301140010")</f>
        <v>1301140010</v>
      </c>
    </row>
    <row r="636" spans="1:9" x14ac:dyDescent="0.45">
      <c r="A636" s="2" t="str">
        <f t="shared" si="9"/>
        <v>滝尾下郡サッカースポーツ少年団_2</v>
      </c>
      <c r="B636" s="1" t="s">
        <v>3960</v>
      </c>
      <c r="C636" s="1" t="str">
        <f>("2")</f>
        <v>2</v>
      </c>
      <c r="D636" s="1" t="s">
        <v>208</v>
      </c>
      <c r="E636" s="1" t="s">
        <v>5339</v>
      </c>
      <c r="F636" s="1" t="s">
        <v>5340</v>
      </c>
      <c r="G636" s="1">
        <v>6</v>
      </c>
      <c r="H636" s="1" t="s">
        <v>229</v>
      </c>
      <c r="I636" s="1" t="str">
        <f>("1106150123")</f>
        <v>1106150123</v>
      </c>
    </row>
    <row r="637" spans="1:9" x14ac:dyDescent="0.45">
      <c r="A637" s="2" t="str">
        <f t="shared" si="9"/>
        <v>滝尾下郡サッカースポーツ少年団_3</v>
      </c>
      <c r="B637" s="1" t="s">
        <v>3960</v>
      </c>
      <c r="C637" s="1" t="str">
        <f>("3")</f>
        <v>3</v>
      </c>
      <c r="D637" s="1" t="s">
        <v>208</v>
      </c>
      <c r="E637" s="1" t="s">
        <v>5344</v>
      </c>
      <c r="F637" s="1" t="s">
        <v>5345</v>
      </c>
      <c r="G637" s="1">
        <v>6</v>
      </c>
      <c r="H637" s="1" t="s">
        <v>229</v>
      </c>
      <c r="I637" s="1" t="str">
        <f>("1202010112")</f>
        <v>1202010112</v>
      </c>
    </row>
    <row r="638" spans="1:9" x14ac:dyDescent="0.45">
      <c r="A638" s="2" t="str">
        <f t="shared" si="9"/>
        <v>滝尾下郡サッカースポーツ少年団_4</v>
      </c>
      <c r="B638" s="1" t="s">
        <v>3960</v>
      </c>
      <c r="C638" s="1" t="str">
        <f>("4")</f>
        <v>4</v>
      </c>
      <c r="D638" s="1" t="s">
        <v>210</v>
      </c>
      <c r="E638" s="1" t="s">
        <v>6342</v>
      </c>
      <c r="F638" s="1" t="s">
        <v>6343</v>
      </c>
      <c r="G638" s="1">
        <v>6</v>
      </c>
      <c r="H638" s="1" t="s">
        <v>229</v>
      </c>
      <c r="I638" s="1" t="str">
        <f>("1203050049")</f>
        <v>1203050049</v>
      </c>
    </row>
    <row r="639" spans="1:9" x14ac:dyDescent="0.45">
      <c r="A639" s="2" t="str">
        <f t="shared" si="9"/>
        <v>滝尾下郡サッカースポーツ少年団_5</v>
      </c>
      <c r="B639" s="1" t="s">
        <v>3960</v>
      </c>
      <c r="C639" s="1" t="str">
        <f>("5")</f>
        <v>5</v>
      </c>
      <c r="D639" s="1" t="s">
        <v>208</v>
      </c>
      <c r="E639" s="1" t="s">
        <v>6340</v>
      </c>
      <c r="F639" s="1" t="s">
        <v>6341</v>
      </c>
      <c r="G639" s="1">
        <v>6</v>
      </c>
      <c r="H639" s="1" t="s">
        <v>229</v>
      </c>
      <c r="I639" s="1" t="str">
        <f>("1108080142")</f>
        <v>1108080142</v>
      </c>
    </row>
    <row r="640" spans="1:9" x14ac:dyDescent="0.45">
      <c r="A640" s="2" t="str">
        <f t="shared" si="9"/>
        <v>滝尾下郡サッカースポーツ少年団_6</v>
      </c>
      <c r="B640" s="1" t="s">
        <v>3960</v>
      </c>
      <c r="C640" s="1" t="str">
        <f>("6")</f>
        <v>6</v>
      </c>
      <c r="D640" s="1" t="s">
        <v>209</v>
      </c>
      <c r="E640" s="1" t="s">
        <v>5346</v>
      </c>
      <c r="F640" s="1" t="s">
        <v>5347</v>
      </c>
      <c r="G640" s="1">
        <v>5</v>
      </c>
      <c r="H640" s="1" t="s">
        <v>229</v>
      </c>
      <c r="I640" s="1" t="str">
        <f>("1210290018")</f>
        <v>1210290018</v>
      </c>
    </row>
    <row r="641" spans="1:10" x14ac:dyDescent="0.45">
      <c r="A641" s="2" t="str">
        <f t="shared" ref="A641:A704" si="10">CONCATENATE(B641,"_",C641)</f>
        <v>滝尾下郡サッカースポーツ少年団_7</v>
      </c>
      <c r="B641" s="1" t="s">
        <v>3960</v>
      </c>
      <c r="C641" s="1" t="str">
        <f>("7")</f>
        <v>7</v>
      </c>
      <c r="D641" s="1" t="s">
        <v>208</v>
      </c>
      <c r="E641" s="1" t="s">
        <v>6344</v>
      </c>
      <c r="F641" s="1" t="s">
        <v>6345</v>
      </c>
      <c r="G641" s="1">
        <v>5</v>
      </c>
      <c r="H641" s="1" t="s">
        <v>231</v>
      </c>
      <c r="I641" s="1" t="str">
        <f>("1206290046")</f>
        <v>1206290046</v>
      </c>
    </row>
    <row r="642" spans="1:10" x14ac:dyDescent="0.45">
      <c r="A642" s="2" t="str">
        <f t="shared" si="10"/>
        <v>滝尾下郡サッカースポーツ少年団_8</v>
      </c>
      <c r="B642" s="1" t="s">
        <v>3960</v>
      </c>
      <c r="C642" s="1" t="str">
        <f>("8")</f>
        <v>8</v>
      </c>
      <c r="D642" s="1" t="s">
        <v>209</v>
      </c>
      <c r="E642" s="1" t="s">
        <v>6350</v>
      </c>
      <c r="F642" s="1" t="s">
        <v>6351</v>
      </c>
      <c r="G642" s="1">
        <v>5</v>
      </c>
      <c r="H642" s="1" t="s">
        <v>231</v>
      </c>
      <c r="I642" s="1" t="str">
        <f>("1206010023")</f>
        <v>1206010023</v>
      </c>
    </row>
    <row r="643" spans="1:10" x14ac:dyDescent="0.45">
      <c r="A643" s="2" t="str">
        <f t="shared" si="10"/>
        <v>滝尾下郡サッカースポーツ少年団_9</v>
      </c>
      <c r="B643" s="1" t="s">
        <v>3960</v>
      </c>
      <c r="C643" s="1" t="str">
        <f>("9")</f>
        <v>9</v>
      </c>
      <c r="D643" s="1" t="s">
        <v>209</v>
      </c>
      <c r="E643" s="1" t="s">
        <v>6352</v>
      </c>
      <c r="F643" s="1" t="s">
        <v>6353</v>
      </c>
      <c r="G643" s="1">
        <v>5</v>
      </c>
      <c r="H643" s="1" t="s">
        <v>231</v>
      </c>
      <c r="I643" s="1" t="str">
        <f>("1207120024")</f>
        <v>1207120024</v>
      </c>
    </row>
    <row r="644" spans="1:10" x14ac:dyDescent="0.45">
      <c r="A644" s="2" t="str">
        <f t="shared" si="10"/>
        <v>滝尾下郡サッカースポーツ少年団_10</v>
      </c>
      <c r="B644" s="1" t="s">
        <v>3960</v>
      </c>
      <c r="C644" s="1" t="str">
        <f>("10")</f>
        <v>10</v>
      </c>
      <c r="D644" s="1" t="s">
        <v>209</v>
      </c>
      <c r="E644" s="1" t="s">
        <v>5342</v>
      </c>
      <c r="F644" s="1" t="s">
        <v>5343</v>
      </c>
      <c r="G644" s="1">
        <v>6</v>
      </c>
      <c r="H644" s="1" t="s">
        <v>229</v>
      </c>
      <c r="I644" s="1" t="str">
        <f>("1203130009")</f>
        <v>1203130009</v>
      </c>
      <c r="J644" s="1" t="s">
        <v>1858</v>
      </c>
    </row>
    <row r="645" spans="1:10" x14ac:dyDescent="0.45">
      <c r="A645" s="2" t="str">
        <f t="shared" si="10"/>
        <v>滝尾下郡サッカースポーツ少年団_11</v>
      </c>
      <c r="B645" s="1" t="s">
        <v>3960</v>
      </c>
      <c r="C645" s="1" t="str">
        <f>("11")</f>
        <v>11</v>
      </c>
      <c r="D645" s="1" t="s">
        <v>210</v>
      </c>
      <c r="E645" s="1" t="s">
        <v>6348</v>
      </c>
      <c r="F645" s="1" t="s">
        <v>6349</v>
      </c>
      <c r="G645" s="1">
        <v>5</v>
      </c>
      <c r="H645" s="1" t="s">
        <v>229</v>
      </c>
      <c r="I645" s="1" t="str">
        <f>("1301080029")</f>
        <v>1301080029</v>
      </c>
    </row>
    <row r="646" spans="1:10" x14ac:dyDescent="0.45">
      <c r="A646" s="2" t="str">
        <f t="shared" si="10"/>
        <v>滝尾下郡サッカースポーツ少年団_12</v>
      </c>
      <c r="B646" s="1" t="s">
        <v>3960</v>
      </c>
      <c r="C646" s="1" t="str">
        <f>("12")</f>
        <v>12</v>
      </c>
      <c r="D646" s="1" t="s">
        <v>208</v>
      </c>
      <c r="E646" s="1" t="s">
        <v>9074</v>
      </c>
      <c r="F646" s="1" t="s">
        <v>9075</v>
      </c>
      <c r="G646" s="1">
        <v>4</v>
      </c>
      <c r="H646" s="1" t="s">
        <v>229</v>
      </c>
      <c r="I646" s="1" t="str">
        <f>("1205270108")</f>
        <v>1205270108</v>
      </c>
    </row>
    <row r="647" spans="1:10" x14ac:dyDescent="0.45">
      <c r="A647" s="2" t="str">
        <f t="shared" si="10"/>
        <v>滝尾下郡サッカースポーツ少年団_13</v>
      </c>
      <c r="B647" s="1" t="s">
        <v>3960</v>
      </c>
      <c r="C647" s="1" t="str">
        <f>("13")</f>
        <v>13</v>
      </c>
      <c r="D647" s="1" t="s">
        <v>210</v>
      </c>
      <c r="E647" s="1" t="s">
        <v>9076</v>
      </c>
      <c r="F647" s="1" t="s">
        <v>9077</v>
      </c>
      <c r="G647" s="1">
        <v>4</v>
      </c>
      <c r="H647" s="1" t="s">
        <v>229</v>
      </c>
      <c r="I647" s="1" t="str">
        <f>("1305160015")</f>
        <v>1305160015</v>
      </c>
    </row>
    <row r="648" spans="1:10" x14ac:dyDescent="0.45">
      <c r="A648" s="2" t="str">
        <f t="shared" si="10"/>
        <v>豊府サッカースポーツ少年団_1</v>
      </c>
      <c r="B648" s="1" t="s">
        <v>3968</v>
      </c>
      <c r="C648" s="1" t="str">
        <f>("1")</f>
        <v>1</v>
      </c>
      <c r="D648" s="1" t="s">
        <v>207</v>
      </c>
      <c r="E648" s="1" t="s">
        <v>6358</v>
      </c>
      <c r="F648" s="1" t="s">
        <v>6359</v>
      </c>
      <c r="G648" s="1">
        <v>6</v>
      </c>
      <c r="H648" s="1" t="s">
        <v>229</v>
      </c>
      <c r="I648" s="1" t="str">
        <f>("1110150081")</f>
        <v>1110150081</v>
      </c>
    </row>
    <row r="649" spans="1:10" x14ac:dyDescent="0.45">
      <c r="A649" s="2" t="str">
        <f t="shared" si="10"/>
        <v>豊府サッカースポーツ少年団_2</v>
      </c>
      <c r="B649" s="1" t="s">
        <v>3968</v>
      </c>
      <c r="C649" s="1" t="str">
        <f>("2")</f>
        <v>2</v>
      </c>
      <c r="D649" s="1" t="s">
        <v>210</v>
      </c>
      <c r="E649" s="1" t="s">
        <v>9078</v>
      </c>
      <c r="F649" s="1" t="s">
        <v>9079</v>
      </c>
      <c r="G649" s="1">
        <v>6</v>
      </c>
      <c r="H649" s="1" t="s">
        <v>229</v>
      </c>
      <c r="I649" s="1" t="str">
        <f>("1110200206")</f>
        <v>1110200206</v>
      </c>
    </row>
    <row r="650" spans="1:10" x14ac:dyDescent="0.45">
      <c r="A650" s="2" t="str">
        <f t="shared" si="10"/>
        <v>豊府サッカースポーツ少年団_3</v>
      </c>
      <c r="B650" s="1" t="s">
        <v>3968</v>
      </c>
      <c r="C650" s="1" t="str">
        <f>("3")</f>
        <v>3</v>
      </c>
      <c r="D650" s="1" t="s">
        <v>208</v>
      </c>
      <c r="E650" s="1" t="s">
        <v>9080</v>
      </c>
      <c r="F650" s="1" t="s">
        <v>9081</v>
      </c>
      <c r="G650" s="1">
        <v>5</v>
      </c>
      <c r="H650" s="1" t="s">
        <v>229</v>
      </c>
      <c r="I650" s="1" t="str">
        <f>("1206130126")</f>
        <v>1206130126</v>
      </c>
    </row>
    <row r="651" spans="1:10" x14ac:dyDescent="0.45">
      <c r="A651" s="2" t="str">
        <f t="shared" si="10"/>
        <v>豊府サッカースポーツ少年団_4</v>
      </c>
      <c r="B651" s="1" t="s">
        <v>3968</v>
      </c>
      <c r="C651" s="1" t="str">
        <f>("4")</f>
        <v>4</v>
      </c>
      <c r="D651" s="1" t="s">
        <v>208</v>
      </c>
      <c r="E651" s="1" t="s">
        <v>6354</v>
      </c>
      <c r="F651" s="1" t="s">
        <v>6355</v>
      </c>
      <c r="G651" s="1">
        <v>6</v>
      </c>
      <c r="H651" s="1" t="s">
        <v>229</v>
      </c>
      <c r="I651" s="1" t="str">
        <f>("1203030072")</f>
        <v>1203030072</v>
      </c>
    </row>
    <row r="652" spans="1:10" x14ac:dyDescent="0.45">
      <c r="A652" s="2" t="str">
        <f t="shared" si="10"/>
        <v>豊府サッカースポーツ少年団_5</v>
      </c>
      <c r="B652" s="1" t="s">
        <v>3968</v>
      </c>
      <c r="C652" s="1" t="str">
        <f>("5")</f>
        <v>5</v>
      </c>
      <c r="D652" s="1" t="s">
        <v>209</v>
      </c>
      <c r="E652" s="1" t="s">
        <v>9082</v>
      </c>
      <c r="F652" s="1" t="s">
        <v>9083</v>
      </c>
      <c r="G652" s="1">
        <v>5</v>
      </c>
      <c r="H652" s="1" t="s">
        <v>229</v>
      </c>
      <c r="I652" s="1" t="str">
        <f>("1210230210")</f>
        <v>1210230210</v>
      </c>
    </row>
    <row r="653" spans="1:10" x14ac:dyDescent="0.45">
      <c r="A653" s="2" t="str">
        <f t="shared" si="10"/>
        <v>豊府サッカースポーツ少年団_6</v>
      </c>
      <c r="B653" s="1" t="s">
        <v>3968</v>
      </c>
      <c r="C653" s="1" t="str">
        <f>("6")</f>
        <v>6</v>
      </c>
      <c r="D653" s="1" t="s">
        <v>208</v>
      </c>
      <c r="E653" s="1" t="s">
        <v>9084</v>
      </c>
      <c r="F653" s="1" t="s">
        <v>9085</v>
      </c>
      <c r="G653" s="1">
        <v>5</v>
      </c>
      <c r="H653" s="1" t="s">
        <v>229</v>
      </c>
      <c r="I653" s="1" t="str">
        <f>("1210170124")</f>
        <v>1210170124</v>
      </c>
    </row>
    <row r="654" spans="1:10" x14ac:dyDescent="0.45">
      <c r="A654" s="2" t="str">
        <f t="shared" si="10"/>
        <v>豊府サッカースポーツ少年団_7</v>
      </c>
      <c r="B654" s="1" t="s">
        <v>3968</v>
      </c>
      <c r="C654" s="1" t="str">
        <f>("7")</f>
        <v>7</v>
      </c>
      <c r="D654" s="1" t="s">
        <v>209</v>
      </c>
      <c r="E654" s="1" t="s">
        <v>6356</v>
      </c>
      <c r="F654" s="1" t="s">
        <v>6357</v>
      </c>
      <c r="G654" s="1">
        <v>6</v>
      </c>
      <c r="H654" s="1" t="s">
        <v>229</v>
      </c>
      <c r="I654" s="1" t="str">
        <f>("1107220154")</f>
        <v>1107220154</v>
      </c>
      <c r="J654" s="1" t="s">
        <v>1858</v>
      </c>
    </row>
    <row r="655" spans="1:10" x14ac:dyDescent="0.45">
      <c r="A655" s="2" t="str">
        <f t="shared" si="10"/>
        <v>豊府サッカースポーツ少年団_8</v>
      </c>
      <c r="B655" s="1" t="s">
        <v>3968</v>
      </c>
      <c r="C655" s="1" t="str">
        <f>("8")</f>
        <v>8</v>
      </c>
      <c r="D655" s="1" t="s">
        <v>210</v>
      </c>
      <c r="E655" s="1" t="s">
        <v>6360</v>
      </c>
      <c r="F655" s="1" t="s">
        <v>5660</v>
      </c>
      <c r="G655" s="1">
        <v>6</v>
      </c>
      <c r="H655" s="1" t="s">
        <v>229</v>
      </c>
      <c r="I655" s="1" t="str">
        <f>("1110200102")</f>
        <v>1110200102</v>
      </c>
    </row>
    <row r="656" spans="1:10" x14ac:dyDescent="0.45">
      <c r="A656" s="2" t="str">
        <f t="shared" si="10"/>
        <v>豊府サッカースポーツ少年団_9</v>
      </c>
      <c r="B656" s="1" t="s">
        <v>3968</v>
      </c>
      <c r="C656" s="1" t="str">
        <f>("9")</f>
        <v>9</v>
      </c>
      <c r="D656" s="1" t="s">
        <v>209</v>
      </c>
      <c r="E656" s="1" t="s">
        <v>9086</v>
      </c>
      <c r="F656" s="1" t="s">
        <v>9087</v>
      </c>
      <c r="G656" s="1">
        <v>5</v>
      </c>
      <c r="H656" s="1" t="s">
        <v>229</v>
      </c>
      <c r="I656" s="1" t="str">
        <f>("1207300161")</f>
        <v>1207300161</v>
      </c>
    </row>
    <row r="657" spans="1:10" x14ac:dyDescent="0.45">
      <c r="A657" s="2" t="str">
        <f t="shared" si="10"/>
        <v>豊府サッカースポーツ少年団_10</v>
      </c>
      <c r="B657" s="1" t="s">
        <v>3968</v>
      </c>
      <c r="C657" s="1" t="str">
        <f>("10")</f>
        <v>10</v>
      </c>
      <c r="D657" s="1" t="s">
        <v>209</v>
      </c>
      <c r="E657" s="1" t="s">
        <v>9088</v>
      </c>
      <c r="F657" s="1" t="s">
        <v>9089</v>
      </c>
      <c r="G657" s="1">
        <v>6</v>
      </c>
      <c r="H657" s="1" t="s">
        <v>229</v>
      </c>
      <c r="I657" s="1" t="str">
        <f>("1202220173")</f>
        <v>1202220173</v>
      </c>
    </row>
    <row r="658" spans="1:10" x14ac:dyDescent="0.45">
      <c r="A658" s="2" t="str">
        <f t="shared" si="10"/>
        <v>豊府サッカースポーツ少年団_11</v>
      </c>
      <c r="B658" s="1" t="s">
        <v>3968</v>
      </c>
      <c r="C658" s="1" t="str">
        <f>("11")</f>
        <v>11</v>
      </c>
      <c r="D658" s="1" t="s">
        <v>209</v>
      </c>
      <c r="E658" s="1" t="s">
        <v>9090</v>
      </c>
      <c r="F658" s="1" t="s">
        <v>9091</v>
      </c>
      <c r="G658" s="1">
        <v>5</v>
      </c>
      <c r="H658" s="1" t="s">
        <v>229</v>
      </c>
      <c r="I658" s="1" t="str">
        <f>("1207250134")</f>
        <v>1207250134</v>
      </c>
    </row>
    <row r="659" spans="1:10" x14ac:dyDescent="0.45">
      <c r="A659" s="2" t="str">
        <f t="shared" si="10"/>
        <v>豊府サッカースポーツ少年団_12</v>
      </c>
      <c r="B659" s="1" t="s">
        <v>3968</v>
      </c>
      <c r="C659" s="1" t="str">
        <f>("12")</f>
        <v>12</v>
      </c>
      <c r="D659" s="1" t="s">
        <v>207</v>
      </c>
      <c r="E659" s="1" t="s">
        <v>9092</v>
      </c>
      <c r="F659" s="1" t="s">
        <v>9093</v>
      </c>
      <c r="G659" s="1">
        <v>5</v>
      </c>
      <c r="H659" s="1" t="s">
        <v>229</v>
      </c>
      <c r="I659" s="1" t="str">
        <f>("1206070107")</f>
        <v>1206070107</v>
      </c>
    </row>
    <row r="660" spans="1:10" x14ac:dyDescent="0.45">
      <c r="A660" s="2" t="str">
        <f t="shared" si="10"/>
        <v>宗方サッカークラブ_1</v>
      </c>
      <c r="B660" s="1" t="s">
        <v>3972</v>
      </c>
      <c r="C660" s="1" t="str">
        <f>("1")</f>
        <v>1</v>
      </c>
      <c r="D660" s="1" t="s">
        <v>207</v>
      </c>
      <c r="E660" s="1" t="s">
        <v>6373</v>
      </c>
      <c r="F660" s="1" t="s">
        <v>6374</v>
      </c>
      <c r="G660" s="1">
        <v>6</v>
      </c>
      <c r="H660" s="1" t="s">
        <v>229</v>
      </c>
      <c r="I660" s="1" t="str">
        <f>("1108080206")</f>
        <v>1108080206</v>
      </c>
      <c r="J660" s="1" t="s">
        <v>1858</v>
      </c>
    </row>
    <row r="661" spans="1:10" x14ac:dyDescent="0.45">
      <c r="A661" s="2" t="str">
        <f t="shared" si="10"/>
        <v>宗方サッカークラブ_2</v>
      </c>
      <c r="B661" s="1" t="s">
        <v>3972</v>
      </c>
      <c r="C661" s="1" t="str">
        <f>("2")</f>
        <v>2</v>
      </c>
      <c r="D661" s="1" t="s">
        <v>208</v>
      </c>
      <c r="E661" s="1" t="s">
        <v>9094</v>
      </c>
      <c r="F661" s="1" t="s">
        <v>5533</v>
      </c>
      <c r="G661" s="1">
        <v>6</v>
      </c>
      <c r="H661" s="1" t="s">
        <v>229</v>
      </c>
      <c r="I661" s="1" t="str">
        <f>("1112260230")</f>
        <v>1112260230</v>
      </c>
    </row>
    <row r="662" spans="1:10" x14ac:dyDescent="0.45">
      <c r="A662" s="2" t="str">
        <f t="shared" si="10"/>
        <v>宗方サッカークラブ_4</v>
      </c>
      <c r="B662" s="1" t="s">
        <v>3972</v>
      </c>
      <c r="C662" s="1" t="str">
        <f>("4")</f>
        <v>4</v>
      </c>
      <c r="D662" s="1" t="s">
        <v>208</v>
      </c>
      <c r="E662" s="1" t="s">
        <v>9095</v>
      </c>
      <c r="F662" s="1" t="s">
        <v>9096</v>
      </c>
      <c r="G662" s="1">
        <v>5</v>
      </c>
      <c r="H662" s="1" t="s">
        <v>231</v>
      </c>
      <c r="I662" s="1" t="str">
        <f>("1303090088")</f>
        <v>1303090088</v>
      </c>
    </row>
    <row r="663" spans="1:10" x14ac:dyDescent="0.45">
      <c r="A663" s="2" t="str">
        <f t="shared" si="10"/>
        <v>宗方サッカークラブ_5</v>
      </c>
      <c r="B663" s="1" t="s">
        <v>3972</v>
      </c>
      <c r="C663" s="1" t="str">
        <f>("5")</f>
        <v>5</v>
      </c>
      <c r="D663" s="1" t="s">
        <v>208</v>
      </c>
      <c r="E663" s="1" t="s">
        <v>6361</v>
      </c>
      <c r="F663" s="1" t="s">
        <v>6362</v>
      </c>
      <c r="G663" s="1">
        <v>6</v>
      </c>
      <c r="H663" s="1" t="s">
        <v>229</v>
      </c>
      <c r="I663" s="1" t="str">
        <f>("1111190102")</f>
        <v>1111190102</v>
      </c>
    </row>
    <row r="664" spans="1:10" x14ac:dyDescent="0.45">
      <c r="A664" s="2" t="str">
        <f t="shared" si="10"/>
        <v>宗方サッカークラブ_6</v>
      </c>
      <c r="B664" s="1" t="s">
        <v>3972</v>
      </c>
      <c r="C664" s="1" t="str">
        <f>("6")</f>
        <v>6</v>
      </c>
      <c r="D664" s="1" t="s">
        <v>208</v>
      </c>
      <c r="E664" s="1" t="s">
        <v>6365</v>
      </c>
      <c r="F664" s="1" t="s">
        <v>6366</v>
      </c>
      <c r="G664" s="1">
        <v>6</v>
      </c>
      <c r="H664" s="1" t="s">
        <v>229</v>
      </c>
      <c r="I664" s="1" t="str">
        <f>("1107100129")</f>
        <v>1107100129</v>
      </c>
    </row>
    <row r="665" spans="1:10" x14ac:dyDescent="0.45">
      <c r="A665" s="2" t="str">
        <f t="shared" si="10"/>
        <v>宗方サッカークラブ_7</v>
      </c>
      <c r="B665" s="1" t="s">
        <v>3972</v>
      </c>
      <c r="C665" s="1" t="str">
        <f>("7")</f>
        <v>7</v>
      </c>
      <c r="D665" s="1" t="s">
        <v>209</v>
      </c>
      <c r="E665" s="1" t="s">
        <v>6371</v>
      </c>
      <c r="F665" s="1" t="s">
        <v>6372</v>
      </c>
      <c r="G665" s="1">
        <v>5</v>
      </c>
      <c r="H665" s="1" t="s">
        <v>229</v>
      </c>
      <c r="I665" s="1" t="str">
        <f>("1206100070")</f>
        <v>1206100070</v>
      </c>
    </row>
    <row r="666" spans="1:10" x14ac:dyDescent="0.45">
      <c r="A666" s="2" t="str">
        <f t="shared" si="10"/>
        <v>宗方サッカークラブ_8</v>
      </c>
      <c r="B666" s="1" t="s">
        <v>3972</v>
      </c>
      <c r="C666" s="1" t="str">
        <f>("8")</f>
        <v>8</v>
      </c>
      <c r="D666" s="1" t="s">
        <v>209</v>
      </c>
      <c r="E666" s="1" t="s">
        <v>6369</v>
      </c>
      <c r="F666" s="1" t="s">
        <v>6370</v>
      </c>
      <c r="G666" s="1">
        <v>5</v>
      </c>
      <c r="H666" s="1" t="s">
        <v>229</v>
      </c>
      <c r="I666" s="1" t="str">
        <f>("1212030083")</f>
        <v>1212030083</v>
      </c>
    </row>
    <row r="667" spans="1:10" x14ac:dyDescent="0.45">
      <c r="A667" s="2" t="str">
        <f t="shared" si="10"/>
        <v>宗方サッカークラブ_9</v>
      </c>
      <c r="B667" s="1" t="s">
        <v>3972</v>
      </c>
      <c r="C667" s="1" t="str">
        <f>("9")</f>
        <v>9</v>
      </c>
      <c r="D667" s="1" t="s">
        <v>209</v>
      </c>
      <c r="E667" s="1" t="s">
        <v>6367</v>
      </c>
      <c r="F667" s="1" t="s">
        <v>6368</v>
      </c>
      <c r="G667" s="1">
        <v>5</v>
      </c>
      <c r="H667" s="1" t="s">
        <v>229</v>
      </c>
      <c r="I667" s="1" t="str">
        <f>("1209220047")</f>
        <v>1209220047</v>
      </c>
    </row>
    <row r="668" spans="1:10" x14ac:dyDescent="0.45">
      <c r="A668" s="2" t="str">
        <f t="shared" si="10"/>
        <v>宗方サッカークラブ_10</v>
      </c>
      <c r="B668" s="1" t="s">
        <v>3972</v>
      </c>
      <c r="C668" s="1" t="str">
        <f>("10")</f>
        <v>10</v>
      </c>
      <c r="D668" s="1" t="s">
        <v>210</v>
      </c>
      <c r="E668" s="1" t="s">
        <v>6363</v>
      </c>
      <c r="F668" s="1" t="s">
        <v>6364</v>
      </c>
      <c r="G668" s="1">
        <v>6</v>
      </c>
      <c r="H668" s="1" t="s">
        <v>229</v>
      </c>
      <c r="I668" s="1" t="str">
        <f>("1110180139")</f>
        <v>1110180139</v>
      </c>
    </row>
    <row r="669" spans="1:10" x14ac:dyDescent="0.45">
      <c r="A669" s="2" t="str">
        <f t="shared" si="10"/>
        <v>宗方サッカークラブ_11</v>
      </c>
      <c r="B669" s="1" t="s">
        <v>3972</v>
      </c>
      <c r="C669" s="1" t="str">
        <f>("11")</f>
        <v>11</v>
      </c>
      <c r="D669" s="1" t="s">
        <v>209</v>
      </c>
      <c r="E669" s="1" t="s">
        <v>9097</v>
      </c>
      <c r="F669" s="1" t="s">
        <v>9098</v>
      </c>
      <c r="G669" s="1">
        <v>4</v>
      </c>
      <c r="H669" s="1" t="s">
        <v>229</v>
      </c>
      <c r="I669" s="1" t="str">
        <f>("1304170032")</f>
        <v>1304170032</v>
      </c>
    </row>
    <row r="670" spans="1:10" x14ac:dyDescent="0.45">
      <c r="A670" s="2" t="str">
        <f t="shared" si="10"/>
        <v>宗方サッカークラブ_12</v>
      </c>
      <c r="B670" s="1" t="s">
        <v>3972</v>
      </c>
      <c r="C670" s="1" t="str">
        <f>("12")</f>
        <v>12</v>
      </c>
      <c r="D670" s="1" t="s">
        <v>209</v>
      </c>
      <c r="E670" s="1" t="s">
        <v>9099</v>
      </c>
      <c r="F670" s="1" t="s">
        <v>9100</v>
      </c>
      <c r="G670" s="1">
        <v>4</v>
      </c>
      <c r="H670" s="1" t="s">
        <v>229</v>
      </c>
      <c r="I670" s="1" t="str">
        <f>("1308200026")</f>
        <v>1308200026</v>
      </c>
    </row>
    <row r="671" spans="1:10" x14ac:dyDescent="0.45">
      <c r="A671" s="2" t="str">
        <f t="shared" si="10"/>
        <v>宗方サッカークラブ_13</v>
      </c>
      <c r="B671" s="1" t="s">
        <v>3972</v>
      </c>
      <c r="C671" s="1" t="str">
        <f>("13")</f>
        <v>13</v>
      </c>
      <c r="D671" s="1" t="s">
        <v>208</v>
      </c>
      <c r="E671" s="1" t="s">
        <v>9101</v>
      </c>
      <c r="F671" s="1" t="s">
        <v>9102</v>
      </c>
      <c r="G671" s="1">
        <v>4</v>
      </c>
      <c r="H671" s="1" t="s">
        <v>229</v>
      </c>
      <c r="I671" s="1" t="str">
        <f>("1306100015")</f>
        <v>1306100015</v>
      </c>
    </row>
    <row r="672" spans="1:10" x14ac:dyDescent="0.45">
      <c r="A672" s="2" t="str">
        <f t="shared" si="10"/>
        <v>宗方サッカークラブ_14</v>
      </c>
      <c r="B672" s="1" t="s">
        <v>3972</v>
      </c>
      <c r="C672" s="1" t="str">
        <f>("14")</f>
        <v>14</v>
      </c>
      <c r="D672" s="1" t="s">
        <v>209</v>
      </c>
      <c r="E672" s="1" t="s">
        <v>9103</v>
      </c>
      <c r="F672" s="1" t="s">
        <v>9104</v>
      </c>
      <c r="G672" s="1">
        <v>3</v>
      </c>
      <c r="H672" s="1" t="s">
        <v>229</v>
      </c>
      <c r="I672" s="1" t="str">
        <f>("1501300017")</f>
        <v>1501300017</v>
      </c>
    </row>
    <row r="673" spans="1:10" x14ac:dyDescent="0.45">
      <c r="A673" s="2" t="str">
        <f t="shared" si="10"/>
        <v>宗方サッカークラブ_21</v>
      </c>
      <c r="B673" s="1" t="s">
        <v>3972</v>
      </c>
      <c r="C673" s="1" t="str">
        <f>("21")</f>
        <v>21</v>
      </c>
      <c r="D673" s="1" t="s">
        <v>207</v>
      </c>
      <c r="E673" s="1" t="s">
        <v>9105</v>
      </c>
      <c r="F673" s="1" t="s">
        <v>9106</v>
      </c>
      <c r="G673" s="1">
        <v>6</v>
      </c>
      <c r="H673" s="1" t="s">
        <v>229</v>
      </c>
      <c r="I673" s="1" t="str">
        <f>("1105280171")</f>
        <v>1105280171</v>
      </c>
    </row>
    <row r="674" spans="1:10" x14ac:dyDescent="0.45">
      <c r="A674" s="2" t="str">
        <f t="shared" si="10"/>
        <v>明治サッカースポーツ少年団_1</v>
      </c>
      <c r="B674" s="1" t="s">
        <v>3974</v>
      </c>
      <c r="C674" s="1" t="str">
        <f>("1")</f>
        <v>1</v>
      </c>
      <c r="D674" s="1" t="s">
        <v>207</v>
      </c>
      <c r="E674" s="1" t="s">
        <v>5368</v>
      </c>
      <c r="F674" s="1" t="s">
        <v>5369</v>
      </c>
      <c r="G674" s="1">
        <v>6</v>
      </c>
      <c r="H674" s="1" t="s">
        <v>229</v>
      </c>
      <c r="I674" s="1" t="str">
        <f>("1107130041")</f>
        <v>1107130041</v>
      </c>
    </row>
    <row r="675" spans="1:10" x14ac:dyDescent="0.45">
      <c r="A675" s="2" t="str">
        <f t="shared" si="10"/>
        <v>明治サッカースポーツ少年団_2</v>
      </c>
      <c r="B675" s="1" t="s">
        <v>3974</v>
      </c>
      <c r="C675" s="1" t="str">
        <f>("2")</f>
        <v>2</v>
      </c>
      <c r="D675" s="1" t="s">
        <v>208</v>
      </c>
      <c r="E675" s="1" t="s">
        <v>5372</v>
      </c>
      <c r="F675" s="1" t="s">
        <v>5373</v>
      </c>
      <c r="G675" s="1">
        <v>5</v>
      </c>
      <c r="H675" s="1" t="s">
        <v>229</v>
      </c>
      <c r="I675" s="1" t="str">
        <f>("1204120070")</f>
        <v>1204120070</v>
      </c>
    </row>
    <row r="676" spans="1:10" x14ac:dyDescent="0.45">
      <c r="A676" s="2" t="str">
        <f t="shared" si="10"/>
        <v>明治サッカースポーツ少年団_3</v>
      </c>
      <c r="B676" s="1" t="s">
        <v>3974</v>
      </c>
      <c r="C676" s="1" t="str">
        <f>("3")</f>
        <v>3</v>
      </c>
      <c r="D676" s="1" t="s">
        <v>208</v>
      </c>
      <c r="E676" s="1" t="s">
        <v>9107</v>
      </c>
      <c r="F676" s="1" t="s">
        <v>9108</v>
      </c>
      <c r="G676" s="1">
        <v>5</v>
      </c>
      <c r="H676" s="1" t="s">
        <v>229</v>
      </c>
      <c r="I676" s="1" t="str">
        <f>("1205100074")</f>
        <v>1205100074</v>
      </c>
    </row>
    <row r="677" spans="1:10" x14ac:dyDescent="0.45">
      <c r="A677" s="2" t="str">
        <f t="shared" si="10"/>
        <v>明治サッカースポーツ少年団_4</v>
      </c>
      <c r="B677" s="1" t="s">
        <v>3974</v>
      </c>
      <c r="C677" s="1" t="str">
        <f>("4")</f>
        <v>4</v>
      </c>
      <c r="D677" s="1" t="s">
        <v>208</v>
      </c>
      <c r="E677" s="1" t="s">
        <v>5370</v>
      </c>
      <c r="F677" s="1" t="s">
        <v>5371</v>
      </c>
      <c r="G677" s="1">
        <v>6</v>
      </c>
      <c r="H677" s="1" t="s">
        <v>229</v>
      </c>
      <c r="I677" s="1" t="str">
        <f>("1104130072")</f>
        <v>1104130072</v>
      </c>
    </row>
    <row r="678" spans="1:10" x14ac:dyDescent="0.45">
      <c r="A678" s="2" t="str">
        <f t="shared" si="10"/>
        <v>明治サッカースポーツ少年団_5</v>
      </c>
      <c r="B678" s="1" t="s">
        <v>3974</v>
      </c>
      <c r="C678" s="1" t="str">
        <f>("5")</f>
        <v>5</v>
      </c>
      <c r="D678" s="1" t="s">
        <v>208</v>
      </c>
      <c r="E678" s="1" t="s">
        <v>9109</v>
      </c>
      <c r="F678" s="1" t="s">
        <v>9110</v>
      </c>
      <c r="G678" s="1">
        <v>5</v>
      </c>
      <c r="H678" s="1" t="s">
        <v>229</v>
      </c>
      <c r="I678" s="1" t="str">
        <f>("1205030052")</f>
        <v>1205030052</v>
      </c>
    </row>
    <row r="679" spans="1:10" x14ac:dyDescent="0.45">
      <c r="A679" s="2" t="str">
        <f t="shared" si="10"/>
        <v>明治サッカースポーツ少年団_6</v>
      </c>
      <c r="B679" s="1" t="s">
        <v>3974</v>
      </c>
      <c r="C679" s="1" t="str">
        <f>("6")</f>
        <v>6</v>
      </c>
      <c r="D679" s="1" t="s">
        <v>209</v>
      </c>
      <c r="E679" s="1" t="s">
        <v>5374</v>
      </c>
      <c r="F679" s="1" t="s">
        <v>5375</v>
      </c>
      <c r="G679" s="1">
        <v>6</v>
      </c>
      <c r="H679" s="1" t="s">
        <v>229</v>
      </c>
      <c r="I679" s="1" t="str">
        <f>("1111300048")</f>
        <v>1111300048</v>
      </c>
    </row>
    <row r="680" spans="1:10" x14ac:dyDescent="0.45">
      <c r="A680" s="2" t="str">
        <f t="shared" si="10"/>
        <v>明治サッカースポーツ少年団_8</v>
      </c>
      <c r="B680" s="1" t="s">
        <v>3974</v>
      </c>
      <c r="C680" s="1" t="str">
        <f>("8")</f>
        <v>8</v>
      </c>
      <c r="D680" s="1" t="s">
        <v>209</v>
      </c>
      <c r="E680" s="1" t="s">
        <v>5376</v>
      </c>
      <c r="F680" s="1" t="s">
        <v>5377</v>
      </c>
      <c r="G680" s="1">
        <v>6</v>
      </c>
      <c r="H680" s="1" t="s">
        <v>229</v>
      </c>
      <c r="I680" s="1" t="str">
        <f>("1104050050")</f>
        <v>1104050050</v>
      </c>
    </row>
    <row r="681" spans="1:10" x14ac:dyDescent="0.45">
      <c r="A681" s="2" t="str">
        <f t="shared" si="10"/>
        <v>明治サッカースポーツ少年団_9</v>
      </c>
      <c r="B681" s="1" t="s">
        <v>3974</v>
      </c>
      <c r="C681" s="1" t="str">
        <f>("9")</f>
        <v>9</v>
      </c>
      <c r="D681" s="1" t="s">
        <v>210</v>
      </c>
      <c r="E681" s="1" t="s">
        <v>5366</v>
      </c>
      <c r="F681" s="1" t="s">
        <v>5367</v>
      </c>
      <c r="G681" s="1">
        <v>6</v>
      </c>
      <c r="H681" s="1" t="s">
        <v>229</v>
      </c>
      <c r="I681" s="1" t="str">
        <f>("1112310040")</f>
        <v>1112310040</v>
      </c>
    </row>
    <row r="682" spans="1:10" x14ac:dyDescent="0.45">
      <c r="A682" s="2" t="str">
        <f t="shared" si="10"/>
        <v>明治サッカースポーツ少年団_10</v>
      </c>
      <c r="B682" s="1" t="s">
        <v>3974</v>
      </c>
      <c r="C682" s="1" t="str">
        <f>("10")</f>
        <v>10</v>
      </c>
      <c r="D682" s="1" t="s">
        <v>209</v>
      </c>
      <c r="E682" s="1" t="s">
        <v>5362</v>
      </c>
      <c r="F682" s="1" t="s">
        <v>5363</v>
      </c>
      <c r="G682" s="1">
        <v>6</v>
      </c>
      <c r="H682" s="1" t="s">
        <v>229</v>
      </c>
      <c r="I682" s="1" t="str">
        <f>("1105180038")</f>
        <v>1105180038</v>
      </c>
      <c r="J682" s="1" t="s">
        <v>1858</v>
      </c>
    </row>
    <row r="683" spans="1:10" x14ac:dyDescent="0.45">
      <c r="A683" s="2" t="str">
        <f t="shared" si="10"/>
        <v>明治サッカースポーツ少年団_11</v>
      </c>
      <c r="B683" s="1" t="s">
        <v>3974</v>
      </c>
      <c r="C683" s="1" t="str">
        <f>("11")</f>
        <v>11</v>
      </c>
      <c r="D683" s="1" t="s">
        <v>210</v>
      </c>
      <c r="E683" s="1" t="s">
        <v>5364</v>
      </c>
      <c r="F683" s="1" t="s">
        <v>5365</v>
      </c>
      <c r="G683" s="1">
        <v>6</v>
      </c>
      <c r="H683" s="1" t="s">
        <v>229</v>
      </c>
      <c r="I683" s="1" t="str">
        <f>("1107240072")</f>
        <v>1107240072</v>
      </c>
    </row>
    <row r="684" spans="1:10" x14ac:dyDescent="0.45">
      <c r="A684" s="2" t="str">
        <f t="shared" si="10"/>
        <v>明治サッカースポーツ少年団_12</v>
      </c>
      <c r="B684" s="1" t="s">
        <v>3974</v>
      </c>
      <c r="C684" s="1" t="str">
        <f>("12")</f>
        <v>12</v>
      </c>
      <c r="D684" s="1" t="s">
        <v>210</v>
      </c>
      <c r="E684" s="1" t="s">
        <v>6375</v>
      </c>
      <c r="F684" s="1" t="s">
        <v>6376</v>
      </c>
      <c r="G684" s="1">
        <v>5</v>
      </c>
      <c r="H684" s="1" t="s">
        <v>229</v>
      </c>
      <c r="I684" s="1" t="str">
        <f>("1205220066")</f>
        <v>1205220066</v>
      </c>
    </row>
    <row r="685" spans="1:10" x14ac:dyDescent="0.45">
      <c r="A685" s="2" t="str">
        <f t="shared" si="10"/>
        <v>明治サッカースポーツ少年団_13</v>
      </c>
      <c r="B685" s="1" t="s">
        <v>3974</v>
      </c>
      <c r="C685" s="1" t="str">
        <f>("13")</f>
        <v>13</v>
      </c>
      <c r="D685" s="1" t="s">
        <v>210</v>
      </c>
      <c r="E685" s="1" t="s">
        <v>9111</v>
      </c>
      <c r="F685" s="1" t="s">
        <v>9112</v>
      </c>
      <c r="G685" s="1">
        <v>5</v>
      </c>
      <c r="H685" s="1" t="s">
        <v>229</v>
      </c>
      <c r="I685" s="1" t="str">
        <f>("1209070067")</f>
        <v>1209070067</v>
      </c>
    </row>
    <row r="686" spans="1:10" x14ac:dyDescent="0.45">
      <c r="A686" s="2" t="str">
        <f t="shared" si="10"/>
        <v>明治サッカースポーツ少年団_15</v>
      </c>
      <c r="B686" s="1" t="s">
        <v>3974</v>
      </c>
      <c r="C686" s="1" t="str">
        <f>("15")</f>
        <v>15</v>
      </c>
      <c r="D686" s="1" t="s">
        <v>210</v>
      </c>
      <c r="E686" s="1" t="s">
        <v>9113</v>
      </c>
      <c r="F686" s="1" t="s">
        <v>9114</v>
      </c>
      <c r="G686" s="1">
        <v>5</v>
      </c>
      <c r="H686" s="1" t="s">
        <v>229</v>
      </c>
      <c r="I686" s="1" t="str">
        <f>("1205120177")</f>
        <v>1205120177</v>
      </c>
    </row>
    <row r="687" spans="1:10" x14ac:dyDescent="0.45">
      <c r="A687" s="2" t="str">
        <f t="shared" si="10"/>
        <v>明治サッカースポーツ少年団_16</v>
      </c>
      <c r="B687" s="1" t="s">
        <v>3974</v>
      </c>
      <c r="C687" s="1" t="str">
        <f>("16")</f>
        <v>16</v>
      </c>
      <c r="D687" s="1" t="s">
        <v>209</v>
      </c>
      <c r="E687" s="1" t="s">
        <v>9115</v>
      </c>
      <c r="F687" s="1" t="s">
        <v>9116</v>
      </c>
      <c r="G687" s="1">
        <v>5</v>
      </c>
      <c r="H687" s="1" t="s">
        <v>229</v>
      </c>
      <c r="I687" s="1" t="str">
        <f>("1301210070")</f>
        <v>1301210070</v>
      </c>
    </row>
    <row r="688" spans="1:10" x14ac:dyDescent="0.45">
      <c r="A688" s="2" t="str">
        <f t="shared" si="10"/>
        <v>明治サッカースポーツ少年団_17</v>
      </c>
      <c r="B688" s="1" t="s">
        <v>3974</v>
      </c>
      <c r="C688" s="1" t="str">
        <f>("17")</f>
        <v>17</v>
      </c>
      <c r="D688" s="1" t="s">
        <v>210</v>
      </c>
      <c r="E688" s="1" t="s">
        <v>9117</v>
      </c>
      <c r="F688" s="1" t="s">
        <v>9118</v>
      </c>
      <c r="G688" s="1">
        <v>3</v>
      </c>
      <c r="H688" s="1" t="s">
        <v>229</v>
      </c>
      <c r="I688" s="1" t="str">
        <f>("1407240068")</f>
        <v>1407240068</v>
      </c>
    </row>
    <row r="689" spans="1:10" x14ac:dyDescent="0.45">
      <c r="A689" s="2" t="str">
        <f t="shared" si="10"/>
        <v>明治サッカースポーツ少年団_18</v>
      </c>
      <c r="B689" s="1" t="s">
        <v>3974</v>
      </c>
      <c r="C689" s="1" t="str">
        <f>("18")</f>
        <v>18</v>
      </c>
      <c r="D689" s="1" t="s">
        <v>208</v>
      </c>
      <c r="E689" s="1" t="s">
        <v>9119</v>
      </c>
      <c r="F689" s="1" t="s">
        <v>9120</v>
      </c>
      <c r="G689" s="1">
        <v>5</v>
      </c>
      <c r="H689" s="1" t="s">
        <v>229</v>
      </c>
      <c r="I689" s="1" t="str">
        <f>("1206220070")</f>
        <v>1206220070</v>
      </c>
    </row>
    <row r="690" spans="1:10" x14ac:dyDescent="0.45">
      <c r="A690" s="2" t="str">
        <f t="shared" si="10"/>
        <v>三佐サッカースポーツ少年団_1</v>
      </c>
      <c r="B690" s="1" t="s">
        <v>3970</v>
      </c>
      <c r="C690" s="1" t="str">
        <f>("1")</f>
        <v>1</v>
      </c>
      <c r="D690" s="1" t="s">
        <v>207</v>
      </c>
      <c r="E690" s="1" t="s">
        <v>6379</v>
      </c>
      <c r="F690" s="1" t="s">
        <v>6380</v>
      </c>
      <c r="G690" s="1">
        <v>5</v>
      </c>
      <c r="H690" s="1" t="s">
        <v>229</v>
      </c>
      <c r="I690" s="1" t="str">
        <f>("1302180033")</f>
        <v>1302180033</v>
      </c>
    </row>
    <row r="691" spans="1:10" x14ac:dyDescent="0.45">
      <c r="A691" s="2" t="str">
        <f t="shared" si="10"/>
        <v>三佐サッカースポーツ少年団_2</v>
      </c>
      <c r="B691" s="1" t="s">
        <v>3970</v>
      </c>
      <c r="C691" s="1" t="str">
        <f>("2")</f>
        <v>2</v>
      </c>
      <c r="D691" s="1" t="s">
        <v>209</v>
      </c>
      <c r="E691" s="1" t="s">
        <v>9121</v>
      </c>
      <c r="F691" s="1" t="s">
        <v>9122</v>
      </c>
      <c r="G691" s="1">
        <v>4</v>
      </c>
      <c r="H691" s="1" t="s">
        <v>229</v>
      </c>
      <c r="I691" s="1" t="str">
        <f>("1309130010")</f>
        <v>1309130010</v>
      </c>
    </row>
    <row r="692" spans="1:10" x14ac:dyDescent="0.45">
      <c r="A692" s="2" t="str">
        <f t="shared" si="10"/>
        <v>三佐サッカースポーツ少年団_3</v>
      </c>
      <c r="B692" s="1" t="s">
        <v>3970</v>
      </c>
      <c r="C692" s="1" t="str">
        <f>("3")</f>
        <v>3</v>
      </c>
      <c r="D692" s="1" t="s">
        <v>208</v>
      </c>
      <c r="E692" s="1" t="s">
        <v>5388</v>
      </c>
      <c r="F692" s="1" t="s">
        <v>5389</v>
      </c>
      <c r="G692" s="1">
        <v>5</v>
      </c>
      <c r="H692" s="1" t="s">
        <v>229</v>
      </c>
      <c r="I692" s="1" t="str">
        <f>("1304010006")</f>
        <v>1304010006</v>
      </c>
    </row>
    <row r="693" spans="1:10" x14ac:dyDescent="0.45">
      <c r="A693" s="2" t="str">
        <f t="shared" si="10"/>
        <v>三佐サッカースポーツ少年団_4</v>
      </c>
      <c r="B693" s="1" t="s">
        <v>3970</v>
      </c>
      <c r="C693" s="1" t="str">
        <f>("4")</f>
        <v>4</v>
      </c>
      <c r="D693" s="1" t="s">
        <v>210</v>
      </c>
      <c r="E693" s="1" t="s">
        <v>5394</v>
      </c>
      <c r="F693" s="1" t="s">
        <v>5395</v>
      </c>
      <c r="G693" s="1">
        <v>5</v>
      </c>
      <c r="H693" s="1" t="s">
        <v>229</v>
      </c>
      <c r="I693" s="1" t="str">
        <f>("1210120012")</f>
        <v>1210120012</v>
      </c>
    </row>
    <row r="694" spans="1:10" x14ac:dyDescent="0.45">
      <c r="A694" s="2" t="str">
        <f t="shared" si="10"/>
        <v>三佐サッカースポーツ少年団_5</v>
      </c>
      <c r="B694" s="1" t="s">
        <v>3970</v>
      </c>
      <c r="C694" s="1" t="str">
        <f>("5")</f>
        <v>5</v>
      </c>
      <c r="D694" s="1" t="s">
        <v>209</v>
      </c>
      <c r="E694" s="1" t="s">
        <v>6377</v>
      </c>
      <c r="F694" s="1" t="s">
        <v>5384</v>
      </c>
      <c r="G694" s="1">
        <v>6</v>
      </c>
      <c r="H694" s="1" t="s">
        <v>229</v>
      </c>
      <c r="I694" s="1" t="str">
        <f>("1111020104")</f>
        <v>1111020104</v>
      </c>
    </row>
    <row r="695" spans="1:10" x14ac:dyDescent="0.45">
      <c r="A695" s="2" t="str">
        <f t="shared" si="10"/>
        <v>三佐サッカースポーツ少年団_6</v>
      </c>
      <c r="B695" s="1" t="s">
        <v>3970</v>
      </c>
      <c r="C695" s="1" t="str">
        <f>("6")</f>
        <v>6</v>
      </c>
      <c r="D695" s="1" t="s">
        <v>209</v>
      </c>
      <c r="E695" s="1" t="s">
        <v>5387</v>
      </c>
      <c r="F695" s="1" t="s">
        <v>6378</v>
      </c>
      <c r="G695" s="1">
        <v>5</v>
      </c>
      <c r="H695" s="1" t="s">
        <v>229</v>
      </c>
      <c r="I695" s="1" t="str">
        <f>("1209070013")</f>
        <v>1209070013</v>
      </c>
    </row>
    <row r="696" spans="1:10" x14ac:dyDescent="0.45">
      <c r="A696" s="2" t="str">
        <f t="shared" si="10"/>
        <v>三佐サッカースポーツ少年団_7</v>
      </c>
      <c r="B696" s="1" t="s">
        <v>3970</v>
      </c>
      <c r="C696" s="1" t="str">
        <f>("7")</f>
        <v>7</v>
      </c>
      <c r="D696" s="1" t="s">
        <v>210</v>
      </c>
      <c r="E696" s="1" t="s">
        <v>5392</v>
      </c>
      <c r="F696" s="1" t="s">
        <v>5393</v>
      </c>
      <c r="G696" s="1">
        <v>6</v>
      </c>
      <c r="H696" s="1" t="s">
        <v>229</v>
      </c>
      <c r="I696" s="1" t="str">
        <f>("1107060045")</f>
        <v>1107060045</v>
      </c>
      <c r="J696" s="1" t="s">
        <v>1858</v>
      </c>
    </row>
    <row r="697" spans="1:10" x14ac:dyDescent="0.45">
      <c r="A697" s="2" t="str">
        <f t="shared" si="10"/>
        <v>三佐サッカースポーツ少年団_8</v>
      </c>
      <c r="B697" s="1" t="s">
        <v>3970</v>
      </c>
      <c r="C697" s="1" t="str">
        <f>("8")</f>
        <v>8</v>
      </c>
      <c r="D697" s="1" t="s">
        <v>209</v>
      </c>
      <c r="E697" s="1" t="s">
        <v>5385</v>
      </c>
      <c r="F697" s="1" t="s">
        <v>5386</v>
      </c>
      <c r="G697" s="1">
        <v>6</v>
      </c>
      <c r="H697" s="1" t="s">
        <v>229</v>
      </c>
      <c r="I697" s="1" t="str">
        <f>("1202090027")</f>
        <v>1202090027</v>
      </c>
    </row>
    <row r="698" spans="1:10" x14ac:dyDescent="0.45">
      <c r="A698" s="2" t="str">
        <f t="shared" si="10"/>
        <v>三佐サッカースポーツ少年団_9</v>
      </c>
      <c r="B698" s="1" t="s">
        <v>3970</v>
      </c>
      <c r="C698" s="1" t="str">
        <f>("9")</f>
        <v>9</v>
      </c>
      <c r="D698" s="1" t="s">
        <v>210</v>
      </c>
      <c r="E698" s="1" t="s">
        <v>5380</v>
      </c>
      <c r="F698" s="1" t="s">
        <v>5381</v>
      </c>
      <c r="G698" s="1">
        <v>6</v>
      </c>
      <c r="H698" s="1" t="s">
        <v>229</v>
      </c>
      <c r="I698" s="1" t="str">
        <f>("1112020021")</f>
        <v>1112020021</v>
      </c>
    </row>
    <row r="699" spans="1:10" x14ac:dyDescent="0.45">
      <c r="A699" s="2" t="str">
        <f t="shared" si="10"/>
        <v>三佐サッカースポーツ少年団_10</v>
      </c>
      <c r="B699" s="1" t="s">
        <v>3970</v>
      </c>
      <c r="C699" s="1" t="str">
        <f>("10")</f>
        <v>10</v>
      </c>
      <c r="D699" s="1" t="s">
        <v>208</v>
      </c>
      <c r="E699" s="1" t="s">
        <v>5382</v>
      </c>
      <c r="F699" s="1" t="s">
        <v>5383</v>
      </c>
      <c r="G699" s="1">
        <v>6</v>
      </c>
      <c r="H699" s="1" t="s">
        <v>229</v>
      </c>
      <c r="I699" s="1" t="str">
        <f>("1110030093")</f>
        <v>1110030093</v>
      </c>
    </row>
    <row r="700" spans="1:10" x14ac:dyDescent="0.45">
      <c r="A700" s="2" t="str">
        <f t="shared" si="10"/>
        <v>三佐サッカースポーツ少年団_11</v>
      </c>
      <c r="B700" s="1" t="s">
        <v>3970</v>
      </c>
      <c r="C700" s="1" t="str">
        <f>("11")</f>
        <v>11</v>
      </c>
      <c r="D700" s="1" t="s">
        <v>208</v>
      </c>
      <c r="E700" s="1" t="s">
        <v>5378</v>
      </c>
      <c r="F700" s="1" t="s">
        <v>5379</v>
      </c>
      <c r="G700" s="1">
        <v>6</v>
      </c>
      <c r="H700" s="1" t="s">
        <v>229</v>
      </c>
      <c r="I700" s="1" t="str">
        <f>("1203310055")</f>
        <v>1203310055</v>
      </c>
    </row>
    <row r="701" spans="1:10" x14ac:dyDescent="0.45">
      <c r="A701" s="2" t="str">
        <f t="shared" si="10"/>
        <v>三佐サッカースポーツ少年団_12</v>
      </c>
      <c r="B701" s="1" t="s">
        <v>3970</v>
      </c>
      <c r="C701" s="1" t="str">
        <f>("12")</f>
        <v>12</v>
      </c>
      <c r="D701" s="1" t="s">
        <v>208</v>
      </c>
      <c r="E701" s="1" t="s">
        <v>5390</v>
      </c>
      <c r="F701" s="1" t="s">
        <v>5391</v>
      </c>
      <c r="G701" s="1">
        <v>5</v>
      </c>
      <c r="H701" s="1" t="s">
        <v>229</v>
      </c>
      <c r="I701" s="1" t="str">
        <f>("1208050006")</f>
        <v>1208050006</v>
      </c>
    </row>
    <row r="702" spans="1:10" x14ac:dyDescent="0.45">
      <c r="A702" s="2" t="str">
        <f t="shared" si="10"/>
        <v>三佐サッカースポーツ少年団_13</v>
      </c>
      <c r="B702" s="1" t="s">
        <v>3970</v>
      </c>
      <c r="C702" s="1" t="str">
        <f>("13")</f>
        <v>13</v>
      </c>
      <c r="D702" s="1" t="s">
        <v>209</v>
      </c>
      <c r="E702" s="1" t="s">
        <v>9123</v>
      </c>
      <c r="F702" s="1" t="s">
        <v>9124</v>
      </c>
      <c r="G702" s="1">
        <v>5</v>
      </c>
      <c r="H702" s="1" t="s">
        <v>229</v>
      </c>
      <c r="I702" s="1" t="str">
        <f>("1209030097")</f>
        <v>1209030097</v>
      </c>
    </row>
    <row r="703" spans="1:10" x14ac:dyDescent="0.45">
      <c r="A703" s="2" t="str">
        <f t="shared" si="10"/>
        <v>三佐サッカースポーツ少年団_14</v>
      </c>
      <c r="B703" s="1" t="s">
        <v>3970</v>
      </c>
      <c r="C703" s="1" t="str">
        <f>("14")</f>
        <v>14</v>
      </c>
      <c r="D703" s="1" t="s">
        <v>209</v>
      </c>
      <c r="E703" s="1" t="s">
        <v>9125</v>
      </c>
      <c r="F703" s="1" t="s">
        <v>9126</v>
      </c>
      <c r="G703" s="1">
        <v>5</v>
      </c>
      <c r="H703" s="1" t="s">
        <v>229</v>
      </c>
      <c r="I703" s="1" t="str">
        <f>("1208070052")</f>
        <v>1208070052</v>
      </c>
    </row>
    <row r="704" spans="1:10" x14ac:dyDescent="0.45">
      <c r="A704" s="2" t="str">
        <f t="shared" si="10"/>
        <v>明野西ＪＦＣ_1</v>
      </c>
      <c r="B704" s="1" t="s">
        <v>3246</v>
      </c>
      <c r="C704" s="1" t="str">
        <f>("1")</f>
        <v>1</v>
      </c>
      <c r="D704" s="1" t="s">
        <v>207</v>
      </c>
      <c r="E704" s="1" t="s">
        <v>6392</v>
      </c>
      <c r="F704" s="1" t="s">
        <v>6393</v>
      </c>
      <c r="G704" s="1">
        <v>5</v>
      </c>
      <c r="H704" s="1" t="s">
        <v>229</v>
      </c>
      <c r="I704" s="1" t="str">
        <f>("1204220043")</f>
        <v>1204220043</v>
      </c>
    </row>
    <row r="705" spans="1:10" x14ac:dyDescent="0.45">
      <c r="A705" s="2" t="str">
        <f t="shared" ref="A705:A768" si="11">CONCATENATE(B705,"_",C705)</f>
        <v>明野西ＪＦＣ_2</v>
      </c>
      <c r="B705" s="1" t="s">
        <v>3246</v>
      </c>
      <c r="C705" s="1" t="str">
        <f>("2")</f>
        <v>2</v>
      </c>
      <c r="D705" s="1" t="s">
        <v>209</v>
      </c>
      <c r="E705" s="1" t="s">
        <v>6396</v>
      </c>
      <c r="F705" s="1" t="s">
        <v>6397</v>
      </c>
      <c r="G705" s="1">
        <v>5</v>
      </c>
      <c r="H705" s="1" t="s">
        <v>229</v>
      </c>
      <c r="I705" s="1" t="str">
        <f>("1209010078")</f>
        <v>1209010078</v>
      </c>
    </row>
    <row r="706" spans="1:10" x14ac:dyDescent="0.45">
      <c r="A706" s="2" t="str">
        <f t="shared" si="11"/>
        <v>明野西ＪＦＣ_3</v>
      </c>
      <c r="B706" s="1" t="s">
        <v>3246</v>
      </c>
      <c r="C706" s="1" t="str">
        <f>("3")</f>
        <v>3</v>
      </c>
      <c r="D706" s="1" t="s">
        <v>208</v>
      </c>
      <c r="E706" s="1" t="s">
        <v>9127</v>
      </c>
      <c r="F706" s="1" t="s">
        <v>9128</v>
      </c>
      <c r="G706" s="1">
        <v>4</v>
      </c>
      <c r="H706" s="1" t="s">
        <v>229</v>
      </c>
      <c r="I706" s="1" t="str">
        <f>("1304020044")</f>
        <v>1304020044</v>
      </c>
    </row>
    <row r="707" spans="1:10" x14ac:dyDescent="0.45">
      <c r="A707" s="2" t="str">
        <f t="shared" si="11"/>
        <v>明野西ＪＦＣ_4</v>
      </c>
      <c r="B707" s="1" t="s">
        <v>3246</v>
      </c>
      <c r="C707" s="1" t="str">
        <f>("4")</f>
        <v>4</v>
      </c>
      <c r="D707" s="1" t="s">
        <v>208</v>
      </c>
      <c r="E707" s="1" t="s">
        <v>6381</v>
      </c>
      <c r="F707" s="1" t="s">
        <v>6382</v>
      </c>
      <c r="G707" s="1">
        <v>5</v>
      </c>
      <c r="H707" s="1" t="s">
        <v>229</v>
      </c>
      <c r="I707" s="1" t="str">
        <f>("1204260071")</f>
        <v>1204260071</v>
      </c>
    </row>
    <row r="708" spans="1:10" x14ac:dyDescent="0.45">
      <c r="A708" s="2" t="str">
        <f t="shared" si="11"/>
        <v>明野西ＪＦＣ_5</v>
      </c>
      <c r="B708" s="1" t="s">
        <v>3246</v>
      </c>
      <c r="C708" s="1" t="str">
        <f>("5")</f>
        <v>5</v>
      </c>
      <c r="D708" s="1" t="s">
        <v>208</v>
      </c>
      <c r="E708" s="1" t="s">
        <v>6383</v>
      </c>
      <c r="F708" s="1" t="s">
        <v>6384</v>
      </c>
      <c r="G708" s="1">
        <v>5</v>
      </c>
      <c r="H708" s="1" t="s">
        <v>231</v>
      </c>
      <c r="I708" s="1" t="str">
        <f>("1210310057")</f>
        <v>1210310057</v>
      </c>
    </row>
    <row r="709" spans="1:10" x14ac:dyDescent="0.45">
      <c r="A709" s="2" t="str">
        <f t="shared" si="11"/>
        <v>明野西ＪＦＣ_6</v>
      </c>
      <c r="B709" s="1" t="s">
        <v>3246</v>
      </c>
      <c r="C709" s="1" t="str">
        <f>("6")</f>
        <v>6</v>
      </c>
      <c r="D709" s="1" t="s">
        <v>209</v>
      </c>
      <c r="E709" s="1" t="s">
        <v>6394</v>
      </c>
      <c r="F709" s="1" t="s">
        <v>6395</v>
      </c>
      <c r="G709" s="1">
        <v>5</v>
      </c>
      <c r="H709" s="1" t="s">
        <v>229</v>
      </c>
      <c r="I709" s="1" t="str">
        <f>("1206040056")</f>
        <v>1206040056</v>
      </c>
    </row>
    <row r="710" spans="1:10" x14ac:dyDescent="0.45">
      <c r="A710" s="2" t="str">
        <f t="shared" si="11"/>
        <v>明野西ＪＦＣ_7</v>
      </c>
      <c r="B710" s="1" t="s">
        <v>3246</v>
      </c>
      <c r="C710" s="1" t="str">
        <f>("7")</f>
        <v>7</v>
      </c>
      <c r="D710" s="1" t="s">
        <v>209</v>
      </c>
      <c r="E710" s="1" t="s">
        <v>6385</v>
      </c>
      <c r="F710" s="1" t="s">
        <v>4709</v>
      </c>
      <c r="G710" s="1">
        <v>5</v>
      </c>
      <c r="H710" s="1" t="s">
        <v>229</v>
      </c>
      <c r="I710" s="1" t="str">
        <f>("1208200048")</f>
        <v>1208200048</v>
      </c>
    </row>
    <row r="711" spans="1:10" x14ac:dyDescent="0.45">
      <c r="A711" s="2" t="str">
        <f t="shared" si="11"/>
        <v>明野西ＪＦＣ_8</v>
      </c>
      <c r="B711" s="1" t="s">
        <v>3246</v>
      </c>
      <c r="C711" s="1" t="str">
        <f>("8")</f>
        <v>8</v>
      </c>
      <c r="D711" s="1" t="s">
        <v>210</v>
      </c>
      <c r="E711" s="1" t="s">
        <v>6390</v>
      </c>
      <c r="F711" s="1" t="s">
        <v>6391</v>
      </c>
      <c r="G711" s="1">
        <v>5</v>
      </c>
      <c r="H711" s="1" t="s">
        <v>229</v>
      </c>
      <c r="I711" s="1" t="str">
        <f>("1209280058")</f>
        <v>1209280058</v>
      </c>
    </row>
    <row r="712" spans="1:10" x14ac:dyDescent="0.45">
      <c r="A712" s="2" t="str">
        <f t="shared" si="11"/>
        <v>明野西ＪＦＣ_9</v>
      </c>
      <c r="B712" s="1" t="s">
        <v>3246</v>
      </c>
      <c r="C712" s="1" t="str">
        <f>("9")</f>
        <v>9</v>
      </c>
      <c r="D712" s="1" t="s">
        <v>210</v>
      </c>
      <c r="E712" s="1" t="s">
        <v>6386</v>
      </c>
      <c r="F712" s="1" t="s">
        <v>6387</v>
      </c>
      <c r="G712" s="1">
        <v>5</v>
      </c>
      <c r="H712" s="1" t="s">
        <v>229</v>
      </c>
      <c r="I712" s="1" t="str">
        <f>("1208270051")</f>
        <v>1208270051</v>
      </c>
    </row>
    <row r="713" spans="1:10" x14ac:dyDescent="0.45">
      <c r="A713" s="2" t="str">
        <f t="shared" si="11"/>
        <v>明野西ＪＦＣ_10</v>
      </c>
      <c r="B713" s="1" t="s">
        <v>3246</v>
      </c>
      <c r="C713" s="1" t="str">
        <f>("10")</f>
        <v>10</v>
      </c>
      <c r="D713" s="1" t="s">
        <v>208</v>
      </c>
      <c r="E713" s="1" t="s">
        <v>5397</v>
      </c>
      <c r="F713" s="1" t="s">
        <v>5398</v>
      </c>
      <c r="G713" s="1">
        <v>6</v>
      </c>
      <c r="H713" s="1" t="s">
        <v>229</v>
      </c>
      <c r="I713" s="1" t="str">
        <f>("1108120050")</f>
        <v>1108120050</v>
      </c>
      <c r="J713" s="1" t="s">
        <v>1858</v>
      </c>
    </row>
    <row r="714" spans="1:10" x14ac:dyDescent="0.45">
      <c r="A714" s="2" t="str">
        <f t="shared" si="11"/>
        <v>明野西ＪＦＣ_11</v>
      </c>
      <c r="B714" s="1" t="s">
        <v>3246</v>
      </c>
      <c r="C714" s="1" t="str">
        <f>("11")</f>
        <v>11</v>
      </c>
      <c r="D714" s="1" t="s">
        <v>209</v>
      </c>
      <c r="E714" s="1" t="s">
        <v>6388</v>
      </c>
      <c r="F714" s="1" t="s">
        <v>6389</v>
      </c>
      <c r="G714" s="1">
        <v>4</v>
      </c>
      <c r="H714" s="1" t="s">
        <v>229</v>
      </c>
      <c r="I714" s="1" t="str">
        <f>("1309230009")</f>
        <v>1309230009</v>
      </c>
    </row>
    <row r="715" spans="1:10" x14ac:dyDescent="0.45">
      <c r="A715" s="2" t="str">
        <f t="shared" si="11"/>
        <v>明野西ＪＦＣ_12</v>
      </c>
      <c r="B715" s="1" t="s">
        <v>3246</v>
      </c>
      <c r="C715" s="1" t="str">
        <f>("12")</f>
        <v>12</v>
      </c>
      <c r="D715" s="1" t="s">
        <v>207</v>
      </c>
      <c r="E715" s="1" t="s">
        <v>9129</v>
      </c>
      <c r="F715" s="1" t="s">
        <v>9130</v>
      </c>
      <c r="G715" s="1">
        <v>4</v>
      </c>
      <c r="H715" s="1" t="s">
        <v>229</v>
      </c>
      <c r="I715" s="1" t="str">
        <f>("1311200009")</f>
        <v>1311200009</v>
      </c>
    </row>
    <row r="716" spans="1:10" x14ac:dyDescent="0.45">
      <c r="A716" s="2" t="str">
        <f t="shared" si="11"/>
        <v>明野西ＪＦＣ_13</v>
      </c>
      <c r="B716" s="1" t="s">
        <v>3246</v>
      </c>
      <c r="C716" s="1" t="str">
        <f>("13")</f>
        <v>13</v>
      </c>
      <c r="D716" s="1" t="s">
        <v>209</v>
      </c>
      <c r="E716" s="1" t="s">
        <v>6398</v>
      </c>
      <c r="F716" s="1" t="s">
        <v>6399</v>
      </c>
      <c r="G716" s="1">
        <v>4</v>
      </c>
      <c r="H716" s="1" t="s">
        <v>229</v>
      </c>
      <c r="I716" s="1" t="str">
        <f>("1311250019")</f>
        <v>1311250019</v>
      </c>
    </row>
    <row r="717" spans="1:10" x14ac:dyDescent="0.45">
      <c r="A717" s="2" t="str">
        <f t="shared" si="11"/>
        <v>明野西ＪＦＣ_14</v>
      </c>
      <c r="B717" s="1" t="s">
        <v>3246</v>
      </c>
      <c r="C717" s="1" t="str">
        <f>("14")</f>
        <v>14</v>
      </c>
      <c r="D717" s="1" t="s">
        <v>209</v>
      </c>
      <c r="E717" s="1" t="s">
        <v>9131</v>
      </c>
      <c r="F717" s="1" t="s">
        <v>9132</v>
      </c>
      <c r="G717" s="1">
        <v>4</v>
      </c>
      <c r="H717" s="1" t="s">
        <v>229</v>
      </c>
      <c r="I717" s="1" t="str">
        <f>("1311210019")</f>
        <v>1311210019</v>
      </c>
    </row>
    <row r="718" spans="1:10" x14ac:dyDescent="0.45">
      <c r="A718" s="2" t="str">
        <f t="shared" si="11"/>
        <v>金池長浜サッカースポーツ少年団_1</v>
      </c>
      <c r="B718" s="1" t="s">
        <v>3956</v>
      </c>
      <c r="C718" s="1" t="str">
        <f>("1")</f>
        <v>1</v>
      </c>
      <c r="D718" s="1" t="s">
        <v>207</v>
      </c>
      <c r="E718" s="1" t="s">
        <v>6406</v>
      </c>
      <c r="F718" s="1" t="s">
        <v>6407</v>
      </c>
      <c r="G718" s="1">
        <v>6</v>
      </c>
      <c r="H718" s="1" t="s">
        <v>229</v>
      </c>
      <c r="I718" s="1" t="str">
        <f>("1111210033")</f>
        <v>1111210033</v>
      </c>
    </row>
    <row r="719" spans="1:10" x14ac:dyDescent="0.45">
      <c r="A719" s="2" t="str">
        <f t="shared" si="11"/>
        <v>金池長浜サッカースポーツ少年団_2</v>
      </c>
      <c r="B719" s="1" t="s">
        <v>3956</v>
      </c>
      <c r="C719" s="1" t="str">
        <f>("2")</f>
        <v>2</v>
      </c>
      <c r="D719" s="1" t="s">
        <v>208</v>
      </c>
      <c r="E719" s="1" t="s">
        <v>6402</v>
      </c>
      <c r="F719" s="1" t="s">
        <v>6403</v>
      </c>
      <c r="G719" s="1">
        <v>5</v>
      </c>
      <c r="H719" s="1" t="s">
        <v>229</v>
      </c>
      <c r="I719" s="1" t="str">
        <f>("1206120025")</f>
        <v>1206120025</v>
      </c>
    </row>
    <row r="720" spans="1:10" x14ac:dyDescent="0.45">
      <c r="A720" s="2" t="str">
        <f t="shared" si="11"/>
        <v>金池長浜サッカースポーツ少年団_3</v>
      </c>
      <c r="B720" s="1" t="s">
        <v>3956</v>
      </c>
      <c r="C720" s="1" t="str">
        <f>("3")</f>
        <v>3</v>
      </c>
      <c r="D720" s="1" t="s">
        <v>209</v>
      </c>
      <c r="E720" s="1" t="s">
        <v>9133</v>
      </c>
      <c r="F720" s="1" t="s">
        <v>9134</v>
      </c>
      <c r="G720" s="1">
        <v>4</v>
      </c>
      <c r="H720" s="1" t="s">
        <v>229</v>
      </c>
      <c r="I720" s="1" t="str">
        <f>("1402140011")</f>
        <v>1402140011</v>
      </c>
    </row>
    <row r="721" spans="1:10" x14ac:dyDescent="0.45">
      <c r="A721" s="2" t="str">
        <f t="shared" si="11"/>
        <v>金池長浜サッカースポーツ少年団_4</v>
      </c>
      <c r="B721" s="1" t="s">
        <v>3956</v>
      </c>
      <c r="C721" s="1" t="str">
        <f>("4")</f>
        <v>4</v>
      </c>
      <c r="D721" s="1" t="s">
        <v>210</v>
      </c>
      <c r="E721" s="1" t="s">
        <v>9135</v>
      </c>
      <c r="F721" s="1" t="s">
        <v>9136</v>
      </c>
      <c r="G721" s="1">
        <v>5</v>
      </c>
      <c r="H721" s="1" t="s">
        <v>229</v>
      </c>
      <c r="I721" s="1" t="str">
        <f>("1212170151")</f>
        <v>1212170151</v>
      </c>
    </row>
    <row r="722" spans="1:10" x14ac:dyDescent="0.45">
      <c r="A722" s="2" t="str">
        <f t="shared" si="11"/>
        <v>金池長浜サッカースポーツ少年団_5</v>
      </c>
      <c r="B722" s="1" t="s">
        <v>3956</v>
      </c>
      <c r="C722" s="1" t="str">
        <f>("5")</f>
        <v>5</v>
      </c>
      <c r="D722" s="1" t="s">
        <v>208</v>
      </c>
      <c r="E722" s="1" t="s">
        <v>9137</v>
      </c>
      <c r="F722" s="1" t="s">
        <v>9138</v>
      </c>
      <c r="G722" s="1">
        <v>5</v>
      </c>
      <c r="H722" s="1" t="s">
        <v>229</v>
      </c>
      <c r="I722" s="1" t="str">
        <f>("1302130048")</f>
        <v>1302130048</v>
      </c>
    </row>
    <row r="723" spans="1:10" x14ac:dyDescent="0.45">
      <c r="A723" s="2" t="str">
        <f t="shared" si="11"/>
        <v>金池長浜サッカースポーツ少年団_6</v>
      </c>
      <c r="B723" s="1" t="s">
        <v>3956</v>
      </c>
      <c r="C723" s="1" t="str">
        <f>("6")</f>
        <v>6</v>
      </c>
      <c r="D723" s="1" t="s">
        <v>208</v>
      </c>
      <c r="E723" s="1" t="s">
        <v>9139</v>
      </c>
      <c r="F723" s="1" t="s">
        <v>9140</v>
      </c>
      <c r="G723" s="1">
        <v>5</v>
      </c>
      <c r="H723" s="1" t="s">
        <v>229</v>
      </c>
      <c r="I723" s="1" t="str">
        <f>("1210130087")</f>
        <v>1210130087</v>
      </c>
    </row>
    <row r="724" spans="1:10" x14ac:dyDescent="0.45">
      <c r="A724" s="2" t="str">
        <f t="shared" si="11"/>
        <v>金池長浜サッカースポーツ少年団_7</v>
      </c>
      <c r="B724" s="1" t="s">
        <v>3956</v>
      </c>
      <c r="C724" s="1" t="str">
        <f>("7")</f>
        <v>7</v>
      </c>
      <c r="D724" s="1" t="s">
        <v>208</v>
      </c>
      <c r="E724" s="1" t="s">
        <v>9141</v>
      </c>
      <c r="F724" s="1" t="s">
        <v>9142</v>
      </c>
      <c r="G724" s="1">
        <v>5</v>
      </c>
      <c r="H724" s="1" t="s">
        <v>229</v>
      </c>
      <c r="I724" s="1" t="str">
        <f>("1210090146")</f>
        <v>1210090146</v>
      </c>
    </row>
    <row r="725" spans="1:10" x14ac:dyDescent="0.45">
      <c r="A725" s="2" t="str">
        <f t="shared" si="11"/>
        <v>金池長浜サッカースポーツ少年団_8</v>
      </c>
      <c r="B725" s="1" t="s">
        <v>3956</v>
      </c>
      <c r="C725" s="1" t="str">
        <f>("8")</f>
        <v>8</v>
      </c>
      <c r="D725" s="1" t="s">
        <v>209</v>
      </c>
      <c r="E725" s="1" t="s">
        <v>6400</v>
      </c>
      <c r="F725" s="1" t="s">
        <v>6401</v>
      </c>
      <c r="G725" s="1">
        <v>6</v>
      </c>
      <c r="H725" s="1" t="s">
        <v>229</v>
      </c>
      <c r="I725" s="1" t="str">
        <f>("1203100107")</f>
        <v>1203100107</v>
      </c>
    </row>
    <row r="726" spans="1:10" x14ac:dyDescent="0.45">
      <c r="A726" s="2" t="str">
        <f t="shared" si="11"/>
        <v>金池長浜サッカースポーツ少年団_9</v>
      </c>
      <c r="B726" s="1" t="s">
        <v>3956</v>
      </c>
      <c r="C726" s="1" t="str">
        <f>("9")</f>
        <v>9</v>
      </c>
      <c r="D726" s="1" t="s">
        <v>210</v>
      </c>
      <c r="E726" s="1" t="s">
        <v>9143</v>
      </c>
      <c r="F726" s="1" t="s">
        <v>9144</v>
      </c>
      <c r="G726" s="1">
        <v>4</v>
      </c>
      <c r="H726" s="1" t="s">
        <v>229</v>
      </c>
      <c r="I726" s="1" t="str">
        <f>("1309060015")</f>
        <v>1309060015</v>
      </c>
    </row>
    <row r="727" spans="1:10" x14ac:dyDescent="0.45">
      <c r="A727" s="2" t="str">
        <f t="shared" si="11"/>
        <v>金池長浜サッカースポーツ少年団_10</v>
      </c>
      <c r="B727" s="1" t="s">
        <v>3956</v>
      </c>
      <c r="C727" s="1" t="str">
        <f>("10")</f>
        <v>10</v>
      </c>
      <c r="D727" s="1" t="s">
        <v>209</v>
      </c>
      <c r="E727" s="1" t="s">
        <v>5399</v>
      </c>
      <c r="F727" s="1" t="s">
        <v>5400</v>
      </c>
      <c r="G727" s="1">
        <v>6</v>
      </c>
      <c r="H727" s="1" t="s">
        <v>229</v>
      </c>
      <c r="I727" s="1" t="str">
        <f>("1110230057")</f>
        <v>1110230057</v>
      </c>
      <c r="J727" s="1" t="s">
        <v>1858</v>
      </c>
    </row>
    <row r="728" spans="1:10" x14ac:dyDescent="0.45">
      <c r="A728" s="2" t="str">
        <f t="shared" si="11"/>
        <v>金池長浜サッカースポーツ少年団_11</v>
      </c>
      <c r="B728" s="1" t="s">
        <v>3956</v>
      </c>
      <c r="C728" s="1" t="str">
        <f>("11")</f>
        <v>11</v>
      </c>
      <c r="D728" s="1" t="s">
        <v>209</v>
      </c>
      <c r="E728" s="1" t="s">
        <v>6404</v>
      </c>
      <c r="F728" s="1" t="s">
        <v>6405</v>
      </c>
      <c r="G728" s="1">
        <v>5</v>
      </c>
      <c r="H728" s="1" t="s">
        <v>229</v>
      </c>
      <c r="I728" s="1" t="str">
        <f>("1210310011")</f>
        <v>1210310011</v>
      </c>
    </row>
    <row r="729" spans="1:10" x14ac:dyDescent="0.45">
      <c r="A729" s="2" t="str">
        <f t="shared" si="11"/>
        <v>金池長浜サッカースポーツ少年団_12</v>
      </c>
      <c r="B729" s="1" t="s">
        <v>3956</v>
      </c>
      <c r="C729" s="1" t="str">
        <f>("12")</f>
        <v>12</v>
      </c>
      <c r="D729" s="1" t="s">
        <v>208</v>
      </c>
      <c r="E729" s="1" t="s">
        <v>9145</v>
      </c>
      <c r="F729" s="1" t="s">
        <v>9146</v>
      </c>
      <c r="G729" s="1">
        <v>4</v>
      </c>
      <c r="H729" s="1" t="s">
        <v>229</v>
      </c>
      <c r="I729" s="1" t="str">
        <f>("1402140032")</f>
        <v>1402140032</v>
      </c>
    </row>
    <row r="730" spans="1:10" x14ac:dyDescent="0.45">
      <c r="A730" s="2" t="str">
        <f t="shared" si="11"/>
        <v>金池長浜サッカースポーツ少年団_13</v>
      </c>
      <c r="B730" s="1" t="s">
        <v>3956</v>
      </c>
      <c r="C730" s="1" t="str">
        <f>("13")</f>
        <v>13</v>
      </c>
      <c r="D730" s="1" t="s">
        <v>209</v>
      </c>
      <c r="E730" s="1" t="s">
        <v>9147</v>
      </c>
      <c r="F730" s="1" t="s">
        <v>9148</v>
      </c>
      <c r="G730" s="1">
        <v>4</v>
      </c>
      <c r="H730" s="1" t="s">
        <v>229</v>
      </c>
      <c r="I730" s="1" t="str">
        <f>("1312310016")</f>
        <v>1312310016</v>
      </c>
    </row>
    <row r="731" spans="1:10" x14ac:dyDescent="0.45">
      <c r="A731" s="2" t="str">
        <f t="shared" si="11"/>
        <v>金池長浜サッカースポーツ少年団_14</v>
      </c>
      <c r="B731" s="1" t="s">
        <v>3956</v>
      </c>
      <c r="C731" s="1" t="str">
        <f>("14")</f>
        <v>14</v>
      </c>
      <c r="D731" s="1" t="s">
        <v>209</v>
      </c>
      <c r="E731" s="1" t="s">
        <v>9149</v>
      </c>
      <c r="F731" s="1" t="s">
        <v>9150</v>
      </c>
      <c r="G731" s="1">
        <v>4</v>
      </c>
      <c r="H731" s="1" t="s">
        <v>229</v>
      </c>
      <c r="I731" s="1" t="str">
        <f>("1310120007")</f>
        <v>1310120007</v>
      </c>
    </row>
    <row r="732" spans="1:10" x14ac:dyDescent="0.45">
      <c r="A732" s="2" t="str">
        <f t="shared" si="11"/>
        <v>金池長浜サッカースポーツ少年団_16</v>
      </c>
      <c r="B732" s="1" t="s">
        <v>3956</v>
      </c>
      <c r="C732" s="1" t="str">
        <f>("16")</f>
        <v>16</v>
      </c>
      <c r="D732" s="1" t="s">
        <v>207</v>
      </c>
      <c r="E732" s="1" t="s">
        <v>9151</v>
      </c>
      <c r="F732" s="1" t="s">
        <v>5783</v>
      </c>
      <c r="G732" s="1">
        <v>5</v>
      </c>
      <c r="H732" s="1" t="s">
        <v>229</v>
      </c>
      <c r="I732" s="1" t="str">
        <f>("1206150215")</f>
        <v>1206150215</v>
      </c>
    </row>
    <row r="733" spans="1:10" x14ac:dyDescent="0.45">
      <c r="A733" s="2" t="str">
        <f t="shared" si="11"/>
        <v>金池長浜サッカースポーツ少年団_17</v>
      </c>
      <c r="B733" s="1" t="s">
        <v>3956</v>
      </c>
      <c r="C733" s="1" t="str">
        <f>("17")</f>
        <v>17</v>
      </c>
      <c r="D733" s="1" t="s">
        <v>208</v>
      </c>
      <c r="E733" s="1" t="s">
        <v>9152</v>
      </c>
      <c r="F733" s="1" t="s">
        <v>9153</v>
      </c>
      <c r="G733" s="1">
        <v>5</v>
      </c>
      <c r="H733" s="1" t="s">
        <v>229</v>
      </c>
      <c r="I733" s="1" t="str">
        <f>("1207020139")</f>
        <v>1207020139</v>
      </c>
    </row>
    <row r="734" spans="1:10" x14ac:dyDescent="0.45">
      <c r="A734" s="2" t="str">
        <f t="shared" si="11"/>
        <v>八幡サッカースポーツ少年団_6</v>
      </c>
      <c r="B734" s="1" t="s">
        <v>3977</v>
      </c>
      <c r="C734" s="1" t="str">
        <f>("6")</f>
        <v>6</v>
      </c>
      <c r="D734" s="1" t="s">
        <v>209</v>
      </c>
      <c r="E734" s="1" t="s">
        <v>9154</v>
      </c>
      <c r="F734" s="1" t="s">
        <v>9155</v>
      </c>
      <c r="G734" s="1">
        <v>2</v>
      </c>
      <c r="H734" s="1" t="s">
        <v>229</v>
      </c>
      <c r="I734" s="1" t="str">
        <f>("1504220025")</f>
        <v>1504220025</v>
      </c>
    </row>
    <row r="735" spans="1:10" x14ac:dyDescent="0.45">
      <c r="A735" s="2" t="str">
        <f t="shared" si="11"/>
        <v>八幡サッカースポーツ少年団_7</v>
      </c>
      <c r="B735" s="1" t="s">
        <v>3977</v>
      </c>
      <c r="C735" s="1" t="str">
        <f>("7")</f>
        <v>7</v>
      </c>
      <c r="D735" s="1" t="s">
        <v>209</v>
      </c>
      <c r="E735" s="1" t="s">
        <v>6418</v>
      </c>
      <c r="F735" s="1" t="s">
        <v>6419</v>
      </c>
      <c r="G735" s="1">
        <v>2</v>
      </c>
      <c r="H735" s="1" t="s">
        <v>229</v>
      </c>
      <c r="I735" s="1" t="str">
        <f>("1511050007")</f>
        <v>1511050007</v>
      </c>
    </row>
    <row r="736" spans="1:10" x14ac:dyDescent="0.45">
      <c r="A736" s="2" t="str">
        <f t="shared" si="11"/>
        <v>八幡サッカースポーツ少年団_8</v>
      </c>
      <c r="B736" s="1" t="s">
        <v>3977</v>
      </c>
      <c r="C736" s="1" t="str">
        <f>("8")</f>
        <v>8</v>
      </c>
      <c r="D736" s="1" t="s">
        <v>209</v>
      </c>
      <c r="E736" s="1" t="s">
        <v>6416</v>
      </c>
      <c r="F736" s="1" t="s">
        <v>6417</v>
      </c>
      <c r="G736" s="1">
        <v>4</v>
      </c>
      <c r="H736" s="1" t="s">
        <v>229</v>
      </c>
      <c r="I736" s="1" t="str">
        <f>("1309050027")</f>
        <v>1309050027</v>
      </c>
    </row>
    <row r="737" spans="1:10" x14ac:dyDescent="0.45">
      <c r="A737" s="2" t="str">
        <f t="shared" si="11"/>
        <v>八幡サッカースポーツ少年団_9</v>
      </c>
      <c r="B737" s="1" t="s">
        <v>3977</v>
      </c>
      <c r="C737" s="1" t="str">
        <f>("9")</f>
        <v>9</v>
      </c>
      <c r="D737" s="1" t="s">
        <v>208</v>
      </c>
      <c r="E737" s="1" t="s">
        <v>6408</v>
      </c>
      <c r="F737" s="1" t="s">
        <v>6409</v>
      </c>
      <c r="G737" s="1">
        <v>5</v>
      </c>
      <c r="H737" s="1" t="s">
        <v>229</v>
      </c>
      <c r="I737" s="1" t="str">
        <f>("1206290120")</f>
        <v>1206290120</v>
      </c>
      <c r="J737" s="1" t="s">
        <v>1858</v>
      </c>
    </row>
    <row r="738" spans="1:10" x14ac:dyDescent="0.45">
      <c r="A738" s="2" t="str">
        <f t="shared" si="11"/>
        <v>八幡サッカースポーツ少年団_10</v>
      </c>
      <c r="B738" s="1" t="s">
        <v>3977</v>
      </c>
      <c r="C738" s="1" t="str">
        <f>("10")</f>
        <v>10</v>
      </c>
      <c r="D738" s="1" t="s">
        <v>208</v>
      </c>
      <c r="E738" s="1" t="s">
        <v>6410</v>
      </c>
      <c r="F738" s="1" t="s">
        <v>6411</v>
      </c>
      <c r="G738" s="1">
        <v>5</v>
      </c>
      <c r="H738" s="1" t="s">
        <v>229</v>
      </c>
      <c r="I738" s="1" t="str">
        <f>("1210240008")</f>
        <v>1210240008</v>
      </c>
    </row>
    <row r="739" spans="1:10" x14ac:dyDescent="0.45">
      <c r="A739" s="2" t="str">
        <f t="shared" si="11"/>
        <v>八幡サッカースポーツ少年団_11</v>
      </c>
      <c r="B739" s="1" t="s">
        <v>3977</v>
      </c>
      <c r="C739" s="1" t="str">
        <f>("11")</f>
        <v>11</v>
      </c>
      <c r="D739" s="1" t="s">
        <v>208</v>
      </c>
      <c r="E739" s="1" t="s">
        <v>6412</v>
      </c>
      <c r="F739" s="1" t="s">
        <v>6413</v>
      </c>
      <c r="G739" s="1">
        <v>5</v>
      </c>
      <c r="H739" s="1" t="s">
        <v>229</v>
      </c>
      <c r="I739" s="1" t="str">
        <f>("1211130091")</f>
        <v>1211130091</v>
      </c>
    </row>
    <row r="740" spans="1:10" x14ac:dyDescent="0.45">
      <c r="A740" s="2" t="str">
        <f t="shared" si="11"/>
        <v>八幡サッカースポーツ少年団_12</v>
      </c>
      <c r="B740" s="1" t="s">
        <v>3977</v>
      </c>
      <c r="C740" s="1" t="str">
        <f>("12")</f>
        <v>12</v>
      </c>
      <c r="D740" s="1" t="s">
        <v>209</v>
      </c>
      <c r="E740" s="1" t="s">
        <v>9156</v>
      </c>
      <c r="F740" s="1" t="s">
        <v>9157</v>
      </c>
      <c r="G740" s="1">
        <v>3</v>
      </c>
      <c r="H740" s="1" t="s">
        <v>229</v>
      </c>
      <c r="I740" s="1" t="str">
        <f>("1501070069")</f>
        <v>1501070069</v>
      </c>
    </row>
    <row r="741" spans="1:10" x14ac:dyDescent="0.45">
      <c r="A741" s="2" t="str">
        <f t="shared" si="11"/>
        <v>八幡サッカースポーツ少年団_13</v>
      </c>
      <c r="B741" s="1" t="s">
        <v>3977</v>
      </c>
      <c r="C741" s="1" t="str">
        <f>("13")</f>
        <v>13</v>
      </c>
      <c r="D741" s="1" t="s">
        <v>209</v>
      </c>
      <c r="E741" s="1" t="s">
        <v>6414</v>
      </c>
      <c r="F741" s="1" t="s">
        <v>6415</v>
      </c>
      <c r="G741" s="1">
        <v>2</v>
      </c>
      <c r="H741" s="1" t="s">
        <v>229</v>
      </c>
      <c r="I741" s="1" t="str">
        <f>("1510030001")</f>
        <v>1510030001</v>
      </c>
    </row>
    <row r="742" spans="1:10" x14ac:dyDescent="0.45">
      <c r="A742" s="2" t="str">
        <f t="shared" si="11"/>
        <v>八幡サッカースポーツ少年団_17</v>
      </c>
      <c r="B742" s="1" t="s">
        <v>3977</v>
      </c>
      <c r="C742" s="1" t="str">
        <f>("17")</f>
        <v>17</v>
      </c>
      <c r="D742" s="1" t="s">
        <v>207</v>
      </c>
      <c r="E742" s="1" t="s">
        <v>9158</v>
      </c>
      <c r="F742" s="1" t="s">
        <v>9159</v>
      </c>
      <c r="G742" s="1">
        <v>5</v>
      </c>
      <c r="H742" s="1" t="s">
        <v>229</v>
      </c>
      <c r="I742" s="1" t="str">
        <f>("1209020147")</f>
        <v>1209020147</v>
      </c>
    </row>
    <row r="743" spans="1:10" x14ac:dyDescent="0.45">
      <c r="A743" s="2" t="str">
        <f t="shared" si="11"/>
        <v>日岡サッカースポーツ少年団_1</v>
      </c>
      <c r="B743" s="1" t="s">
        <v>3964</v>
      </c>
      <c r="C743" s="1" t="str">
        <f>("1")</f>
        <v>1</v>
      </c>
      <c r="D743" s="1" t="s">
        <v>207</v>
      </c>
      <c r="E743" s="1" t="s">
        <v>5405</v>
      </c>
      <c r="F743" s="1" t="s">
        <v>5406</v>
      </c>
      <c r="G743" s="1">
        <v>6</v>
      </c>
      <c r="H743" s="1" t="s">
        <v>229</v>
      </c>
      <c r="I743" s="1" t="str">
        <f>("1104090095")</f>
        <v>1104090095</v>
      </c>
      <c r="J743" s="1" t="s">
        <v>1858</v>
      </c>
    </row>
    <row r="744" spans="1:10" x14ac:dyDescent="0.45">
      <c r="A744" s="2" t="str">
        <f t="shared" si="11"/>
        <v>日岡サッカースポーツ少年団_2</v>
      </c>
      <c r="B744" s="1" t="s">
        <v>3964</v>
      </c>
      <c r="C744" s="1" t="str">
        <f>("2")</f>
        <v>2</v>
      </c>
      <c r="D744" s="1" t="s">
        <v>207</v>
      </c>
      <c r="E744" s="1" t="s">
        <v>9160</v>
      </c>
      <c r="F744" s="1" t="s">
        <v>9161</v>
      </c>
      <c r="G744" s="1">
        <v>3</v>
      </c>
      <c r="H744" s="1" t="s">
        <v>229</v>
      </c>
      <c r="I744" s="1" t="str">
        <f>("1407100035")</f>
        <v>1407100035</v>
      </c>
    </row>
    <row r="745" spans="1:10" x14ac:dyDescent="0.45">
      <c r="A745" s="2" t="str">
        <f t="shared" si="11"/>
        <v>日岡サッカースポーツ少年団_3</v>
      </c>
      <c r="B745" s="1" t="s">
        <v>3964</v>
      </c>
      <c r="C745" s="1" t="str">
        <f>("3")</f>
        <v>3</v>
      </c>
      <c r="D745" s="1" t="s">
        <v>208</v>
      </c>
      <c r="E745" s="1" t="s">
        <v>9162</v>
      </c>
      <c r="F745" s="1" t="s">
        <v>9163</v>
      </c>
      <c r="G745" s="1">
        <v>4</v>
      </c>
      <c r="H745" s="1" t="s">
        <v>229</v>
      </c>
      <c r="I745" s="1" t="str">
        <f>("1310220128")</f>
        <v>1310220128</v>
      </c>
    </row>
    <row r="746" spans="1:10" x14ac:dyDescent="0.45">
      <c r="A746" s="2" t="str">
        <f t="shared" si="11"/>
        <v>日岡サッカースポーツ少年団_4</v>
      </c>
      <c r="B746" s="1" t="s">
        <v>3964</v>
      </c>
      <c r="C746" s="1" t="str">
        <f>("4")</f>
        <v>4</v>
      </c>
      <c r="D746" s="1" t="s">
        <v>210</v>
      </c>
      <c r="E746" s="1" t="s">
        <v>9164</v>
      </c>
      <c r="F746" s="1" t="s">
        <v>9165</v>
      </c>
      <c r="G746" s="1">
        <v>4</v>
      </c>
      <c r="H746" s="1" t="s">
        <v>229</v>
      </c>
      <c r="I746" s="1" t="str">
        <f>("1309020127")</f>
        <v>1309020127</v>
      </c>
    </row>
    <row r="747" spans="1:10" x14ac:dyDescent="0.45">
      <c r="A747" s="2" t="str">
        <f t="shared" si="11"/>
        <v>日岡サッカースポーツ少年団_5</v>
      </c>
      <c r="B747" s="1" t="s">
        <v>3964</v>
      </c>
      <c r="C747" s="1" t="str">
        <f>("5")</f>
        <v>5</v>
      </c>
      <c r="D747" s="1" t="s">
        <v>208</v>
      </c>
      <c r="E747" s="1" t="s">
        <v>6422</v>
      </c>
      <c r="F747" s="1" t="s">
        <v>6423</v>
      </c>
      <c r="G747" s="1">
        <v>5</v>
      </c>
      <c r="H747" s="1" t="s">
        <v>231</v>
      </c>
      <c r="I747" s="1" t="str">
        <f>("1210030057")</f>
        <v>1210030057</v>
      </c>
    </row>
    <row r="748" spans="1:10" x14ac:dyDescent="0.45">
      <c r="A748" s="2" t="str">
        <f t="shared" si="11"/>
        <v>日岡サッカースポーツ少年団_6</v>
      </c>
      <c r="B748" s="1" t="s">
        <v>3964</v>
      </c>
      <c r="C748" s="1" t="str">
        <f>("6")</f>
        <v>6</v>
      </c>
      <c r="D748" s="1" t="s">
        <v>209</v>
      </c>
      <c r="E748" s="1" t="s">
        <v>6424</v>
      </c>
      <c r="F748" s="1" t="s">
        <v>6425</v>
      </c>
      <c r="G748" s="1">
        <v>5</v>
      </c>
      <c r="H748" s="1" t="s">
        <v>229</v>
      </c>
      <c r="I748" s="1" t="str">
        <f>("1210100138")</f>
        <v>1210100138</v>
      </c>
    </row>
    <row r="749" spans="1:10" x14ac:dyDescent="0.45">
      <c r="A749" s="2" t="str">
        <f t="shared" si="11"/>
        <v>日岡サッカースポーツ少年団_7</v>
      </c>
      <c r="B749" s="1" t="s">
        <v>3964</v>
      </c>
      <c r="C749" s="1" t="str">
        <f>("7")</f>
        <v>7</v>
      </c>
      <c r="D749" s="1" t="s">
        <v>209</v>
      </c>
      <c r="E749" s="1" t="s">
        <v>6420</v>
      </c>
      <c r="F749" s="1" t="s">
        <v>6421</v>
      </c>
      <c r="G749" s="1">
        <v>5</v>
      </c>
      <c r="H749" s="1" t="s">
        <v>229</v>
      </c>
      <c r="I749" s="1" t="str">
        <f>("1206060076")</f>
        <v>1206060076</v>
      </c>
    </row>
    <row r="750" spans="1:10" x14ac:dyDescent="0.45">
      <c r="A750" s="2" t="str">
        <f t="shared" si="11"/>
        <v>日岡サッカースポーツ少年団_8</v>
      </c>
      <c r="B750" s="1" t="s">
        <v>3964</v>
      </c>
      <c r="C750" s="1" t="str">
        <f>("8")</f>
        <v>8</v>
      </c>
      <c r="D750" s="1" t="s">
        <v>208</v>
      </c>
      <c r="E750" s="1" t="s">
        <v>5415</v>
      </c>
      <c r="F750" s="1" t="s">
        <v>5416</v>
      </c>
      <c r="G750" s="1">
        <v>5</v>
      </c>
      <c r="H750" s="1" t="s">
        <v>229</v>
      </c>
      <c r="I750" s="1" t="str">
        <f>("1209070050")</f>
        <v>1209070050</v>
      </c>
    </row>
    <row r="751" spans="1:10" x14ac:dyDescent="0.45">
      <c r="A751" s="2" t="str">
        <f t="shared" si="11"/>
        <v>日岡サッカースポーツ少年団_9</v>
      </c>
      <c r="B751" s="1" t="s">
        <v>3964</v>
      </c>
      <c r="C751" s="1" t="str">
        <f>("9")</f>
        <v>9</v>
      </c>
      <c r="D751" s="1" t="s">
        <v>209</v>
      </c>
      <c r="E751" s="1" t="s">
        <v>5407</v>
      </c>
      <c r="F751" s="1" t="s">
        <v>5408</v>
      </c>
      <c r="G751" s="1">
        <v>6</v>
      </c>
      <c r="H751" s="1" t="s">
        <v>229</v>
      </c>
      <c r="I751" s="1" t="str">
        <f>("1111290106")</f>
        <v>1111290106</v>
      </c>
    </row>
    <row r="752" spans="1:10" x14ac:dyDescent="0.45">
      <c r="A752" s="2" t="str">
        <f t="shared" si="11"/>
        <v>日岡サッカースポーツ少年団_10</v>
      </c>
      <c r="B752" s="1" t="s">
        <v>3964</v>
      </c>
      <c r="C752" s="1" t="str">
        <f>("10")</f>
        <v>10</v>
      </c>
      <c r="D752" s="1" t="s">
        <v>210</v>
      </c>
      <c r="E752" s="1" t="s">
        <v>3479</v>
      </c>
      <c r="F752" s="1" t="s">
        <v>5417</v>
      </c>
      <c r="G752" s="1">
        <v>5</v>
      </c>
      <c r="H752" s="1" t="s">
        <v>229</v>
      </c>
      <c r="I752" s="1" t="str">
        <f>("1212200066")</f>
        <v>1212200066</v>
      </c>
    </row>
    <row r="753" spans="1:10" x14ac:dyDescent="0.45">
      <c r="A753" s="2" t="str">
        <f t="shared" si="11"/>
        <v>日岡サッカースポーツ少年団_11</v>
      </c>
      <c r="B753" s="1" t="s">
        <v>3964</v>
      </c>
      <c r="C753" s="1" t="str">
        <f>("11")</f>
        <v>11</v>
      </c>
      <c r="D753" s="1" t="s">
        <v>208</v>
      </c>
      <c r="E753" s="1" t="s">
        <v>5409</v>
      </c>
      <c r="F753" s="1" t="s">
        <v>5410</v>
      </c>
      <c r="G753" s="1">
        <v>6</v>
      </c>
      <c r="H753" s="1" t="s">
        <v>229</v>
      </c>
      <c r="I753" s="1" t="str">
        <f>("1107220143")</f>
        <v>1107220143</v>
      </c>
    </row>
    <row r="754" spans="1:10" x14ac:dyDescent="0.45">
      <c r="A754" s="2" t="str">
        <f t="shared" si="11"/>
        <v>日岡サッカースポーツ少年団_12</v>
      </c>
      <c r="B754" s="1" t="s">
        <v>3964</v>
      </c>
      <c r="C754" s="1" t="str">
        <f>("12")</f>
        <v>12</v>
      </c>
      <c r="D754" s="1" t="s">
        <v>209</v>
      </c>
      <c r="E754" s="1" t="s">
        <v>9166</v>
      </c>
      <c r="F754" s="1" t="s">
        <v>9167</v>
      </c>
      <c r="G754" s="1">
        <v>3</v>
      </c>
      <c r="H754" s="1" t="s">
        <v>229</v>
      </c>
      <c r="I754" s="1" t="str">
        <f>("1408220067")</f>
        <v>1408220067</v>
      </c>
    </row>
    <row r="755" spans="1:10" x14ac:dyDescent="0.45">
      <c r="A755" s="2" t="str">
        <f t="shared" si="11"/>
        <v>日岡サッカースポーツ少年団_17</v>
      </c>
      <c r="B755" s="1" t="s">
        <v>3964</v>
      </c>
      <c r="C755" s="1" t="str">
        <f>("17")</f>
        <v>17</v>
      </c>
      <c r="D755" s="1" t="s">
        <v>209</v>
      </c>
      <c r="E755" s="1" t="s">
        <v>6426</v>
      </c>
      <c r="F755" s="1" t="s">
        <v>6427</v>
      </c>
      <c r="G755" s="1">
        <v>5</v>
      </c>
      <c r="H755" s="1" t="s">
        <v>229</v>
      </c>
      <c r="I755" s="1" t="str">
        <f>("1302250036")</f>
        <v>1302250036</v>
      </c>
    </row>
    <row r="756" spans="1:10" x14ac:dyDescent="0.45">
      <c r="A756" s="2" t="str">
        <f t="shared" si="11"/>
        <v>城南サッカースポーツ少年団_1</v>
      </c>
      <c r="B756" s="1" t="s">
        <v>3958</v>
      </c>
      <c r="C756" s="1" t="str">
        <f>("1")</f>
        <v>1</v>
      </c>
      <c r="D756" s="1" t="s">
        <v>207</v>
      </c>
      <c r="E756" s="1" t="s">
        <v>5418</v>
      </c>
      <c r="F756" s="1" t="s">
        <v>5419</v>
      </c>
      <c r="G756" s="1">
        <v>6</v>
      </c>
      <c r="H756" s="1" t="s">
        <v>229</v>
      </c>
      <c r="I756" s="1" t="str">
        <f>("1107160016")</f>
        <v>1107160016</v>
      </c>
    </row>
    <row r="757" spans="1:10" x14ac:dyDescent="0.45">
      <c r="A757" s="2" t="str">
        <f t="shared" si="11"/>
        <v>城南サッカースポーツ少年団_2</v>
      </c>
      <c r="B757" s="1" t="s">
        <v>3958</v>
      </c>
      <c r="C757" s="1" t="str">
        <f>("2")</f>
        <v>2</v>
      </c>
      <c r="D757" s="1" t="s">
        <v>208</v>
      </c>
      <c r="E757" s="1" t="s">
        <v>5426</v>
      </c>
      <c r="F757" s="1" t="s">
        <v>5427</v>
      </c>
      <c r="G757" s="1">
        <v>6</v>
      </c>
      <c r="H757" s="1" t="s">
        <v>229</v>
      </c>
      <c r="I757" s="1" t="str">
        <f>("1111030036")</f>
        <v>1111030036</v>
      </c>
    </row>
    <row r="758" spans="1:10" x14ac:dyDescent="0.45">
      <c r="A758" s="2" t="str">
        <f t="shared" si="11"/>
        <v>城南サッカースポーツ少年団_3</v>
      </c>
      <c r="B758" s="1" t="s">
        <v>3958</v>
      </c>
      <c r="C758" s="1" t="str">
        <f>("3")</f>
        <v>3</v>
      </c>
      <c r="D758" s="1" t="s">
        <v>208</v>
      </c>
      <c r="E758" s="1" t="s">
        <v>5420</v>
      </c>
      <c r="F758" s="1" t="s">
        <v>5421</v>
      </c>
      <c r="G758" s="1">
        <v>6</v>
      </c>
      <c r="H758" s="1" t="s">
        <v>229</v>
      </c>
      <c r="I758" s="1" t="str">
        <f>("1107050075")</f>
        <v>1107050075</v>
      </c>
    </row>
    <row r="759" spans="1:10" x14ac:dyDescent="0.45">
      <c r="A759" s="2" t="str">
        <f t="shared" si="11"/>
        <v>城南サッカースポーツ少年団_4</v>
      </c>
      <c r="B759" s="1" t="s">
        <v>3958</v>
      </c>
      <c r="C759" s="1" t="str">
        <f>("4")</f>
        <v>4</v>
      </c>
      <c r="D759" s="1" t="s">
        <v>210</v>
      </c>
      <c r="E759" s="1" t="s">
        <v>5422</v>
      </c>
      <c r="F759" s="1" t="s">
        <v>5423</v>
      </c>
      <c r="G759" s="1">
        <v>6</v>
      </c>
      <c r="H759" s="1" t="s">
        <v>229</v>
      </c>
      <c r="I759" s="1" t="str">
        <f>("1107140152")</f>
        <v>1107140152</v>
      </c>
    </row>
    <row r="760" spans="1:10" x14ac:dyDescent="0.45">
      <c r="A760" s="2" t="str">
        <f t="shared" si="11"/>
        <v>城南サッカースポーツ少年団_5</v>
      </c>
      <c r="B760" s="1" t="s">
        <v>3958</v>
      </c>
      <c r="C760" s="1" t="str">
        <f>("5")</f>
        <v>5</v>
      </c>
      <c r="D760" s="1" t="s">
        <v>207</v>
      </c>
      <c r="E760" s="1" t="s">
        <v>5437</v>
      </c>
      <c r="F760" s="1" t="s">
        <v>5438</v>
      </c>
      <c r="G760" s="1">
        <v>5</v>
      </c>
      <c r="H760" s="1" t="s">
        <v>229</v>
      </c>
      <c r="I760" s="1" t="str">
        <f>("1212270013")</f>
        <v>1212270013</v>
      </c>
    </row>
    <row r="761" spans="1:10" x14ac:dyDescent="0.45">
      <c r="A761" s="2" t="str">
        <f t="shared" si="11"/>
        <v>城南サッカースポーツ少年団_6</v>
      </c>
      <c r="B761" s="1" t="s">
        <v>3958</v>
      </c>
      <c r="C761" s="1" t="str">
        <f>("6")</f>
        <v>6</v>
      </c>
      <c r="D761" s="1" t="s">
        <v>209</v>
      </c>
      <c r="E761" s="1" t="s">
        <v>6432</v>
      </c>
      <c r="F761" s="1" t="s">
        <v>6433</v>
      </c>
      <c r="G761" s="1">
        <v>5</v>
      </c>
      <c r="H761" s="1" t="s">
        <v>229</v>
      </c>
      <c r="I761" s="1" t="str">
        <f>("1210190150")</f>
        <v>1210190150</v>
      </c>
    </row>
    <row r="762" spans="1:10" x14ac:dyDescent="0.45">
      <c r="A762" s="2" t="str">
        <f t="shared" si="11"/>
        <v>城南サッカースポーツ少年団_8</v>
      </c>
      <c r="B762" s="1" t="s">
        <v>3958</v>
      </c>
      <c r="C762" s="1" t="str">
        <f>("8")</f>
        <v>8</v>
      </c>
      <c r="D762" s="1" t="s">
        <v>210</v>
      </c>
      <c r="E762" s="1" t="s">
        <v>5424</v>
      </c>
      <c r="F762" s="1" t="s">
        <v>5425</v>
      </c>
      <c r="G762" s="1">
        <v>6</v>
      </c>
      <c r="H762" s="1" t="s">
        <v>229</v>
      </c>
      <c r="I762" s="1" t="str">
        <f>("1104150037")</f>
        <v>1104150037</v>
      </c>
      <c r="J762" s="1" t="s">
        <v>1858</v>
      </c>
    </row>
    <row r="763" spans="1:10" x14ac:dyDescent="0.45">
      <c r="A763" s="2" t="str">
        <f t="shared" si="11"/>
        <v>城南サッカースポーツ少年団_9</v>
      </c>
      <c r="B763" s="1" t="s">
        <v>3958</v>
      </c>
      <c r="C763" s="1" t="str">
        <f>("9")</f>
        <v>9</v>
      </c>
      <c r="D763" s="1" t="s">
        <v>208</v>
      </c>
      <c r="E763" s="1" t="s">
        <v>5439</v>
      </c>
      <c r="F763" s="1" t="s">
        <v>5440</v>
      </c>
      <c r="G763" s="1">
        <v>5</v>
      </c>
      <c r="H763" s="1" t="s">
        <v>229</v>
      </c>
      <c r="I763" s="1" t="str">
        <f>("1205040026")</f>
        <v>1205040026</v>
      </c>
    </row>
    <row r="764" spans="1:10" x14ac:dyDescent="0.45">
      <c r="A764" s="2" t="str">
        <f t="shared" si="11"/>
        <v>城南サッカースポーツ少年団_10</v>
      </c>
      <c r="B764" s="1" t="s">
        <v>3958</v>
      </c>
      <c r="C764" s="1" t="str">
        <f>("10")</f>
        <v>10</v>
      </c>
      <c r="D764" s="1" t="s">
        <v>210</v>
      </c>
      <c r="E764" s="1" t="s">
        <v>6428</v>
      </c>
      <c r="F764" s="1" t="s">
        <v>6429</v>
      </c>
      <c r="G764" s="1">
        <v>5</v>
      </c>
      <c r="H764" s="1" t="s">
        <v>229</v>
      </c>
      <c r="I764" s="1" t="str">
        <f>("1205300126")</f>
        <v>1205300126</v>
      </c>
    </row>
    <row r="765" spans="1:10" x14ac:dyDescent="0.45">
      <c r="A765" s="2" t="str">
        <f t="shared" si="11"/>
        <v>城南サッカースポーツ少年団_11</v>
      </c>
      <c r="B765" s="1" t="s">
        <v>3958</v>
      </c>
      <c r="C765" s="1" t="str">
        <f>("11")</f>
        <v>11</v>
      </c>
      <c r="D765" s="1" t="s">
        <v>209</v>
      </c>
      <c r="E765" s="1" t="s">
        <v>9168</v>
      </c>
      <c r="F765" s="1" t="s">
        <v>9169</v>
      </c>
      <c r="G765" s="1">
        <v>4</v>
      </c>
      <c r="H765" s="1" t="s">
        <v>229</v>
      </c>
      <c r="I765" s="1" t="str">
        <f>("1311150116")</f>
        <v>1311150116</v>
      </c>
    </row>
    <row r="766" spans="1:10" x14ac:dyDescent="0.45">
      <c r="A766" s="2" t="str">
        <f t="shared" si="11"/>
        <v>城南サッカースポーツ少年団_14</v>
      </c>
      <c r="B766" s="1" t="s">
        <v>3958</v>
      </c>
      <c r="C766" s="1" t="str">
        <f>("14")</f>
        <v>14</v>
      </c>
      <c r="D766" s="1" t="s">
        <v>209</v>
      </c>
      <c r="E766" s="1" t="s">
        <v>6430</v>
      </c>
      <c r="F766" s="1" t="s">
        <v>6431</v>
      </c>
      <c r="G766" s="1">
        <v>5</v>
      </c>
      <c r="H766" s="1" t="s">
        <v>229</v>
      </c>
      <c r="I766" s="1" t="str">
        <f>("1212040040")</f>
        <v>1212040040</v>
      </c>
    </row>
    <row r="767" spans="1:10" x14ac:dyDescent="0.45">
      <c r="A767" s="2" t="str">
        <f t="shared" si="11"/>
        <v>城南サッカースポーツ少年団_16</v>
      </c>
      <c r="B767" s="1" t="s">
        <v>3958</v>
      </c>
      <c r="C767" s="1" t="str">
        <f>("16")</f>
        <v>16</v>
      </c>
      <c r="D767" s="1" t="s">
        <v>209</v>
      </c>
      <c r="E767" s="1" t="s">
        <v>9170</v>
      </c>
      <c r="F767" s="1" t="s">
        <v>9171</v>
      </c>
      <c r="G767" s="1">
        <v>5</v>
      </c>
      <c r="H767" s="1" t="s">
        <v>229</v>
      </c>
      <c r="I767" s="1" t="str">
        <f>("1205040135")</f>
        <v>1205040135</v>
      </c>
    </row>
    <row r="768" spans="1:10" x14ac:dyDescent="0.45">
      <c r="A768" s="2" t="str">
        <f t="shared" si="11"/>
        <v>稙田ＦＣサッカースポーツ少年団_1</v>
      </c>
      <c r="B768" s="1" t="s">
        <v>3979</v>
      </c>
      <c r="C768" s="1" t="str">
        <f>("1")</f>
        <v>1</v>
      </c>
      <c r="D768" s="1" t="s">
        <v>207</v>
      </c>
      <c r="E768" s="1" t="s">
        <v>6438</v>
      </c>
      <c r="F768" s="1" t="s">
        <v>6439</v>
      </c>
      <c r="G768" s="1">
        <v>6</v>
      </c>
      <c r="H768" s="1" t="s">
        <v>229</v>
      </c>
      <c r="I768" s="1" t="str">
        <f>("1109250055")</f>
        <v>1109250055</v>
      </c>
    </row>
    <row r="769" spans="1:10" x14ac:dyDescent="0.45">
      <c r="A769" s="2" t="str">
        <f t="shared" ref="A769:A832" si="12">CONCATENATE(B769,"_",C769)</f>
        <v>稙田ＦＣサッカースポーツ少年団_2</v>
      </c>
      <c r="B769" s="1" t="s">
        <v>3979</v>
      </c>
      <c r="C769" s="1" t="str">
        <f>("2")</f>
        <v>2</v>
      </c>
      <c r="D769" s="1" t="s">
        <v>208</v>
      </c>
      <c r="E769" s="1" t="s">
        <v>9172</v>
      </c>
      <c r="F769" s="1" t="s">
        <v>9173</v>
      </c>
      <c r="G769" s="1">
        <v>6</v>
      </c>
      <c r="H769" s="1" t="s">
        <v>229</v>
      </c>
      <c r="I769" s="1" t="str">
        <f>("1111050048")</f>
        <v>1111050048</v>
      </c>
    </row>
    <row r="770" spans="1:10" x14ac:dyDescent="0.45">
      <c r="A770" s="2" t="str">
        <f t="shared" si="12"/>
        <v>稙田ＦＣサッカースポーツ少年団_3</v>
      </c>
      <c r="B770" s="1" t="s">
        <v>3979</v>
      </c>
      <c r="C770" s="1" t="str">
        <f>("3")</f>
        <v>3</v>
      </c>
      <c r="D770" s="1" t="s">
        <v>208</v>
      </c>
      <c r="E770" s="1" t="s">
        <v>9174</v>
      </c>
      <c r="F770" s="1" t="s">
        <v>9175</v>
      </c>
      <c r="G770" s="1">
        <v>5</v>
      </c>
      <c r="H770" s="1" t="s">
        <v>229</v>
      </c>
      <c r="I770" s="1" t="str">
        <f>("1208280156")</f>
        <v>1208280156</v>
      </c>
    </row>
    <row r="771" spans="1:10" x14ac:dyDescent="0.45">
      <c r="A771" s="2" t="str">
        <f t="shared" si="12"/>
        <v>稙田ＦＣサッカースポーツ少年団_4</v>
      </c>
      <c r="B771" s="1" t="s">
        <v>3979</v>
      </c>
      <c r="C771" s="1" t="str">
        <f>("4")</f>
        <v>4</v>
      </c>
      <c r="D771" s="1" t="s">
        <v>208</v>
      </c>
      <c r="E771" s="1" t="s">
        <v>9176</v>
      </c>
      <c r="F771" s="1" t="s">
        <v>9177</v>
      </c>
      <c r="G771" s="1">
        <v>5</v>
      </c>
      <c r="H771" s="1" t="s">
        <v>229</v>
      </c>
      <c r="I771" s="1" t="str">
        <f>("1208020198")</f>
        <v>1208020198</v>
      </c>
    </row>
    <row r="772" spans="1:10" x14ac:dyDescent="0.45">
      <c r="A772" s="2" t="str">
        <f t="shared" si="12"/>
        <v>稙田ＦＣサッカースポーツ少年団_5</v>
      </c>
      <c r="B772" s="1" t="s">
        <v>3979</v>
      </c>
      <c r="C772" s="1" t="str">
        <f>("5")</f>
        <v>5</v>
      </c>
      <c r="D772" s="1" t="s">
        <v>208</v>
      </c>
      <c r="E772" s="1" t="s">
        <v>6436</v>
      </c>
      <c r="F772" s="1" t="s">
        <v>6437</v>
      </c>
      <c r="G772" s="1">
        <v>6</v>
      </c>
      <c r="H772" s="1" t="s">
        <v>229</v>
      </c>
      <c r="I772" s="1" t="str">
        <f>("1109100157")</f>
        <v>1109100157</v>
      </c>
      <c r="J772" s="1" t="s">
        <v>1858</v>
      </c>
    </row>
    <row r="773" spans="1:10" x14ac:dyDescent="0.45">
      <c r="A773" s="2" t="str">
        <f t="shared" si="12"/>
        <v>稙田ＦＣサッカースポーツ少年団_6</v>
      </c>
      <c r="B773" s="1" t="s">
        <v>3979</v>
      </c>
      <c r="C773" s="1" t="str">
        <f>("6")</f>
        <v>6</v>
      </c>
      <c r="D773" s="1" t="s">
        <v>210</v>
      </c>
      <c r="E773" s="1" t="s">
        <v>9178</v>
      </c>
      <c r="F773" s="1" t="s">
        <v>9179</v>
      </c>
      <c r="G773" s="1">
        <v>5</v>
      </c>
      <c r="H773" s="1" t="s">
        <v>229</v>
      </c>
      <c r="I773" s="1" t="str">
        <f>("1212070152")</f>
        <v>1212070152</v>
      </c>
    </row>
    <row r="774" spans="1:10" x14ac:dyDescent="0.45">
      <c r="A774" s="2" t="str">
        <f t="shared" si="12"/>
        <v>稙田ＦＣサッカースポーツ少年団_7</v>
      </c>
      <c r="B774" s="1" t="s">
        <v>3979</v>
      </c>
      <c r="C774" s="1" t="str">
        <f>("7")</f>
        <v>7</v>
      </c>
      <c r="D774" s="1" t="s">
        <v>209</v>
      </c>
      <c r="E774" s="1" t="s">
        <v>9180</v>
      </c>
      <c r="F774" s="1" t="s">
        <v>9181</v>
      </c>
      <c r="G774" s="1">
        <v>6</v>
      </c>
      <c r="H774" s="1" t="s">
        <v>229</v>
      </c>
      <c r="I774" s="1" t="str">
        <f>("1108030053")</f>
        <v>1108030053</v>
      </c>
    </row>
    <row r="775" spans="1:10" x14ac:dyDescent="0.45">
      <c r="A775" s="2" t="str">
        <f t="shared" si="12"/>
        <v>稙田ＦＣサッカースポーツ少年団_8</v>
      </c>
      <c r="B775" s="1" t="s">
        <v>3979</v>
      </c>
      <c r="C775" s="1" t="str">
        <f>("8")</f>
        <v>8</v>
      </c>
      <c r="D775" s="1" t="s">
        <v>210</v>
      </c>
      <c r="E775" s="1" t="s">
        <v>9182</v>
      </c>
      <c r="F775" s="1" t="s">
        <v>9183</v>
      </c>
      <c r="G775" s="1">
        <v>4</v>
      </c>
      <c r="H775" s="1" t="s">
        <v>229</v>
      </c>
      <c r="I775" s="1" t="str">
        <f>("1304120137")</f>
        <v>1304120137</v>
      </c>
    </row>
    <row r="776" spans="1:10" x14ac:dyDescent="0.45">
      <c r="A776" s="2" t="str">
        <f t="shared" si="12"/>
        <v>稙田ＦＣサッカースポーツ少年団_9</v>
      </c>
      <c r="B776" s="1" t="s">
        <v>3979</v>
      </c>
      <c r="C776" s="1" t="str">
        <f>("9")</f>
        <v>9</v>
      </c>
      <c r="D776" s="1" t="s">
        <v>209</v>
      </c>
      <c r="E776" s="1" t="s">
        <v>6434</v>
      </c>
      <c r="F776" s="1" t="s">
        <v>6435</v>
      </c>
      <c r="G776" s="1">
        <v>6</v>
      </c>
      <c r="H776" s="1" t="s">
        <v>229</v>
      </c>
      <c r="I776" s="1" t="str">
        <f>("1112280128")</f>
        <v>1112280128</v>
      </c>
    </row>
    <row r="777" spans="1:10" x14ac:dyDescent="0.45">
      <c r="A777" s="2" t="str">
        <f t="shared" si="12"/>
        <v>稙田ＦＣサッカースポーツ少年団_10</v>
      </c>
      <c r="B777" s="1" t="s">
        <v>3979</v>
      </c>
      <c r="C777" s="1" t="str">
        <f>("10")</f>
        <v>10</v>
      </c>
      <c r="D777" s="1" t="s">
        <v>209</v>
      </c>
      <c r="E777" s="1" t="s">
        <v>9184</v>
      </c>
      <c r="F777" s="1" t="s">
        <v>9185</v>
      </c>
      <c r="G777" s="1">
        <v>5</v>
      </c>
      <c r="H777" s="1" t="s">
        <v>229</v>
      </c>
      <c r="I777" s="1" t="str">
        <f>("1303290094")</f>
        <v>1303290094</v>
      </c>
    </row>
    <row r="778" spans="1:10" x14ac:dyDescent="0.45">
      <c r="A778" s="2" t="str">
        <f t="shared" si="12"/>
        <v>稙田ＦＣサッカースポーツ少年団_11</v>
      </c>
      <c r="B778" s="1" t="s">
        <v>3979</v>
      </c>
      <c r="C778" s="1" t="str">
        <f>("11")</f>
        <v>11</v>
      </c>
      <c r="D778" s="1" t="s">
        <v>210</v>
      </c>
      <c r="E778" s="1" t="s">
        <v>9186</v>
      </c>
      <c r="F778" s="1" t="s">
        <v>9187</v>
      </c>
      <c r="G778" s="1">
        <v>6</v>
      </c>
      <c r="H778" s="1" t="s">
        <v>229</v>
      </c>
      <c r="I778" s="1" t="str">
        <f>("1106260117")</f>
        <v>1106260117</v>
      </c>
    </row>
    <row r="779" spans="1:10" x14ac:dyDescent="0.45">
      <c r="A779" s="2" t="str">
        <f t="shared" si="12"/>
        <v>稙田ＦＣサッカースポーツ少年団_15</v>
      </c>
      <c r="B779" s="1" t="s">
        <v>3979</v>
      </c>
      <c r="C779" s="1" t="str">
        <f>("15")</f>
        <v>15</v>
      </c>
      <c r="D779" s="1" t="s">
        <v>209</v>
      </c>
      <c r="E779" s="1" t="s">
        <v>9188</v>
      </c>
      <c r="F779" s="1" t="s">
        <v>9189</v>
      </c>
      <c r="G779" s="1">
        <v>4</v>
      </c>
      <c r="H779" s="1" t="s">
        <v>229</v>
      </c>
      <c r="I779" s="1" t="str">
        <f>("1312100111")</f>
        <v>1312100111</v>
      </c>
    </row>
    <row r="780" spans="1:10" x14ac:dyDescent="0.45">
      <c r="A780" s="2" t="str">
        <f t="shared" si="12"/>
        <v>稙田ＦＣサッカースポーツ少年団_16</v>
      </c>
      <c r="B780" s="1" t="s">
        <v>3979</v>
      </c>
      <c r="C780" s="1" t="str">
        <f>("16")</f>
        <v>16</v>
      </c>
      <c r="D780" s="1" t="s">
        <v>209</v>
      </c>
      <c r="E780" s="1" t="s">
        <v>9190</v>
      </c>
      <c r="F780" s="1" t="s">
        <v>9191</v>
      </c>
      <c r="G780" s="1">
        <v>3</v>
      </c>
      <c r="H780" s="1" t="s">
        <v>229</v>
      </c>
      <c r="I780" s="1" t="str">
        <f>("1412240071")</f>
        <v>1412240071</v>
      </c>
    </row>
    <row r="781" spans="1:10" x14ac:dyDescent="0.45">
      <c r="A781" s="2" t="str">
        <f t="shared" si="12"/>
        <v>北郡坂ノ市サッカースポーツ少年団_1</v>
      </c>
      <c r="B781" s="1" t="s">
        <v>3969</v>
      </c>
      <c r="C781" s="1" t="str">
        <f>("1")</f>
        <v>1</v>
      </c>
      <c r="D781" s="1" t="s">
        <v>207</v>
      </c>
      <c r="E781" s="1" t="s">
        <v>6454</v>
      </c>
      <c r="F781" s="1" t="s">
        <v>6455</v>
      </c>
      <c r="G781" s="1">
        <v>6</v>
      </c>
      <c r="H781" s="1" t="s">
        <v>229</v>
      </c>
      <c r="I781" s="1" t="str">
        <f>("1202280132")</f>
        <v>1202280132</v>
      </c>
    </row>
    <row r="782" spans="1:10" x14ac:dyDescent="0.45">
      <c r="A782" s="2" t="str">
        <f t="shared" si="12"/>
        <v>北郡坂ノ市サッカースポーツ少年団_2</v>
      </c>
      <c r="B782" s="1" t="s">
        <v>3969</v>
      </c>
      <c r="C782" s="1" t="str">
        <f>("2")</f>
        <v>2</v>
      </c>
      <c r="D782" s="1" t="s">
        <v>208</v>
      </c>
      <c r="E782" s="1" t="s">
        <v>6456</v>
      </c>
      <c r="F782" s="1" t="s">
        <v>6457</v>
      </c>
      <c r="G782" s="1">
        <v>6</v>
      </c>
      <c r="H782" s="1" t="s">
        <v>229</v>
      </c>
      <c r="I782" s="1" t="str">
        <f>("1110120161")</f>
        <v>1110120161</v>
      </c>
    </row>
    <row r="783" spans="1:10" x14ac:dyDescent="0.45">
      <c r="A783" s="2" t="str">
        <f t="shared" si="12"/>
        <v>北郡坂ノ市サッカースポーツ少年団_3</v>
      </c>
      <c r="B783" s="1" t="s">
        <v>3969</v>
      </c>
      <c r="C783" s="1" t="str">
        <f>("3")</f>
        <v>3</v>
      </c>
      <c r="D783" s="1" t="s">
        <v>208</v>
      </c>
      <c r="E783" s="1" t="s">
        <v>9192</v>
      </c>
      <c r="F783" s="1" t="s">
        <v>9193</v>
      </c>
      <c r="G783" s="1">
        <v>6</v>
      </c>
      <c r="H783" s="1" t="s">
        <v>229</v>
      </c>
      <c r="I783" s="1" t="str">
        <f>("1203210105")</f>
        <v>1203210105</v>
      </c>
    </row>
    <row r="784" spans="1:10" x14ac:dyDescent="0.45">
      <c r="A784" s="2" t="str">
        <f t="shared" si="12"/>
        <v>北郡坂ノ市サッカースポーツ少年団_4</v>
      </c>
      <c r="B784" s="1" t="s">
        <v>3969</v>
      </c>
      <c r="C784" s="1" t="str">
        <f>("4")</f>
        <v>4</v>
      </c>
      <c r="D784" s="1" t="s">
        <v>209</v>
      </c>
      <c r="E784" s="1" t="s">
        <v>9194</v>
      </c>
      <c r="F784" s="1" t="s">
        <v>9195</v>
      </c>
      <c r="G784" s="1">
        <v>6</v>
      </c>
      <c r="H784" s="1" t="s">
        <v>229</v>
      </c>
      <c r="I784" s="1" t="str">
        <f>("1202030112")</f>
        <v>1202030112</v>
      </c>
    </row>
    <row r="785" spans="1:10" x14ac:dyDescent="0.45">
      <c r="A785" s="2" t="str">
        <f t="shared" si="12"/>
        <v>北郡坂ノ市サッカースポーツ少年団_5</v>
      </c>
      <c r="B785" s="1" t="s">
        <v>3969</v>
      </c>
      <c r="C785" s="1" t="str">
        <f>("5")</f>
        <v>5</v>
      </c>
      <c r="D785" s="1" t="s">
        <v>208</v>
      </c>
      <c r="E785" s="1" t="s">
        <v>6442</v>
      </c>
      <c r="F785" s="1" t="s">
        <v>6443</v>
      </c>
      <c r="G785" s="1">
        <v>6</v>
      </c>
      <c r="H785" s="1" t="s">
        <v>229</v>
      </c>
      <c r="I785" s="1" t="str">
        <f>("1110300081")</f>
        <v>1110300081</v>
      </c>
    </row>
    <row r="786" spans="1:10" x14ac:dyDescent="0.45">
      <c r="A786" s="2" t="str">
        <f t="shared" si="12"/>
        <v>北郡坂ノ市サッカースポーツ少年団_6</v>
      </c>
      <c r="B786" s="1" t="s">
        <v>3969</v>
      </c>
      <c r="C786" s="1" t="str">
        <f>("6")</f>
        <v>6</v>
      </c>
      <c r="D786" s="1" t="s">
        <v>209</v>
      </c>
      <c r="E786" s="1" t="s">
        <v>6448</v>
      </c>
      <c r="F786" s="1" t="s">
        <v>6449</v>
      </c>
      <c r="G786" s="1">
        <v>6</v>
      </c>
      <c r="H786" s="1" t="s">
        <v>229</v>
      </c>
      <c r="I786" s="1" t="str">
        <f>("1111260120")</f>
        <v>1111260120</v>
      </c>
    </row>
    <row r="787" spans="1:10" x14ac:dyDescent="0.45">
      <c r="A787" s="2" t="str">
        <f t="shared" si="12"/>
        <v>北郡坂ノ市サッカースポーツ少年団_7</v>
      </c>
      <c r="B787" s="1" t="s">
        <v>3969</v>
      </c>
      <c r="C787" s="1" t="str">
        <f>("7")</f>
        <v>7</v>
      </c>
      <c r="D787" s="1" t="s">
        <v>210</v>
      </c>
      <c r="E787" s="1" t="s">
        <v>6452</v>
      </c>
      <c r="F787" s="1" t="s">
        <v>6453</v>
      </c>
      <c r="G787" s="1">
        <v>5</v>
      </c>
      <c r="H787" s="1" t="s">
        <v>229</v>
      </c>
      <c r="I787" s="1" t="str">
        <f>("1212020078")</f>
        <v>1212020078</v>
      </c>
    </row>
    <row r="788" spans="1:10" x14ac:dyDescent="0.45">
      <c r="A788" s="2" t="str">
        <f t="shared" si="12"/>
        <v>北郡坂ノ市サッカースポーツ少年団_8</v>
      </c>
      <c r="B788" s="1" t="s">
        <v>3969</v>
      </c>
      <c r="C788" s="1" t="str">
        <f>("8")</f>
        <v>8</v>
      </c>
      <c r="D788" s="1" t="s">
        <v>210</v>
      </c>
      <c r="E788" s="1" t="s">
        <v>6440</v>
      </c>
      <c r="F788" s="1" t="s">
        <v>6441</v>
      </c>
      <c r="G788" s="1">
        <v>6</v>
      </c>
      <c r="H788" s="1" t="s">
        <v>229</v>
      </c>
      <c r="I788" s="1" t="str">
        <f>("1203150120")</f>
        <v>1203150120</v>
      </c>
      <c r="J788" s="1" t="s">
        <v>1858</v>
      </c>
    </row>
    <row r="789" spans="1:10" x14ac:dyDescent="0.45">
      <c r="A789" s="2" t="str">
        <f t="shared" si="12"/>
        <v>北郡坂ノ市サッカースポーツ少年団_9</v>
      </c>
      <c r="B789" s="1" t="s">
        <v>3969</v>
      </c>
      <c r="C789" s="1" t="str">
        <f>("9")</f>
        <v>9</v>
      </c>
      <c r="D789" s="1" t="s">
        <v>210</v>
      </c>
      <c r="E789" s="1" t="s">
        <v>5445</v>
      </c>
      <c r="F789" s="1" t="s">
        <v>5446</v>
      </c>
      <c r="G789" s="1">
        <v>6</v>
      </c>
      <c r="H789" s="1" t="s">
        <v>229</v>
      </c>
      <c r="I789" s="1" t="str">
        <f>("1110030134")</f>
        <v>1110030134</v>
      </c>
    </row>
    <row r="790" spans="1:10" x14ac:dyDescent="0.45">
      <c r="A790" s="2" t="str">
        <f t="shared" si="12"/>
        <v>北郡坂ノ市サッカースポーツ少年団_11</v>
      </c>
      <c r="B790" s="1" t="s">
        <v>3969</v>
      </c>
      <c r="C790" s="1" t="str">
        <f>("11")</f>
        <v>11</v>
      </c>
      <c r="D790" s="1" t="s">
        <v>210</v>
      </c>
      <c r="E790" s="1" t="s">
        <v>6444</v>
      </c>
      <c r="F790" s="1" t="s">
        <v>6445</v>
      </c>
      <c r="G790" s="1">
        <v>6</v>
      </c>
      <c r="H790" s="1" t="s">
        <v>229</v>
      </c>
      <c r="I790" s="1" t="str">
        <f>("1104150148")</f>
        <v>1104150148</v>
      </c>
    </row>
    <row r="791" spans="1:10" x14ac:dyDescent="0.45">
      <c r="A791" s="2" t="str">
        <f t="shared" si="12"/>
        <v>北郡坂ノ市サッカースポーツ少年団_12</v>
      </c>
      <c r="B791" s="1" t="s">
        <v>3969</v>
      </c>
      <c r="C791" s="1" t="str">
        <f>("12")</f>
        <v>12</v>
      </c>
      <c r="D791" s="1" t="s">
        <v>209</v>
      </c>
      <c r="E791" s="1" t="s">
        <v>6446</v>
      </c>
      <c r="F791" s="1" t="s">
        <v>6447</v>
      </c>
      <c r="G791" s="1">
        <v>6</v>
      </c>
      <c r="H791" s="1" t="s">
        <v>229</v>
      </c>
      <c r="I791" s="1" t="str">
        <f>("1111260121")</f>
        <v>1111260121</v>
      </c>
    </row>
    <row r="792" spans="1:10" x14ac:dyDescent="0.45">
      <c r="A792" s="2" t="str">
        <f t="shared" si="12"/>
        <v>北郡坂ノ市サッカースポーツ少年団_13</v>
      </c>
      <c r="B792" s="1" t="s">
        <v>3969</v>
      </c>
      <c r="C792" s="1" t="str">
        <f>("13")</f>
        <v>13</v>
      </c>
      <c r="D792" s="1" t="s">
        <v>210</v>
      </c>
      <c r="E792" s="1" t="s">
        <v>6450</v>
      </c>
      <c r="F792" s="1" t="s">
        <v>6451</v>
      </c>
      <c r="G792" s="1">
        <v>5</v>
      </c>
      <c r="H792" s="1" t="s">
        <v>229</v>
      </c>
      <c r="I792" s="1" t="str">
        <f>("1211100098")</f>
        <v>1211100098</v>
      </c>
    </row>
    <row r="793" spans="1:10" x14ac:dyDescent="0.45">
      <c r="A793" s="2" t="str">
        <f t="shared" si="12"/>
        <v>北郡坂ノ市サッカースポーツ少年団_14</v>
      </c>
      <c r="B793" s="1" t="s">
        <v>3969</v>
      </c>
      <c r="C793" s="1" t="str">
        <f>("14")</f>
        <v>14</v>
      </c>
      <c r="D793" s="1" t="s">
        <v>208</v>
      </c>
      <c r="E793" s="1" t="s">
        <v>9196</v>
      </c>
      <c r="F793" s="1" t="s">
        <v>9197</v>
      </c>
      <c r="G793" s="1">
        <v>5</v>
      </c>
      <c r="H793" s="1" t="s">
        <v>229</v>
      </c>
      <c r="I793" s="1" t="str">
        <f>("1207270202")</f>
        <v>1207270202</v>
      </c>
    </row>
    <row r="794" spans="1:10" x14ac:dyDescent="0.45">
      <c r="A794" s="2" t="str">
        <f t="shared" si="12"/>
        <v>北郡坂ノ市サッカースポーツ少年団_15</v>
      </c>
      <c r="B794" s="1" t="s">
        <v>3969</v>
      </c>
      <c r="C794" s="1" t="str">
        <f>("15")</f>
        <v>15</v>
      </c>
      <c r="D794" s="1" t="s">
        <v>208</v>
      </c>
      <c r="E794" s="1" t="s">
        <v>9198</v>
      </c>
      <c r="F794" s="1" t="s">
        <v>9199</v>
      </c>
      <c r="G794" s="1">
        <v>6</v>
      </c>
      <c r="H794" s="1" t="s">
        <v>229</v>
      </c>
      <c r="I794" s="1" t="str">
        <f>("1004040195")</f>
        <v>1004040195</v>
      </c>
    </row>
    <row r="795" spans="1:10" x14ac:dyDescent="0.45">
      <c r="A795" s="2" t="str">
        <f t="shared" si="12"/>
        <v>北郡坂ノ市サッカースポーツ少年団_16</v>
      </c>
      <c r="B795" s="1" t="s">
        <v>3969</v>
      </c>
      <c r="C795" s="1" t="str">
        <f>("16")</f>
        <v>16</v>
      </c>
      <c r="D795" s="1" t="s">
        <v>209</v>
      </c>
      <c r="E795" s="1" t="s">
        <v>9200</v>
      </c>
      <c r="F795" s="1" t="s">
        <v>9201</v>
      </c>
      <c r="G795" s="1">
        <v>5</v>
      </c>
      <c r="H795" s="1" t="s">
        <v>229</v>
      </c>
      <c r="I795" s="1" t="str">
        <f>("1207300178")</f>
        <v>1207300178</v>
      </c>
    </row>
    <row r="796" spans="1:10" x14ac:dyDescent="0.45">
      <c r="A796" s="2" t="str">
        <f t="shared" si="12"/>
        <v>北郡坂ノ市サッカースポーツ少年団_19</v>
      </c>
      <c r="B796" s="1" t="s">
        <v>3969</v>
      </c>
      <c r="C796" s="1" t="str">
        <f>("19")</f>
        <v>19</v>
      </c>
      <c r="D796" s="1" t="s">
        <v>207</v>
      </c>
      <c r="E796" s="1" t="s">
        <v>9202</v>
      </c>
      <c r="F796" s="1" t="s">
        <v>6691</v>
      </c>
      <c r="G796" s="1">
        <v>5</v>
      </c>
      <c r="H796" s="1" t="s">
        <v>229</v>
      </c>
      <c r="I796" s="1" t="str">
        <f>("1211160152")</f>
        <v>1211160152</v>
      </c>
    </row>
    <row r="797" spans="1:10" x14ac:dyDescent="0.45">
      <c r="A797" s="2" t="str">
        <f t="shared" si="12"/>
        <v>田尻サッカースポーツ少年団_1</v>
      </c>
      <c r="B797" s="1" t="s">
        <v>9203</v>
      </c>
      <c r="C797" s="1" t="str">
        <f>("1")</f>
        <v>1</v>
      </c>
      <c r="D797" s="1" t="s">
        <v>207</v>
      </c>
      <c r="E797" s="1" t="s">
        <v>9204</v>
      </c>
      <c r="F797" s="1" t="s">
        <v>9205</v>
      </c>
      <c r="G797" s="1">
        <v>6</v>
      </c>
      <c r="H797" s="1" t="s">
        <v>229</v>
      </c>
      <c r="I797" s="1" t="str">
        <f>("1107150085")</f>
        <v>1107150085</v>
      </c>
    </row>
    <row r="798" spans="1:10" x14ac:dyDescent="0.45">
      <c r="A798" s="2" t="str">
        <f t="shared" si="12"/>
        <v>田尻サッカースポーツ少年団_2</v>
      </c>
      <c r="B798" s="1" t="s">
        <v>9203</v>
      </c>
      <c r="C798" s="1" t="str">
        <f>("2")</f>
        <v>2</v>
      </c>
      <c r="D798" s="1" t="s">
        <v>209</v>
      </c>
      <c r="E798" s="1" t="s">
        <v>9206</v>
      </c>
      <c r="F798" s="1" t="s">
        <v>9207</v>
      </c>
      <c r="G798" s="1">
        <v>5</v>
      </c>
      <c r="H798" s="1" t="s">
        <v>231</v>
      </c>
      <c r="I798" s="1" t="str">
        <f>("1209260082")</f>
        <v>1209260082</v>
      </c>
    </row>
    <row r="799" spans="1:10" x14ac:dyDescent="0.45">
      <c r="A799" s="2" t="str">
        <f t="shared" si="12"/>
        <v>田尻サッカースポーツ少年団_3</v>
      </c>
      <c r="B799" s="1" t="s">
        <v>9203</v>
      </c>
      <c r="C799" s="1" t="str">
        <f>("3")</f>
        <v>3</v>
      </c>
      <c r="D799" s="1" t="s">
        <v>209</v>
      </c>
      <c r="E799" s="1" t="s">
        <v>9208</v>
      </c>
      <c r="F799" s="1" t="s">
        <v>9209</v>
      </c>
      <c r="G799" s="1">
        <v>4</v>
      </c>
      <c r="H799" s="1" t="s">
        <v>229</v>
      </c>
      <c r="I799" s="1" t="str">
        <f>("1310030021")</f>
        <v>1310030021</v>
      </c>
    </row>
    <row r="800" spans="1:10" x14ac:dyDescent="0.45">
      <c r="A800" s="2" t="str">
        <f t="shared" si="12"/>
        <v>田尻サッカースポーツ少年団_4</v>
      </c>
      <c r="B800" s="1" t="s">
        <v>9203</v>
      </c>
      <c r="C800" s="1" t="str">
        <f>("4")</f>
        <v>4</v>
      </c>
      <c r="D800" s="1" t="s">
        <v>209</v>
      </c>
      <c r="E800" s="1" t="s">
        <v>9210</v>
      </c>
      <c r="F800" s="1" t="s">
        <v>9211</v>
      </c>
      <c r="G800" s="1">
        <v>4</v>
      </c>
      <c r="H800" s="1" t="s">
        <v>229</v>
      </c>
      <c r="I800" s="1" t="str">
        <f>("1312270086")</f>
        <v>1312270086</v>
      </c>
    </row>
    <row r="801" spans="1:10" x14ac:dyDescent="0.45">
      <c r="A801" s="2" t="str">
        <f t="shared" si="12"/>
        <v>田尻サッカースポーツ少年団_5</v>
      </c>
      <c r="B801" s="1" t="s">
        <v>9203</v>
      </c>
      <c r="C801" s="1" t="str">
        <f>("5")</f>
        <v>5</v>
      </c>
      <c r="D801" s="1" t="s">
        <v>208</v>
      </c>
      <c r="E801" s="1" t="s">
        <v>6755</v>
      </c>
      <c r="F801" s="1" t="s">
        <v>9212</v>
      </c>
      <c r="G801" s="1">
        <v>6</v>
      </c>
      <c r="H801" s="1" t="s">
        <v>229</v>
      </c>
      <c r="I801" s="1" t="str">
        <f>("1106070145")</f>
        <v>1106070145</v>
      </c>
    </row>
    <row r="802" spans="1:10" x14ac:dyDescent="0.45">
      <c r="A802" s="2" t="str">
        <f t="shared" si="12"/>
        <v>田尻サッカースポーツ少年団_6</v>
      </c>
      <c r="B802" s="1" t="s">
        <v>9203</v>
      </c>
      <c r="C802" s="1" t="str">
        <f>("6")</f>
        <v>6</v>
      </c>
      <c r="D802" s="1" t="s">
        <v>209</v>
      </c>
      <c r="E802" s="1" t="s">
        <v>9213</v>
      </c>
      <c r="F802" s="1" t="s">
        <v>9214</v>
      </c>
      <c r="G802" s="1">
        <v>4</v>
      </c>
      <c r="H802" s="1" t="s">
        <v>229</v>
      </c>
      <c r="I802" s="1" t="str">
        <f>("1403210077")</f>
        <v>1403210077</v>
      </c>
    </row>
    <row r="803" spans="1:10" x14ac:dyDescent="0.45">
      <c r="A803" s="2" t="str">
        <f t="shared" si="12"/>
        <v>田尻サッカースポーツ少年団_7</v>
      </c>
      <c r="B803" s="1" t="s">
        <v>9203</v>
      </c>
      <c r="C803" s="1" t="str">
        <f>("7")</f>
        <v>7</v>
      </c>
      <c r="D803" s="1" t="s">
        <v>208</v>
      </c>
      <c r="E803" s="1" t="s">
        <v>9215</v>
      </c>
      <c r="F803" s="1" t="s">
        <v>9216</v>
      </c>
      <c r="G803" s="1">
        <v>6</v>
      </c>
      <c r="H803" s="1" t="s">
        <v>229</v>
      </c>
      <c r="I803" s="1" t="str">
        <f>("1201220057")</f>
        <v>1201220057</v>
      </c>
    </row>
    <row r="804" spans="1:10" x14ac:dyDescent="0.45">
      <c r="A804" s="2" t="str">
        <f t="shared" si="12"/>
        <v>田尻サッカースポーツ少年団_8</v>
      </c>
      <c r="B804" s="1" t="s">
        <v>9203</v>
      </c>
      <c r="C804" s="1" t="str">
        <f>("8")</f>
        <v>8</v>
      </c>
      <c r="D804" s="1" t="s">
        <v>210</v>
      </c>
      <c r="E804" s="1" t="s">
        <v>9217</v>
      </c>
      <c r="F804" s="1" t="s">
        <v>9218</v>
      </c>
      <c r="G804" s="1">
        <v>5</v>
      </c>
      <c r="H804" s="1" t="s">
        <v>229</v>
      </c>
      <c r="I804" s="1" t="str">
        <f>("1204300076")</f>
        <v>1204300076</v>
      </c>
    </row>
    <row r="805" spans="1:10" x14ac:dyDescent="0.45">
      <c r="A805" s="2" t="str">
        <f t="shared" si="12"/>
        <v>田尻サッカースポーツ少年団_9</v>
      </c>
      <c r="B805" s="1" t="s">
        <v>9203</v>
      </c>
      <c r="C805" s="1" t="str">
        <f>("9")</f>
        <v>9</v>
      </c>
      <c r="D805" s="1" t="s">
        <v>209</v>
      </c>
      <c r="E805" s="1" t="s">
        <v>5663</v>
      </c>
      <c r="F805" s="1" t="s">
        <v>5664</v>
      </c>
      <c r="G805" s="1">
        <v>6</v>
      </c>
      <c r="H805" s="1" t="s">
        <v>229</v>
      </c>
      <c r="I805" s="1" t="str">
        <f>("1110120030")</f>
        <v>1110120030</v>
      </c>
    </row>
    <row r="806" spans="1:10" x14ac:dyDescent="0.45">
      <c r="A806" s="2" t="str">
        <f t="shared" si="12"/>
        <v>田尻サッカースポーツ少年団_10</v>
      </c>
      <c r="B806" s="1" t="s">
        <v>9203</v>
      </c>
      <c r="C806" s="1" t="str">
        <f>("10")</f>
        <v>10</v>
      </c>
      <c r="D806" s="1" t="s">
        <v>208</v>
      </c>
      <c r="E806" s="1" t="s">
        <v>9219</v>
      </c>
      <c r="F806" s="1" t="s">
        <v>9220</v>
      </c>
      <c r="G806" s="1">
        <v>6</v>
      </c>
      <c r="H806" s="1" t="s">
        <v>229</v>
      </c>
      <c r="I806" s="1" t="str">
        <f>("1110050098")</f>
        <v>1110050098</v>
      </c>
      <c r="J806" s="1" t="s">
        <v>1858</v>
      </c>
    </row>
    <row r="807" spans="1:10" x14ac:dyDescent="0.45">
      <c r="A807" s="2" t="str">
        <f t="shared" si="12"/>
        <v>田尻サッカースポーツ少年団_11</v>
      </c>
      <c r="B807" s="1" t="s">
        <v>9203</v>
      </c>
      <c r="C807" s="1" t="str">
        <f>("11")</f>
        <v>11</v>
      </c>
      <c r="D807" s="1" t="s">
        <v>210</v>
      </c>
      <c r="E807" s="1" t="s">
        <v>9221</v>
      </c>
      <c r="F807" s="1" t="s">
        <v>9222</v>
      </c>
      <c r="G807" s="1">
        <v>4</v>
      </c>
      <c r="H807" s="1" t="s">
        <v>229</v>
      </c>
      <c r="I807" s="1" t="str">
        <f>("1312280023")</f>
        <v>1312280023</v>
      </c>
    </row>
    <row r="808" spans="1:10" x14ac:dyDescent="0.45">
      <c r="A808" s="2" t="str">
        <f t="shared" si="12"/>
        <v>田尻サッカースポーツ少年団_12</v>
      </c>
      <c r="B808" s="1" t="s">
        <v>9203</v>
      </c>
      <c r="C808" s="1" t="str">
        <f>("12")</f>
        <v>12</v>
      </c>
      <c r="D808" s="1" t="s">
        <v>209</v>
      </c>
      <c r="E808" s="1" t="s">
        <v>9223</v>
      </c>
      <c r="F808" s="1" t="s">
        <v>9224</v>
      </c>
      <c r="G808" s="1">
        <v>4</v>
      </c>
      <c r="H808" s="1" t="s">
        <v>229</v>
      </c>
      <c r="I808" s="1" t="str">
        <f>("1310100033")</f>
        <v>1310100033</v>
      </c>
    </row>
    <row r="809" spans="1:10" x14ac:dyDescent="0.45">
      <c r="A809" s="2" t="str">
        <f t="shared" si="12"/>
        <v>田尻サッカースポーツ少年団_13</v>
      </c>
      <c r="B809" s="1" t="s">
        <v>9203</v>
      </c>
      <c r="C809" s="1" t="str">
        <f>("13")</f>
        <v>13</v>
      </c>
      <c r="D809" s="1" t="s">
        <v>208</v>
      </c>
      <c r="E809" s="1" t="s">
        <v>9225</v>
      </c>
      <c r="F809" s="1" t="s">
        <v>8144</v>
      </c>
      <c r="G809" s="1">
        <v>4</v>
      </c>
      <c r="H809" s="1" t="s">
        <v>229</v>
      </c>
      <c r="I809" s="1" t="str">
        <f>("1311230069")</f>
        <v>1311230069</v>
      </c>
    </row>
    <row r="810" spans="1:10" x14ac:dyDescent="0.45">
      <c r="A810" s="2" t="str">
        <f t="shared" si="12"/>
        <v>田尻サッカースポーツ少年団_14</v>
      </c>
      <c r="B810" s="1" t="s">
        <v>9203</v>
      </c>
      <c r="C810" s="1" t="str">
        <f>("14")</f>
        <v>14</v>
      </c>
      <c r="D810" s="1" t="s">
        <v>209</v>
      </c>
      <c r="E810" s="1" t="s">
        <v>9226</v>
      </c>
      <c r="F810" s="1" t="s">
        <v>9227</v>
      </c>
      <c r="G810" s="1">
        <v>4</v>
      </c>
      <c r="H810" s="1" t="s">
        <v>231</v>
      </c>
      <c r="I810" s="1" t="str">
        <f>("1401260014")</f>
        <v>1401260014</v>
      </c>
    </row>
    <row r="811" spans="1:10" x14ac:dyDescent="0.45">
      <c r="A811" s="2" t="str">
        <f t="shared" si="12"/>
        <v>田尻サッカースポーツ少年団_16</v>
      </c>
      <c r="B811" s="1" t="s">
        <v>9203</v>
      </c>
      <c r="C811" s="1" t="str">
        <f>("16")</f>
        <v>16</v>
      </c>
      <c r="D811" s="1" t="s">
        <v>209</v>
      </c>
      <c r="E811" s="1" t="s">
        <v>9228</v>
      </c>
      <c r="F811" s="1" t="s">
        <v>9229</v>
      </c>
      <c r="G811" s="1">
        <v>4</v>
      </c>
      <c r="H811" s="1" t="s">
        <v>229</v>
      </c>
      <c r="I811" s="1" t="str">
        <f>("1310030053")</f>
        <v>1310030053</v>
      </c>
    </row>
    <row r="812" spans="1:10" x14ac:dyDescent="0.45">
      <c r="A812" s="2" t="str">
        <f t="shared" si="12"/>
        <v>田尻サッカースポーツ少年団_18</v>
      </c>
      <c r="B812" s="1" t="s">
        <v>9203</v>
      </c>
      <c r="C812" s="1" t="str">
        <f>("18")</f>
        <v>18</v>
      </c>
      <c r="D812" s="1" t="s">
        <v>207</v>
      </c>
      <c r="E812" s="1" t="s">
        <v>9230</v>
      </c>
      <c r="F812" s="1" t="s">
        <v>9231</v>
      </c>
      <c r="G812" s="1">
        <v>5</v>
      </c>
      <c r="H812" s="1" t="s">
        <v>229</v>
      </c>
      <c r="I812" s="1" t="str">
        <f>("1209250080")</f>
        <v>1209250080</v>
      </c>
    </row>
    <row r="813" spans="1:10" x14ac:dyDescent="0.45">
      <c r="A813" s="2" t="str">
        <f t="shared" si="12"/>
        <v>桃園サッカースポーツ少年団_1</v>
      </c>
      <c r="B813" s="1" t="s">
        <v>3975</v>
      </c>
      <c r="C813" s="1" t="str">
        <f>("1")</f>
        <v>1</v>
      </c>
      <c r="D813" s="1" t="s">
        <v>207</v>
      </c>
      <c r="E813" s="1" t="s">
        <v>5456</v>
      </c>
      <c r="F813" s="1" t="s">
        <v>5457</v>
      </c>
      <c r="G813" s="1">
        <v>6</v>
      </c>
      <c r="H813" s="1" t="s">
        <v>229</v>
      </c>
      <c r="I813" s="1" t="str">
        <f>("1106300012")</f>
        <v>1106300012</v>
      </c>
    </row>
    <row r="814" spans="1:10" x14ac:dyDescent="0.45">
      <c r="A814" s="2" t="str">
        <f t="shared" si="12"/>
        <v>桃園サッカースポーツ少年団_2</v>
      </c>
      <c r="B814" s="1" t="s">
        <v>3975</v>
      </c>
      <c r="C814" s="1" t="str">
        <f>("2")</f>
        <v>2</v>
      </c>
      <c r="D814" s="1" t="s">
        <v>208</v>
      </c>
      <c r="E814" s="1" t="s">
        <v>9232</v>
      </c>
      <c r="F814" s="1" t="s">
        <v>9233</v>
      </c>
      <c r="G814" s="1">
        <v>5</v>
      </c>
      <c r="H814" s="1" t="s">
        <v>229</v>
      </c>
      <c r="I814" s="1" t="str">
        <f>("1204060018")</f>
        <v>1204060018</v>
      </c>
    </row>
    <row r="815" spans="1:10" x14ac:dyDescent="0.45">
      <c r="A815" s="2" t="str">
        <f t="shared" si="12"/>
        <v>桃園サッカースポーツ少年団_3</v>
      </c>
      <c r="B815" s="1" t="s">
        <v>3975</v>
      </c>
      <c r="C815" s="1" t="str">
        <f>("3")</f>
        <v>3</v>
      </c>
      <c r="D815" s="1" t="s">
        <v>208</v>
      </c>
      <c r="E815" s="1" t="s">
        <v>6468</v>
      </c>
      <c r="F815" s="1" t="s">
        <v>6469</v>
      </c>
      <c r="G815" s="1">
        <v>6</v>
      </c>
      <c r="H815" s="1" t="s">
        <v>229</v>
      </c>
      <c r="I815" s="1" t="str">
        <f>("1109050012")</f>
        <v>1109050012</v>
      </c>
    </row>
    <row r="816" spans="1:10" x14ac:dyDescent="0.45">
      <c r="A816" s="2" t="str">
        <f t="shared" si="12"/>
        <v>桃園サッカースポーツ少年団_4</v>
      </c>
      <c r="B816" s="1" t="s">
        <v>3975</v>
      </c>
      <c r="C816" s="1" t="str">
        <f>("4")</f>
        <v>4</v>
      </c>
      <c r="D816" s="1" t="s">
        <v>208</v>
      </c>
      <c r="E816" s="1" t="s">
        <v>6464</v>
      </c>
      <c r="F816" s="1" t="s">
        <v>6465</v>
      </c>
      <c r="G816" s="1">
        <v>6</v>
      </c>
      <c r="H816" s="1" t="s">
        <v>229</v>
      </c>
      <c r="I816" s="1" t="str">
        <f>("1107060171")</f>
        <v>1107060171</v>
      </c>
    </row>
    <row r="817" spans="1:10" x14ac:dyDescent="0.45">
      <c r="A817" s="2" t="str">
        <f t="shared" si="12"/>
        <v>桃園サッカースポーツ少年団_5</v>
      </c>
      <c r="B817" s="1" t="s">
        <v>3975</v>
      </c>
      <c r="C817" s="1" t="str">
        <f>("5")</f>
        <v>5</v>
      </c>
      <c r="D817" s="1" t="s">
        <v>209</v>
      </c>
      <c r="E817" s="1" t="s">
        <v>9234</v>
      </c>
      <c r="F817" s="1" t="s">
        <v>9235</v>
      </c>
      <c r="G817" s="1">
        <v>5</v>
      </c>
      <c r="H817" s="1" t="s">
        <v>229</v>
      </c>
      <c r="I817" s="1" t="str">
        <f>("1301250010")</f>
        <v>1301250010</v>
      </c>
    </row>
    <row r="818" spans="1:10" x14ac:dyDescent="0.45">
      <c r="A818" s="2" t="str">
        <f t="shared" si="12"/>
        <v>桃園サッカースポーツ少年団_6</v>
      </c>
      <c r="B818" s="1" t="s">
        <v>3975</v>
      </c>
      <c r="C818" s="1" t="str">
        <f>("6")</f>
        <v>6</v>
      </c>
      <c r="D818" s="1" t="s">
        <v>209</v>
      </c>
      <c r="E818" s="1" t="s">
        <v>6466</v>
      </c>
      <c r="F818" s="1" t="s">
        <v>6467</v>
      </c>
      <c r="G818" s="1">
        <v>6</v>
      </c>
      <c r="H818" s="1" t="s">
        <v>231</v>
      </c>
      <c r="I818" s="1" t="str">
        <f>("1106250011")</f>
        <v>1106250011</v>
      </c>
    </row>
    <row r="819" spans="1:10" x14ac:dyDescent="0.45">
      <c r="A819" s="2" t="str">
        <f t="shared" si="12"/>
        <v>桃園サッカースポーツ少年団_7</v>
      </c>
      <c r="B819" s="1" t="s">
        <v>3975</v>
      </c>
      <c r="C819" s="1" t="str">
        <f>("7")</f>
        <v>7</v>
      </c>
      <c r="D819" s="1" t="s">
        <v>210</v>
      </c>
      <c r="E819" s="1" t="s">
        <v>5458</v>
      </c>
      <c r="F819" s="1" t="s">
        <v>5459</v>
      </c>
      <c r="G819" s="1">
        <v>6</v>
      </c>
      <c r="H819" s="1" t="s">
        <v>229</v>
      </c>
      <c r="I819" s="1" t="str">
        <f>("1104020011")</f>
        <v>1104020011</v>
      </c>
      <c r="J819" s="1" t="s">
        <v>1858</v>
      </c>
    </row>
    <row r="820" spans="1:10" x14ac:dyDescent="0.45">
      <c r="A820" s="2" t="str">
        <f t="shared" si="12"/>
        <v>桃園サッカースポーツ少年団_8</v>
      </c>
      <c r="B820" s="1" t="s">
        <v>3975</v>
      </c>
      <c r="C820" s="1" t="str">
        <f>("8")</f>
        <v>8</v>
      </c>
      <c r="D820" s="1" t="s">
        <v>209</v>
      </c>
      <c r="E820" s="1" t="s">
        <v>9236</v>
      </c>
      <c r="F820" s="1" t="s">
        <v>9237</v>
      </c>
      <c r="G820" s="1">
        <v>5</v>
      </c>
      <c r="H820" s="1" t="s">
        <v>231</v>
      </c>
      <c r="I820" s="1" t="str">
        <f>("1206110013")</f>
        <v>1206110013</v>
      </c>
    </row>
    <row r="821" spans="1:10" x14ac:dyDescent="0.45">
      <c r="A821" s="2" t="str">
        <f t="shared" si="12"/>
        <v>桃園サッカースポーツ少年団_9</v>
      </c>
      <c r="B821" s="1" t="s">
        <v>3975</v>
      </c>
      <c r="C821" s="1" t="str">
        <f>("9")</f>
        <v>9</v>
      </c>
      <c r="D821" s="1" t="s">
        <v>210</v>
      </c>
      <c r="E821" s="1" t="s">
        <v>6462</v>
      </c>
      <c r="F821" s="1" t="s">
        <v>6463</v>
      </c>
      <c r="G821" s="1">
        <v>6</v>
      </c>
      <c r="H821" s="1" t="s">
        <v>229</v>
      </c>
      <c r="I821" s="1" t="str">
        <f>("1106300011")</f>
        <v>1106300011</v>
      </c>
    </row>
    <row r="822" spans="1:10" x14ac:dyDescent="0.45">
      <c r="A822" s="2" t="str">
        <f t="shared" si="12"/>
        <v>桃園サッカースポーツ少年団_10</v>
      </c>
      <c r="B822" s="1" t="s">
        <v>3975</v>
      </c>
      <c r="C822" s="1" t="str">
        <f>("10")</f>
        <v>10</v>
      </c>
      <c r="D822" s="1" t="s">
        <v>209</v>
      </c>
      <c r="E822" s="1" t="s">
        <v>5460</v>
      </c>
      <c r="F822" s="1" t="s">
        <v>5461</v>
      </c>
      <c r="G822" s="1">
        <v>6</v>
      </c>
      <c r="H822" s="1" t="s">
        <v>229</v>
      </c>
      <c r="I822" s="1" t="str">
        <f>("1108150011")</f>
        <v>1108150011</v>
      </c>
    </row>
    <row r="823" spans="1:10" x14ac:dyDescent="0.45">
      <c r="A823" s="2" t="str">
        <f t="shared" si="12"/>
        <v>桃園サッカースポーツ少年団_11</v>
      </c>
      <c r="B823" s="1" t="s">
        <v>3975</v>
      </c>
      <c r="C823" s="1" t="str">
        <f>("11")</f>
        <v>11</v>
      </c>
      <c r="D823" s="1" t="s">
        <v>210</v>
      </c>
      <c r="E823" s="1" t="s">
        <v>9238</v>
      </c>
      <c r="F823" s="1" t="s">
        <v>9239</v>
      </c>
      <c r="G823" s="1">
        <v>5</v>
      </c>
      <c r="H823" s="1" t="s">
        <v>229</v>
      </c>
      <c r="I823" s="1" t="str">
        <f>("1204200216")</f>
        <v>1204200216</v>
      </c>
    </row>
    <row r="824" spans="1:10" x14ac:dyDescent="0.45">
      <c r="A824" s="2" t="str">
        <f t="shared" si="12"/>
        <v>桃園サッカースポーツ少年団_12</v>
      </c>
      <c r="B824" s="1" t="s">
        <v>3975</v>
      </c>
      <c r="C824" s="1" t="str">
        <f>("12")</f>
        <v>12</v>
      </c>
      <c r="D824" s="1" t="s">
        <v>207</v>
      </c>
      <c r="E824" s="1" t="s">
        <v>9240</v>
      </c>
      <c r="F824" s="1" t="s">
        <v>9241</v>
      </c>
      <c r="G824" s="1">
        <v>4</v>
      </c>
      <c r="H824" s="1" t="s">
        <v>229</v>
      </c>
      <c r="I824" s="1" t="str">
        <f>("1403120004")</f>
        <v>1403120004</v>
      </c>
    </row>
    <row r="825" spans="1:10" x14ac:dyDescent="0.45">
      <c r="A825" s="2" t="str">
        <f t="shared" si="12"/>
        <v>桃園サッカースポーツ少年団_13</v>
      </c>
      <c r="B825" s="1" t="s">
        <v>3975</v>
      </c>
      <c r="C825" s="1" t="str">
        <f>("13")</f>
        <v>13</v>
      </c>
      <c r="D825" s="1" t="s">
        <v>209</v>
      </c>
      <c r="E825" s="1" t="s">
        <v>9242</v>
      </c>
      <c r="F825" s="1" t="s">
        <v>9243</v>
      </c>
      <c r="G825" s="1">
        <v>5</v>
      </c>
      <c r="H825" s="1" t="s">
        <v>229</v>
      </c>
      <c r="I825" s="1" t="str">
        <f>("1212100007")</f>
        <v>1212100007</v>
      </c>
    </row>
    <row r="826" spans="1:10" x14ac:dyDescent="0.45">
      <c r="A826" s="2" t="str">
        <f t="shared" si="12"/>
        <v>桃園サッカースポーツ少年団_14</v>
      </c>
      <c r="B826" s="1" t="s">
        <v>3975</v>
      </c>
      <c r="C826" s="1" t="str">
        <f>("14")</f>
        <v>14</v>
      </c>
      <c r="D826" s="1" t="s">
        <v>210</v>
      </c>
      <c r="E826" s="1" t="s">
        <v>9244</v>
      </c>
      <c r="F826" s="1" t="s">
        <v>9245</v>
      </c>
      <c r="G826" s="1">
        <v>5</v>
      </c>
      <c r="H826" s="1" t="s">
        <v>229</v>
      </c>
      <c r="I826" s="1" t="str">
        <f>("1204200215")</f>
        <v>1204200215</v>
      </c>
    </row>
    <row r="827" spans="1:10" x14ac:dyDescent="0.45">
      <c r="A827" s="2" t="str">
        <f t="shared" si="12"/>
        <v>桃園サッカースポーツ少年団_15</v>
      </c>
      <c r="B827" s="1" t="s">
        <v>3975</v>
      </c>
      <c r="C827" s="1" t="str">
        <f>("15")</f>
        <v>15</v>
      </c>
      <c r="D827" s="1" t="s">
        <v>210</v>
      </c>
      <c r="E827" s="1" t="s">
        <v>9246</v>
      </c>
      <c r="F827" s="1" t="s">
        <v>9247</v>
      </c>
      <c r="G827" s="1">
        <v>4</v>
      </c>
      <c r="H827" s="1" t="s">
        <v>229</v>
      </c>
      <c r="I827" s="1" t="str">
        <f>("1306110007")</f>
        <v>1306110007</v>
      </c>
    </row>
    <row r="828" spans="1:10" x14ac:dyDescent="0.45">
      <c r="A828" s="2" t="str">
        <f t="shared" si="12"/>
        <v>日出サッカースポーツ少年団_1</v>
      </c>
      <c r="B828" s="1" t="s">
        <v>5005</v>
      </c>
      <c r="C828" s="1" t="str">
        <f>("1")</f>
        <v>1</v>
      </c>
      <c r="D828" s="1" t="s">
        <v>207</v>
      </c>
      <c r="E828" s="1" t="s">
        <v>5465</v>
      </c>
      <c r="F828" s="1" t="s">
        <v>5466</v>
      </c>
      <c r="G828" s="1">
        <v>6</v>
      </c>
      <c r="H828" s="1" t="s">
        <v>229</v>
      </c>
      <c r="I828" s="1" t="str">
        <f>("1107230094")</f>
        <v>1107230094</v>
      </c>
    </row>
    <row r="829" spans="1:10" x14ac:dyDescent="0.45">
      <c r="A829" s="2" t="str">
        <f t="shared" si="12"/>
        <v>日出サッカースポーツ少年団_2</v>
      </c>
      <c r="B829" s="1" t="s">
        <v>5005</v>
      </c>
      <c r="C829" s="1" t="str">
        <f>("2")</f>
        <v>2</v>
      </c>
      <c r="D829" s="1" t="s">
        <v>210</v>
      </c>
      <c r="E829" s="1" t="s">
        <v>9248</v>
      </c>
      <c r="F829" s="1" t="s">
        <v>9249</v>
      </c>
      <c r="G829" s="1">
        <v>5</v>
      </c>
      <c r="H829" s="1" t="s">
        <v>229</v>
      </c>
      <c r="I829" s="1" t="str">
        <f>("1301060123")</f>
        <v>1301060123</v>
      </c>
    </row>
    <row r="830" spans="1:10" x14ac:dyDescent="0.45">
      <c r="A830" s="2" t="str">
        <f t="shared" si="12"/>
        <v>日出サッカースポーツ少年団_3</v>
      </c>
      <c r="B830" s="1" t="s">
        <v>5005</v>
      </c>
      <c r="C830" s="1" t="str">
        <f>("3")</f>
        <v>3</v>
      </c>
      <c r="D830" s="1" t="s">
        <v>209</v>
      </c>
      <c r="E830" s="1" t="s">
        <v>9250</v>
      </c>
      <c r="F830" s="1" t="s">
        <v>9251</v>
      </c>
      <c r="G830" s="1">
        <v>3</v>
      </c>
      <c r="H830" s="1" t="s">
        <v>229</v>
      </c>
      <c r="I830" s="1" t="str">
        <f>("1404160052")</f>
        <v>1404160052</v>
      </c>
    </row>
    <row r="831" spans="1:10" x14ac:dyDescent="0.45">
      <c r="A831" s="2" t="str">
        <f t="shared" si="12"/>
        <v>日出サッカースポーツ少年団_4</v>
      </c>
      <c r="B831" s="1" t="s">
        <v>5005</v>
      </c>
      <c r="C831" s="1" t="str">
        <f>("4")</f>
        <v>4</v>
      </c>
      <c r="D831" s="1" t="s">
        <v>209</v>
      </c>
      <c r="E831" s="1" t="s">
        <v>9252</v>
      </c>
      <c r="F831" s="1" t="s">
        <v>9253</v>
      </c>
      <c r="G831" s="1">
        <v>3</v>
      </c>
      <c r="H831" s="1" t="s">
        <v>229</v>
      </c>
      <c r="I831" s="1" t="str">
        <f>("1406100027")</f>
        <v>1406100027</v>
      </c>
    </row>
    <row r="832" spans="1:10" x14ac:dyDescent="0.45">
      <c r="A832" s="2" t="str">
        <f t="shared" si="12"/>
        <v>日出サッカースポーツ少年団_5</v>
      </c>
      <c r="B832" s="1" t="s">
        <v>5005</v>
      </c>
      <c r="C832" s="1" t="str">
        <f>("5")</f>
        <v>5</v>
      </c>
      <c r="D832" s="1" t="s">
        <v>210</v>
      </c>
      <c r="E832" s="1" t="s">
        <v>9254</v>
      </c>
      <c r="F832" s="1" t="s">
        <v>9255</v>
      </c>
      <c r="G832" s="1">
        <v>6</v>
      </c>
      <c r="H832" s="1" t="s">
        <v>229</v>
      </c>
      <c r="I832" s="1" t="str">
        <f>("1202250167")</f>
        <v>1202250167</v>
      </c>
    </row>
    <row r="833" spans="1:10" x14ac:dyDescent="0.45">
      <c r="A833" s="2" t="str">
        <f t="shared" ref="A833:A896" si="13">CONCATENATE(B833,"_",C833)</f>
        <v>日出サッカースポーツ少年団_6</v>
      </c>
      <c r="B833" s="1" t="s">
        <v>5005</v>
      </c>
      <c r="C833" s="1" t="str">
        <f>("6")</f>
        <v>6</v>
      </c>
      <c r="D833" s="1" t="s">
        <v>209</v>
      </c>
      <c r="E833" s="1" t="s">
        <v>9256</v>
      </c>
      <c r="F833" s="1" t="s">
        <v>9257</v>
      </c>
      <c r="G833" s="1">
        <v>3</v>
      </c>
      <c r="H833" s="1" t="s">
        <v>229</v>
      </c>
      <c r="I833" s="1" t="str">
        <f>("1410100045")</f>
        <v>1410100045</v>
      </c>
    </row>
    <row r="834" spans="1:10" x14ac:dyDescent="0.45">
      <c r="A834" s="2" t="str">
        <f t="shared" si="13"/>
        <v>日出サッカースポーツ少年団_8</v>
      </c>
      <c r="B834" s="1" t="s">
        <v>5005</v>
      </c>
      <c r="C834" s="1" t="str">
        <f>("8")</f>
        <v>8</v>
      </c>
      <c r="D834" s="1" t="s">
        <v>209</v>
      </c>
      <c r="E834" s="1" t="s">
        <v>5463</v>
      </c>
      <c r="F834" s="1" t="s">
        <v>5464</v>
      </c>
      <c r="G834" s="1">
        <v>6</v>
      </c>
      <c r="H834" s="1" t="s">
        <v>229</v>
      </c>
      <c r="I834" s="1" t="str">
        <f>("1105200032")</f>
        <v>1105200032</v>
      </c>
    </row>
    <row r="835" spans="1:10" x14ac:dyDescent="0.45">
      <c r="A835" s="2" t="str">
        <f t="shared" si="13"/>
        <v>日出サッカースポーツ少年団_9</v>
      </c>
      <c r="B835" s="1" t="s">
        <v>5005</v>
      </c>
      <c r="C835" s="1" t="str">
        <f>("9")</f>
        <v>9</v>
      </c>
      <c r="D835" s="1" t="s">
        <v>209</v>
      </c>
      <c r="E835" s="1" t="s">
        <v>6472</v>
      </c>
      <c r="F835" s="1" t="s">
        <v>6473</v>
      </c>
      <c r="G835" s="1">
        <v>4</v>
      </c>
      <c r="H835" s="1" t="s">
        <v>229</v>
      </c>
      <c r="I835" s="1" t="str">
        <f>("1310310007")</f>
        <v>1310310007</v>
      </c>
    </row>
    <row r="836" spans="1:10" x14ac:dyDescent="0.45">
      <c r="A836" s="2" t="str">
        <f t="shared" si="13"/>
        <v>日出サッカースポーツ少年団_10</v>
      </c>
      <c r="B836" s="1" t="s">
        <v>5005</v>
      </c>
      <c r="C836" s="1" t="str">
        <f>("10")</f>
        <v>10</v>
      </c>
      <c r="D836" s="1" t="s">
        <v>209</v>
      </c>
      <c r="E836" s="1" t="s">
        <v>6476</v>
      </c>
      <c r="F836" s="1" t="s">
        <v>5733</v>
      </c>
      <c r="G836" s="1">
        <v>6</v>
      </c>
      <c r="H836" s="1" t="s">
        <v>229</v>
      </c>
      <c r="I836" s="1" t="str">
        <f>("1201180215")</f>
        <v>1201180215</v>
      </c>
      <c r="J836" s="1" t="s">
        <v>1858</v>
      </c>
    </row>
    <row r="837" spans="1:10" x14ac:dyDescent="0.45">
      <c r="A837" s="2" t="str">
        <f t="shared" si="13"/>
        <v>日出サッカースポーツ少年団_11</v>
      </c>
      <c r="B837" s="1" t="s">
        <v>5005</v>
      </c>
      <c r="C837" s="1" t="str">
        <f>("11")</f>
        <v>11</v>
      </c>
      <c r="D837" s="1" t="s">
        <v>208</v>
      </c>
      <c r="E837" s="1" t="s">
        <v>6470</v>
      </c>
      <c r="F837" s="1" t="s">
        <v>6471</v>
      </c>
      <c r="G837" s="1">
        <v>5</v>
      </c>
      <c r="H837" s="1" t="s">
        <v>229</v>
      </c>
      <c r="I837" s="1" t="str">
        <f>("1206190129")</f>
        <v>1206190129</v>
      </c>
    </row>
    <row r="838" spans="1:10" x14ac:dyDescent="0.45">
      <c r="A838" s="2" t="str">
        <f t="shared" si="13"/>
        <v>日出サッカースポーツ少年団_14</v>
      </c>
      <c r="B838" s="1" t="s">
        <v>5005</v>
      </c>
      <c r="C838" s="1" t="str">
        <f>("14")</f>
        <v>14</v>
      </c>
      <c r="D838" s="1" t="s">
        <v>209</v>
      </c>
      <c r="E838" s="1" t="s">
        <v>6474</v>
      </c>
      <c r="F838" s="1" t="s">
        <v>6475</v>
      </c>
      <c r="G838" s="1">
        <v>5</v>
      </c>
      <c r="H838" s="1" t="s">
        <v>231</v>
      </c>
      <c r="I838" s="1" t="str">
        <f>("1209200011")</f>
        <v>1209200011</v>
      </c>
    </row>
    <row r="839" spans="1:10" x14ac:dyDescent="0.45">
      <c r="A839" s="2" t="str">
        <f t="shared" si="13"/>
        <v>渡町台サッカークラブ_1</v>
      </c>
      <c r="B839" s="1" t="s">
        <v>5006</v>
      </c>
      <c r="C839" s="1" t="str">
        <f>("1")</f>
        <v>1</v>
      </c>
      <c r="D839" s="1" t="s">
        <v>207</v>
      </c>
      <c r="E839" s="1" t="s">
        <v>5481</v>
      </c>
      <c r="F839" s="1" t="s">
        <v>5482</v>
      </c>
      <c r="G839" s="1">
        <v>6</v>
      </c>
      <c r="H839" s="1" t="s">
        <v>229</v>
      </c>
      <c r="I839" s="1" t="str">
        <f>("1112130052")</f>
        <v>1112130052</v>
      </c>
    </row>
    <row r="840" spans="1:10" x14ac:dyDescent="0.45">
      <c r="A840" s="2" t="str">
        <f t="shared" si="13"/>
        <v>渡町台サッカークラブ_2</v>
      </c>
      <c r="B840" s="1" t="s">
        <v>5006</v>
      </c>
      <c r="C840" s="1" t="str">
        <f>("2")</f>
        <v>2</v>
      </c>
      <c r="D840" s="1" t="s">
        <v>208</v>
      </c>
      <c r="E840" s="1" t="s">
        <v>5475</v>
      </c>
      <c r="F840" s="1" t="s">
        <v>5476</v>
      </c>
      <c r="G840" s="1">
        <v>6</v>
      </c>
      <c r="H840" s="1" t="s">
        <v>229</v>
      </c>
      <c r="I840" s="1" t="str">
        <f>("1104050025")</f>
        <v>1104050025</v>
      </c>
    </row>
    <row r="841" spans="1:10" x14ac:dyDescent="0.45">
      <c r="A841" s="2" t="str">
        <f t="shared" si="13"/>
        <v>渡町台サッカークラブ_3</v>
      </c>
      <c r="B841" s="1" t="s">
        <v>5006</v>
      </c>
      <c r="C841" s="1" t="str">
        <f>("3")</f>
        <v>3</v>
      </c>
      <c r="D841" s="1" t="s">
        <v>208</v>
      </c>
      <c r="E841" s="1" t="s">
        <v>6477</v>
      </c>
      <c r="F841" s="1" t="s">
        <v>6478</v>
      </c>
      <c r="G841" s="1">
        <v>5</v>
      </c>
      <c r="H841" s="1" t="s">
        <v>229</v>
      </c>
      <c r="I841" s="1" t="str">
        <f>("1208280001")</f>
        <v>1208280001</v>
      </c>
    </row>
    <row r="842" spans="1:10" x14ac:dyDescent="0.45">
      <c r="A842" s="2" t="str">
        <f t="shared" si="13"/>
        <v>渡町台サッカークラブ_4</v>
      </c>
      <c r="B842" s="1" t="s">
        <v>5006</v>
      </c>
      <c r="C842" s="1" t="str">
        <f>("4")</f>
        <v>4</v>
      </c>
      <c r="D842" s="1" t="s">
        <v>209</v>
      </c>
      <c r="E842" s="1" t="s">
        <v>9258</v>
      </c>
      <c r="F842" s="1" t="s">
        <v>9259</v>
      </c>
      <c r="G842" s="1">
        <v>5</v>
      </c>
      <c r="H842" s="1" t="s">
        <v>229</v>
      </c>
      <c r="I842" s="1" t="str">
        <f>("1206230104")</f>
        <v>1206230104</v>
      </c>
    </row>
    <row r="843" spans="1:10" x14ac:dyDescent="0.45">
      <c r="A843" s="2" t="str">
        <f t="shared" si="13"/>
        <v>渡町台サッカークラブ_5</v>
      </c>
      <c r="B843" s="1" t="s">
        <v>5006</v>
      </c>
      <c r="C843" s="1" t="str">
        <f>("5")</f>
        <v>5</v>
      </c>
      <c r="D843" s="1" t="s">
        <v>209</v>
      </c>
      <c r="E843" s="1" t="s">
        <v>9260</v>
      </c>
      <c r="F843" s="1" t="s">
        <v>9261</v>
      </c>
      <c r="G843" s="1">
        <v>5</v>
      </c>
      <c r="H843" s="1" t="s">
        <v>229</v>
      </c>
      <c r="I843" s="1" t="str">
        <f>("1205300148")</f>
        <v>1205300148</v>
      </c>
    </row>
    <row r="844" spans="1:10" x14ac:dyDescent="0.45">
      <c r="A844" s="2" t="str">
        <f t="shared" si="13"/>
        <v>渡町台サッカークラブ_6</v>
      </c>
      <c r="B844" s="1" t="s">
        <v>5006</v>
      </c>
      <c r="C844" s="1" t="str">
        <f>("6")</f>
        <v>6</v>
      </c>
      <c r="D844" s="1" t="s">
        <v>210</v>
      </c>
      <c r="E844" s="1" t="s">
        <v>5473</v>
      </c>
      <c r="F844" s="1" t="s">
        <v>5474</v>
      </c>
      <c r="G844" s="1">
        <v>6</v>
      </c>
      <c r="H844" s="1" t="s">
        <v>229</v>
      </c>
      <c r="I844" s="1" t="str">
        <f>("1111150045")</f>
        <v>1111150045</v>
      </c>
    </row>
    <row r="845" spans="1:10" x14ac:dyDescent="0.45">
      <c r="A845" s="2" t="str">
        <f t="shared" si="13"/>
        <v>渡町台サッカークラブ_7</v>
      </c>
      <c r="B845" s="1" t="s">
        <v>5006</v>
      </c>
      <c r="C845" s="1" t="str">
        <f>("7")</f>
        <v>7</v>
      </c>
      <c r="D845" s="1" t="s">
        <v>209</v>
      </c>
      <c r="E845" s="1" t="s">
        <v>5479</v>
      </c>
      <c r="F845" s="1" t="s">
        <v>5480</v>
      </c>
      <c r="G845" s="1">
        <v>6</v>
      </c>
      <c r="H845" s="1" t="s">
        <v>229</v>
      </c>
      <c r="I845" s="1" t="str">
        <f>("1203010021")</f>
        <v>1203010021</v>
      </c>
    </row>
    <row r="846" spans="1:10" x14ac:dyDescent="0.45">
      <c r="A846" s="2" t="str">
        <f t="shared" si="13"/>
        <v>渡町台サッカークラブ_8</v>
      </c>
      <c r="B846" s="1" t="s">
        <v>5006</v>
      </c>
      <c r="C846" s="1" t="str">
        <f>("8")</f>
        <v>8</v>
      </c>
      <c r="D846" s="1" t="s">
        <v>210</v>
      </c>
      <c r="E846" s="1" t="s">
        <v>6481</v>
      </c>
      <c r="F846" s="1" t="s">
        <v>6482</v>
      </c>
      <c r="G846" s="1">
        <v>5</v>
      </c>
      <c r="H846" s="1" t="s">
        <v>229</v>
      </c>
      <c r="I846" s="1" t="str">
        <f>("1206010139")</f>
        <v>1206010139</v>
      </c>
    </row>
    <row r="847" spans="1:10" x14ac:dyDescent="0.45">
      <c r="A847" s="2" t="str">
        <f t="shared" si="13"/>
        <v>渡町台サッカークラブ_9</v>
      </c>
      <c r="B847" s="1" t="s">
        <v>5006</v>
      </c>
      <c r="C847" s="1" t="str">
        <f>("9")</f>
        <v>9</v>
      </c>
      <c r="D847" s="1" t="s">
        <v>209</v>
      </c>
      <c r="E847" s="1" t="s">
        <v>5467</v>
      </c>
      <c r="F847" s="1" t="s">
        <v>5468</v>
      </c>
      <c r="G847" s="1">
        <v>6</v>
      </c>
      <c r="H847" s="1" t="s">
        <v>229</v>
      </c>
      <c r="I847" s="1" t="str">
        <f>("1104280063")</f>
        <v>1104280063</v>
      </c>
    </row>
    <row r="848" spans="1:10" x14ac:dyDescent="0.45">
      <c r="A848" s="2" t="str">
        <f t="shared" si="13"/>
        <v>渡町台サッカークラブ_10</v>
      </c>
      <c r="B848" s="1" t="s">
        <v>5006</v>
      </c>
      <c r="C848" s="1" t="str">
        <f>("10")</f>
        <v>10</v>
      </c>
      <c r="D848" s="1" t="s">
        <v>209</v>
      </c>
      <c r="E848" s="1" t="s">
        <v>5477</v>
      </c>
      <c r="F848" s="1" t="s">
        <v>5478</v>
      </c>
      <c r="G848" s="1">
        <v>6</v>
      </c>
      <c r="H848" s="1" t="s">
        <v>229</v>
      </c>
      <c r="I848" s="1" t="str">
        <f>("1105310027")</f>
        <v>1105310027</v>
      </c>
      <c r="J848" s="1" t="s">
        <v>1858</v>
      </c>
    </row>
    <row r="849" spans="1:10" x14ac:dyDescent="0.45">
      <c r="A849" s="2" t="str">
        <f t="shared" si="13"/>
        <v>渡町台サッカークラブ_11</v>
      </c>
      <c r="B849" s="1" t="s">
        <v>5006</v>
      </c>
      <c r="C849" s="1" t="str">
        <f>("11")</f>
        <v>11</v>
      </c>
      <c r="D849" s="1" t="s">
        <v>208</v>
      </c>
      <c r="E849" s="1" t="s">
        <v>9262</v>
      </c>
      <c r="F849" s="1" t="s">
        <v>9263</v>
      </c>
      <c r="G849" s="1">
        <v>4</v>
      </c>
      <c r="H849" s="1" t="s">
        <v>229</v>
      </c>
      <c r="I849" s="1" t="str">
        <f>("1308020010")</f>
        <v>1308020010</v>
      </c>
    </row>
    <row r="850" spans="1:10" x14ac:dyDescent="0.45">
      <c r="A850" s="2" t="str">
        <f t="shared" si="13"/>
        <v>渡町台サッカークラブ_12</v>
      </c>
      <c r="B850" s="1" t="s">
        <v>5006</v>
      </c>
      <c r="C850" s="1" t="str">
        <f>("12")</f>
        <v>12</v>
      </c>
      <c r="D850" s="1" t="s">
        <v>209</v>
      </c>
      <c r="E850" s="1" t="s">
        <v>9264</v>
      </c>
      <c r="F850" s="1" t="s">
        <v>9265</v>
      </c>
      <c r="G850" s="1">
        <v>4</v>
      </c>
      <c r="H850" s="1" t="s">
        <v>229</v>
      </c>
      <c r="I850" s="1" t="str">
        <f>("1310160011")</f>
        <v>1310160011</v>
      </c>
    </row>
    <row r="851" spans="1:10" x14ac:dyDescent="0.45">
      <c r="A851" s="2" t="str">
        <f t="shared" si="13"/>
        <v>渡町台サッカークラブ_13</v>
      </c>
      <c r="B851" s="1" t="s">
        <v>5006</v>
      </c>
      <c r="C851" s="1" t="str">
        <f>("13")</f>
        <v>13</v>
      </c>
      <c r="D851" s="1" t="s">
        <v>208</v>
      </c>
      <c r="E851" s="1" t="s">
        <v>5471</v>
      </c>
      <c r="F851" s="1" t="s">
        <v>5472</v>
      </c>
      <c r="G851" s="1">
        <v>6</v>
      </c>
      <c r="H851" s="1" t="s">
        <v>229</v>
      </c>
      <c r="I851" s="1" t="str">
        <f>("1111150103")</f>
        <v>1111150103</v>
      </c>
    </row>
    <row r="852" spans="1:10" x14ac:dyDescent="0.45">
      <c r="A852" s="2" t="str">
        <f t="shared" si="13"/>
        <v>渡町台サッカークラブ_14</v>
      </c>
      <c r="B852" s="1" t="s">
        <v>5006</v>
      </c>
      <c r="C852" s="1" t="str">
        <f>("14")</f>
        <v>14</v>
      </c>
      <c r="D852" s="1" t="s">
        <v>209</v>
      </c>
      <c r="E852" s="1" t="s">
        <v>9266</v>
      </c>
      <c r="F852" s="1" t="s">
        <v>9267</v>
      </c>
      <c r="G852" s="1">
        <v>5</v>
      </c>
      <c r="H852" s="1" t="s">
        <v>229</v>
      </c>
      <c r="I852" s="1" t="str">
        <f>("1211290104")</f>
        <v>1211290104</v>
      </c>
    </row>
    <row r="853" spans="1:10" x14ac:dyDescent="0.45">
      <c r="A853" s="2" t="str">
        <f t="shared" si="13"/>
        <v>西の台ＪＦＣ_1</v>
      </c>
      <c r="B853" s="1" t="s">
        <v>3962</v>
      </c>
      <c r="C853" s="1" t="str">
        <f>("1")</f>
        <v>1</v>
      </c>
      <c r="D853" s="1" t="s">
        <v>207</v>
      </c>
      <c r="E853" s="1" t="s">
        <v>5493</v>
      </c>
      <c r="F853" s="1" t="s">
        <v>5494</v>
      </c>
      <c r="G853" s="1">
        <v>6</v>
      </c>
      <c r="H853" s="1" t="s">
        <v>229</v>
      </c>
      <c r="I853" s="1" t="str">
        <f>("1111110138")</f>
        <v>1111110138</v>
      </c>
    </row>
    <row r="854" spans="1:10" x14ac:dyDescent="0.45">
      <c r="A854" s="2" t="str">
        <f t="shared" si="13"/>
        <v>西の台ＪＦＣ_2</v>
      </c>
      <c r="B854" s="1" t="s">
        <v>3962</v>
      </c>
      <c r="C854" s="1" t="str">
        <f>("2")</f>
        <v>2</v>
      </c>
      <c r="D854" s="1" t="s">
        <v>210</v>
      </c>
      <c r="E854" s="1" t="s">
        <v>6483</v>
      </c>
      <c r="F854" s="1" t="s">
        <v>2216</v>
      </c>
      <c r="G854" s="1">
        <v>6</v>
      </c>
      <c r="H854" s="1" t="s">
        <v>229</v>
      </c>
      <c r="I854" s="1" t="str">
        <f>("1104150208")</f>
        <v>1104150208</v>
      </c>
    </row>
    <row r="855" spans="1:10" x14ac:dyDescent="0.45">
      <c r="A855" s="2" t="str">
        <f t="shared" si="13"/>
        <v>西の台ＪＦＣ_3</v>
      </c>
      <c r="B855" s="1" t="s">
        <v>3962</v>
      </c>
      <c r="C855" s="1" t="str">
        <f>("3")</f>
        <v>3</v>
      </c>
      <c r="D855" s="1" t="s">
        <v>208</v>
      </c>
      <c r="E855" s="1" t="s">
        <v>5491</v>
      </c>
      <c r="F855" s="1" t="s">
        <v>5492</v>
      </c>
      <c r="G855" s="1">
        <v>6</v>
      </c>
      <c r="H855" s="1" t="s">
        <v>229</v>
      </c>
      <c r="I855" s="1" t="str">
        <f>("1108210088")</f>
        <v>1108210088</v>
      </c>
    </row>
    <row r="856" spans="1:10" x14ac:dyDescent="0.45">
      <c r="A856" s="2" t="str">
        <f t="shared" si="13"/>
        <v>西の台ＪＦＣ_4</v>
      </c>
      <c r="B856" s="1" t="s">
        <v>3962</v>
      </c>
      <c r="C856" s="1" t="str">
        <f>("4")</f>
        <v>4</v>
      </c>
      <c r="D856" s="1" t="s">
        <v>209</v>
      </c>
      <c r="E856" s="1" t="s">
        <v>6484</v>
      </c>
      <c r="F856" s="1" t="s">
        <v>6485</v>
      </c>
      <c r="G856" s="1">
        <v>6</v>
      </c>
      <c r="H856" s="1" t="s">
        <v>229</v>
      </c>
      <c r="I856" s="1" t="str">
        <f>("1106070229")</f>
        <v>1106070229</v>
      </c>
    </row>
    <row r="857" spans="1:10" x14ac:dyDescent="0.45">
      <c r="A857" s="2" t="str">
        <f t="shared" si="13"/>
        <v>西の台ＪＦＣ_5</v>
      </c>
      <c r="B857" s="1" t="s">
        <v>3962</v>
      </c>
      <c r="C857" s="1" t="str">
        <f>("5")</f>
        <v>5</v>
      </c>
      <c r="D857" s="1" t="s">
        <v>209</v>
      </c>
      <c r="E857" s="1" t="s">
        <v>6825</v>
      </c>
      <c r="F857" s="1" t="s">
        <v>6826</v>
      </c>
      <c r="G857" s="1">
        <v>6</v>
      </c>
      <c r="H857" s="1" t="s">
        <v>229</v>
      </c>
      <c r="I857" s="1" t="str">
        <f>("1110120109")</f>
        <v>1110120109</v>
      </c>
    </row>
    <row r="858" spans="1:10" x14ac:dyDescent="0.45">
      <c r="A858" s="2" t="str">
        <f t="shared" si="13"/>
        <v>西の台ＪＦＣ_6</v>
      </c>
      <c r="B858" s="1" t="s">
        <v>3962</v>
      </c>
      <c r="C858" s="1" t="str">
        <f>("6")</f>
        <v>6</v>
      </c>
      <c r="D858" s="1" t="s">
        <v>209</v>
      </c>
      <c r="E858" s="1" t="s">
        <v>6486</v>
      </c>
      <c r="F858" s="1" t="s">
        <v>6487</v>
      </c>
      <c r="G858" s="1">
        <v>6</v>
      </c>
      <c r="H858" s="1" t="s">
        <v>229</v>
      </c>
      <c r="I858" s="1" t="str">
        <f>("1108100206")</f>
        <v>1108100206</v>
      </c>
    </row>
    <row r="859" spans="1:10" x14ac:dyDescent="0.45">
      <c r="A859" s="2" t="str">
        <f t="shared" si="13"/>
        <v>西の台ＪＦＣ_7</v>
      </c>
      <c r="B859" s="1" t="s">
        <v>3962</v>
      </c>
      <c r="C859" s="1" t="str">
        <f>("7")</f>
        <v>7</v>
      </c>
      <c r="D859" s="1" t="s">
        <v>209</v>
      </c>
      <c r="E859" s="1" t="s">
        <v>6488</v>
      </c>
      <c r="F859" s="1" t="s">
        <v>6489</v>
      </c>
      <c r="G859" s="1">
        <v>6</v>
      </c>
      <c r="H859" s="1" t="s">
        <v>229</v>
      </c>
      <c r="I859" s="1" t="str">
        <f>("1104210078")</f>
        <v>1104210078</v>
      </c>
    </row>
    <row r="860" spans="1:10" x14ac:dyDescent="0.45">
      <c r="A860" s="2" t="str">
        <f t="shared" si="13"/>
        <v>西の台ＪＦＣ_8</v>
      </c>
      <c r="B860" s="1" t="s">
        <v>3962</v>
      </c>
      <c r="C860" s="1" t="str">
        <f>("8")</f>
        <v>8</v>
      </c>
      <c r="D860" s="1" t="s">
        <v>210</v>
      </c>
      <c r="E860" s="1" t="s">
        <v>9268</v>
      </c>
      <c r="F860" s="1" t="s">
        <v>9269</v>
      </c>
      <c r="G860" s="1">
        <v>6</v>
      </c>
      <c r="H860" s="1" t="s">
        <v>229</v>
      </c>
      <c r="I860" s="1" t="str">
        <f>("1107080277")</f>
        <v>1107080277</v>
      </c>
    </row>
    <row r="861" spans="1:10" x14ac:dyDescent="0.45">
      <c r="A861" s="2" t="str">
        <f t="shared" si="13"/>
        <v>西の台ＪＦＣ_9</v>
      </c>
      <c r="B861" s="1" t="s">
        <v>3962</v>
      </c>
      <c r="C861" s="1" t="str">
        <f>("9")</f>
        <v>9</v>
      </c>
      <c r="D861" s="1" t="s">
        <v>210</v>
      </c>
      <c r="E861" s="1" t="s">
        <v>5489</v>
      </c>
      <c r="F861" s="1" t="s">
        <v>5490</v>
      </c>
      <c r="G861" s="1">
        <v>6</v>
      </c>
      <c r="H861" s="1" t="s">
        <v>229</v>
      </c>
      <c r="I861" s="1" t="str">
        <f>("1109070014")</f>
        <v>1109070014</v>
      </c>
    </row>
    <row r="862" spans="1:10" x14ac:dyDescent="0.45">
      <c r="A862" s="2" t="str">
        <f t="shared" si="13"/>
        <v>西の台ＪＦＣ_10</v>
      </c>
      <c r="B862" s="1" t="s">
        <v>3962</v>
      </c>
      <c r="C862" s="1" t="str">
        <f>("10")</f>
        <v>10</v>
      </c>
      <c r="D862" s="1" t="s">
        <v>209</v>
      </c>
      <c r="E862" s="1" t="s">
        <v>5487</v>
      </c>
      <c r="F862" s="1" t="s">
        <v>5488</v>
      </c>
      <c r="G862" s="1">
        <v>6</v>
      </c>
      <c r="H862" s="1" t="s">
        <v>229</v>
      </c>
      <c r="I862" s="1" t="str">
        <f>("1104280022")</f>
        <v>1104280022</v>
      </c>
      <c r="J862" s="1" t="s">
        <v>1858</v>
      </c>
    </row>
    <row r="863" spans="1:10" x14ac:dyDescent="0.45">
      <c r="A863" s="2" t="str">
        <f t="shared" si="13"/>
        <v>西の台ＪＦＣ_11</v>
      </c>
      <c r="B863" s="1" t="s">
        <v>3962</v>
      </c>
      <c r="C863" s="1" t="str">
        <f>("11")</f>
        <v>11</v>
      </c>
      <c r="D863" s="1" t="s">
        <v>209</v>
      </c>
      <c r="E863" s="1" t="s">
        <v>6492</v>
      </c>
      <c r="F863" s="1" t="s">
        <v>6493</v>
      </c>
      <c r="G863" s="1">
        <v>5</v>
      </c>
      <c r="H863" s="1" t="s">
        <v>229</v>
      </c>
      <c r="I863" s="1" t="str">
        <f>("1211300014")</f>
        <v>1211300014</v>
      </c>
    </row>
    <row r="864" spans="1:10" x14ac:dyDescent="0.45">
      <c r="A864" s="2" t="str">
        <f t="shared" si="13"/>
        <v>西の台ＪＦＣ_12</v>
      </c>
      <c r="B864" s="1" t="s">
        <v>3962</v>
      </c>
      <c r="C864" s="1" t="str">
        <f>("12")</f>
        <v>12</v>
      </c>
      <c r="D864" s="1" t="s">
        <v>208</v>
      </c>
      <c r="E864" s="1" t="s">
        <v>6490</v>
      </c>
      <c r="F864" s="1" t="s">
        <v>6491</v>
      </c>
      <c r="G864" s="1">
        <v>5</v>
      </c>
      <c r="H864" s="1" t="s">
        <v>229</v>
      </c>
      <c r="I864" s="1" t="str">
        <f>("1211080057")</f>
        <v>1211080057</v>
      </c>
    </row>
    <row r="865" spans="1:10" x14ac:dyDescent="0.45">
      <c r="A865" s="2" t="str">
        <f t="shared" si="13"/>
        <v>西の台ＪＦＣ_13</v>
      </c>
      <c r="B865" s="1" t="s">
        <v>3962</v>
      </c>
      <c r="C865" s="1" t="str">
        <f>("13")</f>
        <v>13</v>
      </c>
      <c r="D865" s="1" t="s">
        <v>209</v>
      </c>
      <c r="E865" s="1" t="s">
        <v>9270</v>
      </c>
      <c r="F865" s="1" t="s">
        <v>9271</v>
      </c>
      <c r="G865" s="1">
        <v>4</v>
      </c>
      <c r="H865" s="1" t="s">
        <v>229</v>
      </c>
      <c r="I865" s="1" t="str">
        <f>("1301170045")</f>
        <v>1301170045</v>
      </c>
    </row>
    <row r="866" spans="1:10" x14ac:dyDescent="0.45">
      <c r="A866" s="2" t="str">
        <f t="shared" si="13"/>
        <v>西の台ＪＦＣ_14</v>
      </c>
      <c r="B866" s="1" t="s">
        <v>3962</v>
      </c>
      <c r="C866" s="1" t="str">
        <f>("14")</f>
        <v>14</v>
      </c>
      <c r="D866" s="1" t="s">
        <v>210</v>
      </c>
      <c r="E866" s="1" t="s">
        <v>6494</v>
      </c>
      <c r="F866" s="1" t="s">
        <v>6495</v>
      </c>
      <c r="G866" s="1">
        <v>4</v>
      </c>
      <c r="H866" s="1" t="s">
        <v>229</v>
      </c>
      <c r="I866" s="1" t="str">
        <f>("1308300019")</f>
        <v>1308300019</v>
      </c>
    </row>
    <row r="867" spans="1:10" x14ac:dyDescent="0.45">
      <c r="A867" s="2" t="str">
        <f t="shared" si="13"/>
        <v>西の台ＪＦＣ_15</v>
      </c>
      <c r="B867" s="1" t="s">
        <v>3962</v>
      </c>
      <c r="C867" s="1" t="str">
        <f>("15")</f>
        <v>15</v>
      </c>
      <c r="D867" s="1" t="s">
        <v>209</v>
      </c>
      <c r="E867" s="1" t="s">
        <v>6496</v>
      </c>
      <c r="F867" s="1" t="s">
        <v>6497</v>
      </c>
      <c r="G867" s="1">
        <v>4</v>
      </c>
      <c r="H867" s="1" t="s">
        <v>229</v>
      </c>
      <c r="I867" s="1" t="str">
        <f>("1401120016")</f>
        <v>1401120016</v>
      </c>
    </row>
    <row r="868" spans="1:10" x14ac:dyDescent="0.45">
      <c r="A868" s="2" t="str">
        <f t="shared" si="13"/>
        <v>西の台ＪＦＣ_17</v>
      </c>
      <c r="B868" s="1" t="s">
        <v>3962</v>
      </c>
      <c r="C868" s="1" t="str">
        <f>("17")</f>
        <v>17</v>
      </c>
      <c r="D868" s="1" t="s">
        <v>210</v>
      </c>
      <c r="E868" s="1" t="s">
        <v>6498</v>
      </c>
      <c r="F868" s="1" t="s">
        <v>6499</v>
      </c>
      <c r="G868" s="1">
        <v>4</v>
      </c>
      <c r="H868" s="1" t="s">
        <v>229</v>
      </c>
      <c r="I868" s="1" t="str">
        <f>("1308270075")</f>
        <v>1308270075</v>
      </c>
    </row>
    <row r="869" spans="1:10" x14ac:dyDescent="0.45">
      <c r="A869" s="2" t="str">
        <f t="shared" si="13"/>
        <v>豊後高田ＦＣ　Ｂｏｒｄｅｒ　Ｊｒ_1</v>
      </c>
      <c r="B869" s="1" t="s">
        <v>5007</v>
      </c>
      <c r="C869" s="1" t="str">
        <f>("1")</f>
        <v>1</v>
      </c>
      <c r="D869" s="1" t="s">
        <v>207</v>
      </c>
      <c r="E869" s="1" t="s">
        <v>9272</v>
      </c>
      <c r="F869" s="1" t="s">
        <v>9273</v>
      </c>
      <c r="G869" s="1">
        <v>6</v>
      </c>
      <c r="H869" s="1" t="s">
        <v>229</v>
      </c>
      <c r="I869" s="1" t="str">
        <f>("1112250161")</f>
        <v>1112250161</v>
      </c>
    </row>
    <row r="870" spans="1:10" x14ac:dyDescent="0.45">
      <c r="A870" s="2" t="str">
        <f t="shared" si="13"/>
        <v>豊後高田ＦＣ　Ｂｏｒｄｅｒ　Ｊｒ_3</v>
      </c>
      <c r="B870" s="1" t="s">
        <v>5007</v>
      </c>
      <c r="C870" s="1" t="str">
        <f>("3")</f>
        <v>3</v>
      </c>
      <c r="D870" s="1" t="s">
        <v>208</v>
      </c>
      <c r="E870" s="1" t="s">
        <v>6512</v>
      </c>
      <c r="F870" s="1" t="s">
        <v>6513</v>
      </c>
      <c r="G870" s="1">
        <v>5</v>
      </c>
      <c r="H870" s="1" t="s">
        <v>229</v>
      </c>
      <c r="I870" s="1" t="str">
        <f>("1209110157")</f>
        <v>1209110157</v>
      </c>
    </row>
    <row r="871" spans="1:10" x14ac:dyDescent="0.45">
      <c r="A871" s="2" t="str">
        <f t="shared" si="13"/>
        <v>豊後高田ＦＣ　Ｂｏｒｄｅｒ　Ｊｒ_4</v>
      </c>
      <c r="B871" s="1" t="s">
        <v>5007</v>
      </c>
      <c r="C871" s="1" t="str">
        <f>("4")</f>
        <v>4</v>
      </c>
      <c r="D871" s="1" t="s">
        <v>208</v>
      </c>
      <c r="E871" s="1" t="s">
        <v>9274</v>
      </c>
      <c r="F871" s="1" t="s">
        <v>9275</v>
      </c>
      <c r="G871" s="1">
        <v>6</v>
      </c>
      <c r="H871" s="1" t="s">
        <v>229</v>
      </c>
      <c r="I871" s="1" t="str">
        <f>("1104100188")</f>
        <v>1104100188</v>
      </c>
    </row>
    <row r="872" spans="1:10" x14ac:dyDescent="0.45">
      <c r="A872" s="2" t="str">
        <f t="shared" si="13"/>
        <v>豊後高田ＦＣ　Ｂｏｒｄｅｒ　Ｊｒ_5</v>
      </c>
      <c r="B872" s="1" t="s">
        <v>5007</v>
      </c>
      <c r="C872" s="1" t="str">
        <f>("5")</f>
        <v>5</v>
      </c>
      <c r="D872" s="1" t="s">
        <v>208</v>
      </c>
      <c r="E872" s="1" t="s">
        <v>6510</v>
      </c>
      <c r="F872" s="1" t="s">
        <v>6511</v>
      </c>
      <c r="G872" s="1">
        <v>6</v>
      </c>
      <c r="H872" s="1" t="s">
        <v>229</v>
      </c>
      <c r="I872" s="1" t="str">
        <f>("1201090153")</f>
        <v>1201090153</v>
      </c>
    </row>
    <row r="873" spans="1:10" x14ac:dyDescent="0.45">
      <c r="A873" s="2" t="str">
        <f t="shared" si="13"/>
        <v>豊後高田ＦＣ　Ｂｏｒｄｅｒ　Ｊｒ_6</v>
      </c>
      <c r="B873" s="1" t="s">
        <v>5007</v>
      </c>
      <c r="C873" s="1" t="str">
        <f>("6")</f>
        <v>6</v>
      </c>
      <c r="D873" s="1" t="s">
        <v>208</v>
      </c>
      <c r="E873" s="1" t="s">
        <v>6506</v>
      </c>
      <c r="F873" s="1" t="s">
        <v>6507</v>
      </c>
      <c r="G873" s="1">
        <v>5</v>
      </c>
      <c r="H873" s="1" t="s">
        <v>229</v>
      </c>
      <c r="I873" s="1" t="str">
        <f>("1210190151")</f>
        <v>1210190151</v>
      </c>
    </row>
    <row r="874" spans="1:10" x14ac:dyDescent="0.45">
      <c r="A874" s="2" t="str">
        <f t="shared" si="13"/>
        <v>豊後高田ＦＣ　Ｂｏｒｄｅｒ　Ｊｒ_7</v>
      </c>
      <c r="B874" s="1" t="s">
        <v>5007</v>
      </c>
      <c r="C874" s="1" t="str">
        <f>("7")</f>
        <v>7</v>
      </c>
      <c r="D874" s="1" t="s">
        <v>208</v>
      </c>
      <c r="E874" s="1" t="s">
        <v>6501</v>
      </c>
      <c r="F874" s="1" t="s">
        <v>6502</v>
      </c>
      <c r="G874" s="1">
        <v>6</v>
      </c>
      <c r="H874" s="1" t="s">
        <v>229</v>
      </c>
      <c r="I874" s="1" t="str">
        <f>("1112270069")</f>
        <v>1112270069</v>
      </c>
    </row>
    <row r="875" spans="1:10" x14ac:dyDescent="0.45">
      <c r="A875" s="2" t="str">
        <f t="shared" si="13"/>
        <v>豊後高田ＦＣ　Ｂｏｒｄｅｒ　Ｊｒ_8</v>
      </c>
      <c r="B875" s="1" t="s">
        <v>5007</v>
      </c>
      <c r="C875" s="1" t="str">
        <f>("8")</f>
        <v>8</v>
      </c>
      <c r="D875" s="1" t="s">
        <v>209</v>
      </c>
      <c r="E875" s="1" t="s">
        <v>6505</v>
      </c>
      <c r="F875" s="1" t="s">
        <v>3348</v>
      </c>
      <c r="G875" s="1">
        <v>5</v>
      </c>
      <c r="H875" s="1" t="s">
        <v>229</v>
      </c>
      <c r="I875" s="1" t="str">
        <f>("1209110024")</f>
        <v>1209110024</v>
      </c>
    </row>
    <row r="876" spans="1:10" x14ac:dyDescent="0.45">
      <c r="A876" s="2" t="str">
        <f t="shared" si="13"/>
        <v>豊後高田ＦＣ　Ｂｏｒｄｅｒ　Ｊｒ_9</v>
      </c>
      <c r="B876" s="1" t="s">
        <v>5007</v>
      </c>
      <c r="C876" s="1" t="str">
        <f>("9")</f>
        <v>9</v>
      </c>
      <c r="D876" s="1" t="s">
        <v>210</v>
      </c>
      <c r="E876" s="1" t="s">
        <v>6508</v>
      </c>
      <c r="F876" s="1" t="s">
        <v>6509</v>
      </c>
      <c r="G876" s="1">
        <v>5</v>
      </c>
      <c r="H876" s="1" t="s">
        <v>229</v>
      </c>
      <c r="I876" s="1" t="str">
        <f>("1301110079")</f>
        <v>1301110079</v>
      </c>
    </row>
    <row r="877" spans="1:10" x14ac:dyDescent="0.45">
      <c r="A877" s="2" t="str">
        <f t="shared" si="13"/>
        <v>豊後高田ＦＣ　Ｂｏｒｄｅｒ　Ｊｒ_10</v>
      </c>
      <c r="B877" s="1" t="s">
        <v>5007</v>
      </c>
      <c r="C877" s="1" t="str">
        <f>("10")</f>
        <v>10</v>
      </c>
      <c r="D877" s="1" t="s">
        <v>209</v>
      </c>
      <c r="E877" s="1" t="s">
        <v>6503</v>
      </c>
      <c r="F877" s="1" t="s">
        <v>6504</v>
      </c>
      <c r="G877" s="1">
        <v>6</v>
      </c>
      <c r="H877" s="1" t="s">
        <v>229</v>
      </c>
      <c r="I877" s="1" t="str">
        <f>("1201200137")</f>
        <v>1201200137</v>
      </c>
      <c r="J877" s="1" t="s">
        <v>1858</v>
      </c>
    </row>
    <row r="878" spans="1:10" x14ac:dyDescent="0.45">
      <c r="A878" s="2" t="str">
        <f t="shared" si="13"/>
        <v>豊後高田ＦＣ　Ｂｏｒｄｅｒ　Ｊｒ_11</v>
      </c>
      <c r="B878" s="1" t="s">
        <v>5007</v>
      </c>
      <c r="C878" s="1" t="str">
        <f>("11")</f>
        <v>11</v>
      </c>
      <c r="D878" s="1" t="s">
        <v>210</v>
      </c>
      <c r="E878" s="1" t="s">
        <v>9276</v>
      </c>
      <c r="F878" s="1" t="s">
        <v>9277</v>
      </c>
      <c r="G878" s="1">
        <v>5</v>
      </c>
      <c r="H878" s="1" t="s">
        <v>229</v>
      </c>
      <c r="I878" s="1" t="str">
        <f>("1210080143")</f>
        <v>1210080143</v>
      </c>
    </row>
    <row r="879" spans="1:10" x14ac:dyDescent="0.45">
      <c r="A879" s="2" t="str">
        <f t="shared" si="13"/>
        <v>豊後高田ＦＣ　Ｂｏｒｄｅｒ　Ｊｒ_12</v>
      </c>
      <c r="B879" s="1" t="s">
        <v>5007</v>
      </c>
      <c r="C879" s="1" t="str">
        <f>("12")</f>
        <v>12</v>
      </c>
      <c r="D879" s="1" t="s">
        <v>209</v>
      </c>
      <c r="E879" s="1" t="s">
        <v>9278</v>
      </c>
      <c r="F879" s="1" t="s">
        <v>9279</v>
      </c>
      <c r="G879" s="1">
        <v>4</v>
      </c>
      <c r="H879" s="1" t="s">
        <v>229</v>
      </c>
      <c r="I879" s="1" t="str">
        <f>("1304240176")</f>
        <v>1304240176</v>
      </c>
    </row>
    <row r="880" spans="1:10" x14ac:dyDescent="0.45">
      <c r="A880" s="2" t="str">
        <f t="shared" si="13"/>
        <v>豊後高田ＦＣ　Ｂｏｒｄｅｒ　Ｊｒ_13</v>
      </c>
      <c r="B880" s="1" t="s">
        <v>5007</v>
      </c>
      <c r="C880" s="1" t="str">
        <f>("13")</f>
        <v>13</v>
      </c>
      <c r="D880" s="1" t="s">
        <v>210</v>
      </c>
      <c r="E880" s="1" t="s">
        <v>9280</v>
      </c>
      <c r="F880" s="1" t="s">
        <v>9281</v>
      </c>
      <c r="G880" s="1">
        <v>4</v>
      </c>
      <c r="H880" s="1" t="s">
        <v>229</v>
      </c>
      <c r="I880" s="1" t="str">
        <f>("1311190019")</f>
        <v>1311190019</v>
      </c>
    </row>
    <row r="881" spans="1:10" x14ac:dyDescent="0.45">
      <c r="A881" s="2" t="str">
        <f t="shared" si="13"/>
        <v>豊後高田ＦＣ　Ｂｏｒｄｅｒ　Ｊｒ_14</v>
      </c>
      <c r="B881" s="1" t="s">
        <v>5007</v>
      </c>
      <c r="C881" s="1" t="str">
        <f>("14")</f>
        <v>14</v>
      </c>
      <c r="D881" s="1" t="s">
        <v>208</v>
      </c>
      <c r="E881" s="1" t="s">
        <v>9282</v>
      </c>
      <c r="F881" s="1" t="s">
        <v>9283</v>
      </c>
      <c r="G881" s="1">
        <v>4</v>
      </c>
      <c r="H881" s="1" t="s">
        <v>229</v>
      </c>
      <c r="I881" s="1" t="str">
        <f>("1306170026")</f>
        <v>1306170026</v>
      </c>
    </row>
    <row r="882" spans="1:10" x14ac:dyDescent="0.45">
      <c r="A882" s="2" t="str">
        <f t="shared" si="13"/>
        <v>豊後高田ＦＣ　Ｂｏｒｄｅｒ　Ｊｒ_15</v>
      </c>
      <c r="B882" s="1" t="s">
        <v>5007</v>
      </c>
      <c r="C882" s="1" t="str">
        <f>("15")</f>
        <v>15</v>
      </c>
      <c r="D882" s="1" t="s">
        <v>209</v>
      </c>
      <c r="E882" s="1" t="s">
        <v>9284</v>
      </c>
      <c r="F882" s="1" t="s">
        <v>9285</v>
      </c>
      <c r="G882" s="1">
        <v>4</v>
      </c>
      <c r="H882" s="1" t="s">
        <v>229</v>
      </c>
      <c r="I882" s="1" t="str">
        <f>("1312060071")</f>
        <v>1312060071</v>
      </c>
    </row>
    <row r="883" spans="1:10" x14ac:dyDescent="0.45">
      <c r="A883" s="2" t="str">
        <f t="shared" si="13"/>
        <v>豊後高田ＦＣ　Ｂｏｒｄｅｒ　Ｊｒ_16</v>
      </c>
      <c r="B883" s="1" t="s">
        <v>5007</v>
      </c>
      <c r="C883" s="1" t="str">
        <f>("16")</f>
        <v>16</v>
      </c>
      <c r="D883" s="1" t="s">
        <v>208</v>
      </c>
      <c r="E883" s="1" t="s">
        <v>6514</v>
      </c>
      <c r="F883" s="1" t="s">
        <v>6500</v>
      </c>
      <c r="G883" s="1">
        <v>5</v>
      </c>
      <c r="H883" s="1" t="s">
        <v>229</v>
      </c>
      <c r="I883" s="1" t="str">
        <f>("1302260035")</f>
        <v>1302260035</v>
      </c>
    </row>
    <row r="884" spans="1:10" x14ac:dyDescent="0.45">
      <c r="A884" s="2" t="str">
        <f t="shared" si="13"/>
        <v>豊後高田ＦＣ　Ｂｏｒｄｅｒ　Ｊｒ_17</v>
      </c>
      <c r="B884" s="1" t="s">
        <v>5007</v>
      </c>
      <c r="C884" s="1" t="str">
        <f>("17")</f>
        <v>17</v>
      </c>
      <c r="D884" s="1" t="s">
        <v>209</v>
      </c>
      <c r="E884" s="1" t="s">
        <v>9286</v>
      </c>
      <c r="F884" s="1" t="s">
        <v>8100</v>
      </c>
      <c r="G884" s="1">
        <v>4</v>
      </c>
      <c r="H884" s="1" t="s">
        <v>229</v>
      </c>
      <c r="I884" s="1" t="str">
        <f>("1401050106")</f>
        <v>1401050106</v>
      </c>
    </row>
    <row r="885" spans="1:10" x14ac:dyDescent="0.45">
      <c r="A885" s="2" t="str">
        <f t="shared" si="13"/>
        <v>竹田直入ＦＣ_1</v>
      </c>
      <c r="B885" s="1" t="s">
        <v>5008</v>
      </c>
      <c r="C885" s="1" t="str">
        <f>("1")</f>
        <v>1</v>
      </c>
      <c r="D885" s="1" t="s">
        <v>207</v>
      </c>
      <c r="E885" s="1" t="s">
        <v>6521</v>
      </c>
      <c r="F885" s="1" t="s">
        <v>6522</v>
      </c>
      <c r="G885" s="1">
        <v>5</v>
      </c>
      <c r="H885" s="1" t="s">
        <v>229</v>
      </c>
      <c r="I885" s="1" t="str">
        <f>("1301230018")</f>
        <v>1301230018</v>
      </c>
    </row>
    <row r="886" spans="1:10" x14ac:dyDescent="0.45">
      <c r="A886" s="2" t="str">
        <f t="shared" si="13"/>
        <v>竹田直入ＦＣ_2</v>
      </c>
      <c r="B886" s="1" t="s">
        <v>5008</v>
      </c>
      <c r="C886" s="1" t="str">
        <f>("2")</f>
        <v>2</v>
      </c>
      <c r="D886" s="1" t="s">
        <v>209</v>
      </c>
      <c r="E886" s="1" t="s">
        <v>5502</v>
      </c>
      <c r="F886" s="1" t="s">
        <v>5503</v>
      </c>
      <c r="G886" s="1">
        <v>6</v>
      </c>
      <c r="H886" s="1" t="s">
        <v>231</v>
      </c>
      <c r="I886" s="1" t="str">
        <f>("1107150105")</f>
        <v>1107150105</v>
      </c>
    </row>
    <row r="887" spans="1:10" x14ac:dyDescent="0.45">
      <c r="A887" s="2" t="str">
        <f t="shared" si="13"/>
        <v>竹田直入ＦＣ_3</v>
      </c>
      <c r="B887" s="1" t="s">
        <v>5008</v>
      </c>
      <c r="C887" s="1" t="str">
        <f>("3")</f>
        <v>3</v>
      </c>
      <c r="D887" s="1" t="s">
        <v>209</v>
      </c>
      <c r="E887" s="1" t="s">
        <v>5495</v>
      </c>
      <c r="F887" s="1" t="s">
        <v>5496</v>
      </c>
      <c r="G887" s="1">
        <v>6</v>
      </c>
      <c r="H887" s="1" t="s">
        <v>231</v>
      </c>
      <c r="I887" s="1" t="str">
        <f>("1105190020")</f>
        <v>1105190020</v>
      </c>
    </row>
    <row r="888" spans="1:10" x14ac:dyDescent="0.45">
      <c r="A888" s="2" t="str">
        <f t="shared" si="13"/>
        <v>竹田直入ＦＣ_4</v>
      </c>
      <c r="B888" s="1" t="s">
        <v>5008</v>
      </c>
      <c r="C888" s="1" t="str">
        <f>("4")</f>
        <v>4</v>
      </c>
      <c r="D888" s="1" t="s">
        <v>209</v>
      </c>
      <c r="E888" s="1" t="s">
        <v>6523</v>
      </c>
      <c r="F888" s="1" t="s">
        <v>6524</v>
      </c>
      <c r="G888" s="1">
        <v>5</v>
      </c>
      <c r="H888" s="1" t="s">
        <v>229</v>
      </c>
      <c r="I888" s="1" t="str">
        <f>("1303300004")</f>
        <v>1303300004</v>
      </c>
    </row>
    <row r="889" spans="1:10" x14ac:dyDescent="0.45">
      <c r="A889" s="2" t="str">
        <f t="shared" si="13"/>
        <v>竹田直入ＦＣ_5</v>
      </c>
      <c r="B889" s="1" t="s">
        <v>5008</v>
      </c>
      <c r="C889" s="1" t="str">
        <f>("5")</f>
        <v>5</v>
      </c>
      <c r="D889" s="1" t="s">
        <v>208</v>
      </c>
      <c r="E889" s="1" t="s">
        <v>5501</v>
      </c>
      <c r="F889" s="1" t="s">
        <v>3616</v>
      </c>
      <c r="G889" s="1">
        <v>6</v>
      </c>
      <c r="H889" s="1" t="s">
        <v>229</v>
      </c>
      <c r="I889" s="1" t="str">
        <f>("1203200007")</f>
        <v>1203200007</v>
      </c>
    </row>
    <row r="890" spans="1:10" x14ac:dyDescent="0.45">
      <c r="A890" s="2" t="str">
        <f t="shared" si="13"/>
        <v>竹田直入ＦＣ_7</v>
      </c>
      <c r="B890" s="1" t="s">
        <v>5008</v>
      </c>
      <c r="C890" s="1" t="str">
        <f>("7")</f>
        <v>7</v>
      </c>
      <c r="D890" s="1" t="s">
        <v>209</v>
      </c>
      <c r="E890" s="1" t="s">
        <v>5499</v>
      </c>
      <c r="F890" s="1" t="s">
        <v>5500</v>
      </c>
      <c r="G890" s="1">
        <v>6</v>
      </c>
      <c r="H890" s="1" t="s">
        <v>229</v>
      </c>
      <c r="I890" s="1" t="str">
        <f>("1108160027")</f>
        <v>1108160027</v>
      </c>
    </row>
    <row r="891" spans="1:10" x14ac:dyDescent="0.45">
      <c r="A891" s="2" t="str">
        <f t="shared" si="13"/>
        <v>竹田直入ＦＣ_8</v>
      </c>
      <c r="B891" s="1" t="s">
        <v>5008</v>
      </c>
      <c r="C891" s="1" t="str">
        <f>("8")</f>
        <v>8</v>
      </c>
      <c r="D891" s="1" t="s">
        <v>209</v>
      </c>
      <c r="E891" s="1" t="s">
        <v>6515</v>
      </c>
      <c r="F891" s="1" t="s">
        <v>6516</v>
      </c>
      <c r="G891" s="1">
        <v>5</v>
      </c>
      <c r="H891" s="1" t="s">
        <v>229</v>
      </c>
      <c r="I891" s="1" t="str">
        <f>("1206130081")</f>
        <v>1206130081</v>
      </c>
    </row>
    <row r="892" spans="1:10" x14ac:dyDescent="0.45">
      <c r="A892" s="2" t="str">
        <f t="shared" si="13"/>
        <v>竹田直入ＦＣ_9</v>
      </c>
      <c r="B892" s="1" t="s">
        <v>5008</v>
      </c>
      <c r="C892" s="1" t="str">
        <f>("9")</f>
        <v>9</v>
      </c>
      <c r="D892" s="1" t="s">
        <v>210</v>
      </c>
      <c r="E892" s="1" t="s">
        <v>6519</v>
      </c>
      <c r="F892" s="1" t="s">
        <v>6520</v>
      </c>
      <c r="G892" s="1">
        <v>5</v>
      </c>
      <c r="H892" s="1" t="s">
        <v>231</v>
      </c>
      <c r="I892" s="1" t="str">
        <f>("1207310006")</f>
        <v>1207310006</v>
      </c>
    </row>
    <row r="893" spans="1:10" x14ac:dyDescent="0.45">
      <c r="A893" s="2" t="str">
        <f t="shared" si="13"/>
        <v>竹田直入ＦＣ_10</v>
      </c>
      <c r="B893" s="1" t="s">
        <v>5008</v>
      </c>
      <c r="C893" s="1" t="str">
        <f>("10")</f>
        <v>10</v>
      </c>
      <c r="D893" s="1" t="s">
        <v>210</v>
      </c>
      <c r="E893" s="1" t="s">
        <v>5497</v>
      </c>
      <c r="F893" s="1" t="s">
        <v>5498</v>
      </c>
      <c r="G893" s="1">
        <v>6</v>
      </c>
      <c r="H893" s="1" t="s">
        <v>229</v>
      </c>
      <c r="I893" s="1" t="str">
        <f>("1108200027")</f>
        <v>1108200027</v>
      </c>
      <c r="J893" s="1" t="s">
        <v>1858</v>
      </c>
    </row>
    <row r="894" spans="1:10" x14ac:dyDescent="0.45">
      <c r="A894" s="2" t="str">
        <f t="shared" si="13"/>
        <v>竹田直入ＦＣ_11</v>
      </c>
      <c r="B894" s="1" t="s">
        <v>5008</v>
      </c>
      <c r="C894" s="1" t="str">
        <f>("11")</f>
        <v>11</v>
      </c>
      <c r="D894" s="1" t="s">
        <v>210</v>
      </c>
      <c r="E894" s="1" t="s">
        <v>6517</v>
      </c>
      <c r="F894" s="1" t="s">
        <v>6518</v>
      </c>
      <c r="G894" s="1">
        <v>5</v>
      </c>
      <c r="H894" s="1" t="s">
        <v>229</v>
      </c>
      <c r="I894" s="1" t="str">
        <f>("1207170094")</f>
        <v>1207170094</v>
      </c>
    </row>
    <row r="895" spans="1:10" x14ac:dyDescent="0.45">
      <c r="A895" s="2" t="str">
        <f t="shared" si="13"/>
        <v>竹田直入ＦＣ_13</v>
      </c>
      <c r="B895" s="1" t="s">
        <v>5008</v>
      </c>
      <c r="C895" s="1" t="str">
        <f>("13")</f>
        <v>13</v>
      </c>
      <c r="D895" s="1" t="s">
        <v>209</v>
      </c>
      <c r="E895" s="1" t="s">
        <v>9287</v>
      </c>
      <c r="F895" s="1" t="s">
        <v>9288</v>
      </c>
      <c r="G895" s="1">
        <v>4</v>
      </c>
      <c r="H895" s="1" t="s">
        <v>229</v>
      </c>
      <c r="I895" s="1" t="str">
        <f>("1305270132")</f>
        <v>1305270132</v>
      </c>
    </row>
    <row r="896" spans="1:10" x14ac:dyDescent="0.45">
      <c r="A896" s="2" t="str">
        <f t="shared" si="13"/>
        <v>竹田直入ＦＣ_14</v>
      </c>
      <c r="B896" s="1" t="s">
        <v>5008</v>
      </c>
      <c r="C896" s="1" t="str">
        <f>("14")</f>
        <v>14</v>
      </c>
      <c r="D896" s="1" t="s">
        <v>210</v>
      </c>
      <c r="E896" s="1" t="s">
        <v>9289</v>
      </c>
      <c r="F896" s="1" t="s">
        <v>9290</v>
      </c>
      <c r="G896" s="1">
        <v>4</v>
      </c>
      <c r="H896" s="1" t="s">
        <v>229</v>
      </c>
      <c r="I896" s="1" t="str">
        <f>("1306270040")</f>
        <v>1306270040</v>
      </c>
    </row>
    <row r="897" spans="1:10" x14ac:dyDescent="0.45">
      <c r="A897" s="2" t="str">
        <f t="shared" ref="A897:A960" si="14">CONCATENATE(B897,"_",C897)</f>
        <v>竹田直入ＦＣ_15</v>
      </c>
      <c r="B897" s="1" t="s">
        <v>5008</v>
      </c>
      <c r="C897" s="1" t="str">
        <f>("15")</f>
        <v>15</v>
      </c>
      <c r="D897" s="1" t="s">
        <v>209</v>
      </c>
      <c r="E897" s="1" t="s">
        <v>9291</v>
      </c>
      <c r="F897" s="1" t="s">
        <v>9292</v>
      </c>
      <c r="G897" s="1">
        <v>4</v>
      </c>
      <c r="H897" s="1" t="s">
        <v>231</v>
      </c>
      <c r="I897" s="1" t="str">
        <f>("1308300047")</f>
        <v>1308300047</v>
      </c>
    </row>
    <row r="898" spans="1:10" x14ac:dyDescent="0.45">
      <c r="A898" s="2" t="str">
        <f t="shared" si="14"/>
        <v>竹田直入ＦＣ_16</v>
      </c>
      <c r="B898" s="1" t="s">
        <v>5008</v>
      </c>
      <c r="C898" s="1" t="str">
        <f>("16")</f>
        <v>16</v>
      </c>
      <c r="D898" s="1" t="s">
        <v>210</v>
      </c>
      <c r="E898" s="1" t="s">
        <v>9293</v>
      </c>
      <c r="F898" s="1" t="s">
        <v>9294</v>
      </c>
      <c r="G898" s="1">
        <v>4</v>
      </c>
      <c r="H898" s="1" t="s">
        <v>229</v>
      </c>
      <c r="I898" s="1" t="str">
        <f>("1312100148")</f>
        <v>1312100148</v>
      </c>
    </row>
    <row r="899" spans="1:10" x14ac:dyDescent="0.45">
      <c r="A899" s="2" t="str">
        <f t="shared" si="14"/>
        <v>竹田直入ＦＣ_17</v>
      </c>
      <c r="B899" s="1" t="s">
        <v>5008</v>
      </c>
      <c r="C899" s="1" t="str">
        <f>("17")</f>
        <v>17</v>
      </c>
      <c r="D899" s="1" t="s">
        <v>209</v>
      </c>
      <c r="E899" s="1" t="s">
        <v>9295</v>
      </c>
      <c r="F899" s="1" t="s">
        <v>9296</v>
      </c>
      <c r="G899" s="1">
        <v>4</v>
      </c>
      <c r="H899" s="1" t="s">
        <v>229</v>
      </c>
      <c r="I899" s="1" t="str">
        <f>("1402080015")</f>
        <v>1402080015</v>
      </c>
    </row>
    <row r="900" spans="1:10" x14ac:dyDescent="0.45">
      <c r="A900" s="2" t="str">
        <f t="shared" si="14"/>
        <v>竹田直入ＦＣ_19</v>
      </c>
      <c r="B900" s="1" t="s">
        <v>5008</v>
      </c>
      <c r="C900" s="1" t="str">
        <f>("19")</f>
        <v>19</v>
      </c>
      <c r="D900" s="1" t="s">
        <v>210</v>
      </c>
      <c r="E900" s="1" t="s">
        <v>9297</v>
      </c>
      <c r="F900" s="1" t="s">
        <v>9298</v>
      </c>
      <c r="G900" s="1">
        <v>3</v>
      </c>
      <c r="H900" s="1" t="s">
        <v>229</v>
      </c>
      <c r="I900" s="1" t="str">
        <f>("1405090007")</f>
        <v>1405090007</v>
      </c>
    </row>
    <row r="901" spans="1:10" x14ac:dyDescent="0.45">
      <c r="A901" s="2" t="str">
        <f t="shared" si="14"/>
        <v>南立石サッカースポーツ少年団_1</v>
      </c>
      <c r="B901" s="1" t="s">
        <v>6525</v>
      </c>
      <c r="C901" s="1" t="str">
        <f>("1")</f>
        <v>1</v>
      </c>
      <c r="D901" s="1" t="s">
        <v>207</v>
      </c>
      <c r="E901" s="1" t="s">
        <v>6526</v>
      </c>
      <c r="F901" s="1" t="s">
        <v>6527</v>
      </c>
      <c r="G901" s="1">
        <v>6</v>
      </c>
      <c r="H901" s="1" t="s">
        <v>229</v>
      </c>
      <c r="I901" s="1" t="str">
        <f>("1110070103")</f>
        <v>1110070103</v>
      </c>
    </row>
    <row r="902" spans="1:10" x14ac:dyDescent="0.45">
      <c r="A902" s="2" t="str">
        <f t="shared" si="14"/>
        <v>南立石サッカースポーツ少年団_2</v>
      </c>
      <c r="B902" s="1" t="s">
        <v>6525</v>
      </c>
      <c r="C902" s="1" t="str">
        <f>("2")</f>
        <v>2</v>
      </c>
      <c r="D902" s="1" t="s">
        <v>209</v>
      </c>
      <c r="E902" s="1" t="s">
        <v>6528</v>
      </c>
      <c r="F902" s="1" t="s">
        <v>6529</v>
      </c>
      <c r="G902" s="1">
        <v>6</v>
      </c>
      <c r="H902" s="1" t="s">
        <v>229</v>
      </c>
      <c r="I902" s="1" t="str">
        <f>("1108170068")</f>
        <v>1108170068</v>
      </c>
      <c r="J902" s="1" t="s">
        <v>1858</v>
      </c>
    </row>
    <row r="903" spans="1:10" x14ac:dyDescent="0.45">
      <c r="A903" s="2" t="str">
        <f t="shared" si="14"/>
        <v>南立石サッカースポーツ少年団_3</v>
      </c>
      <c r="B903" s="1" t="s">
        <v>6525</v>
      </c>
      <c r="C903" s="1" t="str">
        <f>("3")</f>
        <v>3</v>
      </c>
      <c r="D903" s="1" t="s">
        <v>210</v>
      </c>
      <c r="E903" s="1" t="s">
        <v>6534</v>
      </c>
      <c r="F903" s="1" t="s">
        <v>6535</v>
      </c>
      <c r="G903" s="1">
        <v>6</v>
      </c>
      <c r="H903" s="1" t="s">
        <v>229</v>
      </c>
      <c r="I903" s="1" t="str">
        <f>("1108310196")</f>
        <v>1108310196</v>
      </c>
    </row>
    <row r="904" spans="1:10" x14ac:dyDescent="0.45">
      <c r="A904" s="2" t="str">
        <f t="shared" si="14"/>
        <v>南立石サッカースポーツ少年団_4</v>
      </c>
      <c r="B904" s="1" t="s">
        <v>6525</v>
      </c>
      <c r="C904" s="1" t="str">
        <f>("4")</f>
        <v>4</v>
      </c>
      <c r="D904" s="1" t="s">
        <v>208</v>
      </c>
      <c r="E904" s="1" t="s">
        <v>6530</v>
      </c>
      <c r="F904" s="1" t="s">
        <v>6531</v>
      </c>
      <c r="G904" s="1">
        <v>6</v>
      </c>
      <c r="H904" s="1" t="s">
        <v>229</v>
      </c>
      <c r="I904" s="1" t="str">
        <f>("1112280055")</f>
        <v>1112280055</v>
      </c>
    </row>
    <row r="905" spans="1:10" x14ac:dyDescent="0.45">
      <c r="A905" s="2" t="str">
        <f t="shared" si="14"/>
        <v>南立石サッカースポーツ少年団_8</v>
      </c>
      <c r="B905" s="1" t="s">
        <v>6525</v>
      </c>
      <c r="C905" s="1" t="str">
        <f>("8")</f>
        <v>8</v>
      </c>
      <c r="D905" s="1" t="s">
        <v>208</v>
      </c>
      <c r="E905" s="1" t="s">
        <v>6532</v>
      </c>
      <c r="F905" s="1" t="s">
        <v>6533</v>
      </c>
      <c r="G905" s="1">
        <v>6</v>
      </c>
      <c r="H905" s="1" t="s">
        <v>231</v>
      </c>
      <c r="I905" s="1" t="str">
        <f>("1112210063")</f>
        <v>1112210063</v>
      </c>
    </row>
    <row r="906" spans="1:10" x14ac:dyDescent="0.45">
      <c r="A906" s="2" t="str">
        <f t="shared" si="14"/>
        <v>南立石サッカースポーツ少年団_10</v>
      </c>
      <c r="B906" s="1" t="s">
        <v>6525</v>
      </c>
      <c r="C906" s="1" t="str">
        <f>("10")</f>
        <v>10</v>
      </c>
      <c r="D906" s="1" t="s">
        <v>209</v>
      </c>
      <c r="E906" s="1" t="s">
        <v>6540</v>
      </c>
      <c r="F906" s="1" t="s">
        <v>6541</v>
      </c>
      <c r="G906" s="1">
        <v>5</v>
      </c>
      <c r="H906" s="1" t="s">
        <v>229</v>
      </c>
      <c r="I906" s="1" t="str">
        <f>("1210300044")</f>
        <v>1210300044</v>
      </c>
    </row>
    <row r="907" spans="1:10" x14ac:dyDescent="0.45">
      <c r="A907" s="2" t="str">
        <f t="shared" si="14"/>
        <v>南立石サッカースポーツ少年団_11</v>
      </c>
      <c r="B907" s="1" t="s">
        <v>6525</v>
      </c>
      <c r="C907" s="1" t="str">
        <f>("11")</f>
        <v>11</v>
      </c>
      <c r="D907" s="1" t="s">
        <v>208</v>
      </c>
      <c r="E907" s="1" t="s">
        <v>6542</v>
      </c>
      <c r="F907" s="1" t="s">
        <v>6543</v>
      </c>
      <c r="G907" s="1">
        <v>5</v>
      </c>
      <c r="H907" s="1" t="s">
        <v>229</v>
      </c>
      <c r="I907" s="1" t="str">
        <f>("1210170049")</f>
        <v>1210170049</v>
      </c>
    </row>
    <row r="908" spans="1:10" x14ac:dyDescent="0.45">
      <c r="A908" s="2" t="str">
        <f t="shared" si="14"/>
        <v>南立石サッカースポーツ少年団_12</v>
      </c>
      <c r="B908" s="1" t="s">
        <v>6525</v>
      </c>
      <c r="C908" s="1" t="str">
        <f>("12")</f>
        <v>12</v>
      </c>
      <c r="D908" s="1" t="s">
        <v>207</v>
      </c>
      <c r="E908" s="1" t="s">
        <v>6552</v>
      </c>
      <c r="F908" s="1" t="s">
        <v>6553</v>
      </c>
      <c r="G908" s="1">
        <v>4</v>
      </c>
      <c r="H908" s="1" t="s">
        <v>229</v>
      </c>
      <c r="I908" s="1" t="str">
        <f>("1305210037")</f>
        <v>1305210037</v>
      </c>
    </row>
    <row r="909" spans="1:10" x14ac:dyDescent="0.45">
      <c r="A909" s="2" t="str">
        <f t="shared" si="14"/>
        <v>南立石サッカースポーツ少年団_14</v>
      </c>
      <c r="B909" s="1" t="s">
        <v>6525</v>
      </c>
      <c r="C909" s="1" t="str">
        <f>("14")</f>
        <v>14</v>
      </c>
      <c r="D909" s="1" t="s">
        <v>208</v>
      </c>
      <c r="E909" s="1" t="s">
        <v>6538</v>
      </c>
      <c r="F909" s="1" t="s">
        <v>6539</v>
      </c>
      <c r="G909" s="1">
        <v>4</v>
      </c>
      <c r="H909" s="1" t="s">
        <v>229</v>
      </c>
      <c r="I909" s="1" t="str">
        <f>("1309100020")</f>
        <v>1309100020</v>
      </c>
    </row>
    <row r="910" spans="1:10" x14ac:dyDescent="0.45">
      <c r="A910" s="2" t="str">
        <f t="shared" si="14"/>
        <v>南立石サッカースポーツ少年団_15</v>
      </c>
      <c r="B910" s="1" t="s">
        <v>6525</v>
      </c>
      <c r="C910" s="1" t="str">
        <f>("15")</f>
        <v>15</v>
      </c>
      <c r="D910" s="1" t="s">
        <v>208</v>
      </c>
      <c r="E910" s="1" t="s">
        <v>6554</v>
      </c>
      <c r="F910" s="1" t="s">
        <v>6555</v>
      </c>
      <c r="G910" s="1">
        <v>4</v>
      </c>
      <c r="H910" s="1" t="s">
        <v>229</v>
      </c>
      <c r="I910" s="1" t="str">
        <f>("1308210042")</f>
        <v>1308210042</v>
      </c>
    </row>
    <row r="911" spans="1:10" x14ac:dyDescent="0.45">
      <c r="A911" s="2" t="str">
        <f t="shared" si="14"/>
        <v>南立石サッカースポーツ少年団_16</v>
      </c>
      <c r="B911" s="1" t="s">
        <v>6525</v>
      </c>
      <c r="C911" s="1" t="str">
        <f>("16")</f>
        <v>16</v>
      </c>
      <c r="D911" s="1" t="s">
        <v>209</v>
      </c>
      <c r="E911" s="1" t="s">
        <v>6550</v>
      </c>
      <c r="F911" s="1" t="s">
        <v>6551</v>
      </c>
      <c r="G911" s="1">
        <v>4</v>
      </c>
      <c r="H911" s="1" t="s">
        <v>229</v>
      </c>
      <c r="I911" s="1" t="str">
        <f>("1312040015")</f>
        <v>1312040015</v>
      </c>
    </row>
    <row r="912" spans="1:10" x14ac:dyDescent="0.45">
      <c r="A912" s="2" t="str">
        <f t="shared" si="14"/>
        <v>南立石サッカースポーツ少年団_17</v>
      </c>
      <c r="B912" s="1" t="s">
        <v>6525</v>
      </c>
      <c r="C912" s="1" t="str">
        <f>("17")</f>
        <v>17</v>
      </c>
      <c r="D912" s="1" t="s">
        <v>210</v>
      </c>
      <c r="E912" s="1" t="s">
        <v>6546</v>
      </c>
      <c r="F912" s="1" t="s">
        <v>6547</v>
      </c>
      <c r="G912" s="1">
        <v>4</v>
      </c>
      <c r="H912" s="1" t="s">
        <v>229</v>
      </c>
      <c r="I912" s="1" t="str">
        <f>("1310040018")</f>
        <v>1310040018</v>
      </c>
    </row>
    <row r="913" spans="1:10" x14ac:dyDescent="0.45">
      <c r="A913" s="2" t="str">
        <f t="shared" si="14"/>
        <v>南立石サッカースポーツ少年団_18</v>
      </c>
      <c r="B913" s="1" t="s">
        <v>6525</v>
      </c>
      <c r="C913" s="1" t="str">
        <f>("18")</f>
        <v>18</v>
      </c>
      <c r="D913" s="1" t="s">
        <v>208</v>
      </c>
      <c r="E913" s="1" t="s">
        <v>6548</v>
      </c>
      <c r="F913" s="1" t="s">
        <v>6549</v>
      </c>
      <c r="G913" s="1">
        <v>4</v>
      </c>
      <c r="H913" s="1" t="s">
        <v>229</v>
      </c>
      <c r="I913" s="1" t="str">
        <f>("1402210033")</f>
        <v>1402210033</v>
      </c>
    </row>
    <row r="914" spans="1:10" x14ac:dyDescent="0.45">
      <c r="A914" s="2" t="str">
        <f t="shared" si="14"/>
        <v>南立石サッカースポーツ少年団_19</v>
      </c>
      <c r="B914" s="1" t="s">
        <v>6525</v>
      </c>
      <c r="C914" s="1" t="str">
        <f>("19")</f>
        <v>19</v>
      </c>
      <c r="D914" s="1" t="s">
        <v>209</v>
      </c>
      <c r="E914" s="1" t="s">
        <v>6536</v>
      </c>
      <c r="F914" s="1" t="s">
        <v>6537</v>
      </c>
      <c r="G914" s="1">
        <v>4</v>
      </c>
      <c r="H914" s="1" t="s">
        <v>229</v>
      </c>
      <c r="I914" s="1" t="str">
        <f>("1309190050")</f>
        <v>1309190050</v>
      </c>
    </row>
    <row r="915" spans="1:10" x14ac:dyDescent="0.45">
      <c r="A915" s="2" t="str">
        <f t="shared" si="14"/>
        <v>南立石サッカースポーツ少年団_20</v>
      </c>
      <c r="B915" s="1" t="s">
        <v>6525</v>
      </c>
      <c r="C915" s="1" t="str">
        <f>("20")</f>
        <v>20</v>
      </c>
      <c r="D915" s="1" t="s">
        <v>210</v>
      </c>
      <c r="E915" s="1" t="s">
        <v>6544</v>
      </c>
      <c r="F915" s="1" t="s">
        <v>6545</v>
      </c>
      <c r="G915" s="1">
        <v>4</v>
      </c>
      <c r="H915" s="1" t="s">
        <v>229</v>
      </c>
      <c r="I915" s="1" t="str">
        <f>("1310280030")</f>
        <v>1310280030</v>
      </c>
    </row>
    <row r="916" spans="1:10" x14ac:dyDescent="0.45">
      <c r="A916" s="2" t="str">
        <f t="shared" si="14"/>
        <v>南立石サッカースポーツ少年団_22</v>
      </c>
      <c r="B916" s="1" t="s">
        <v>6525</v>
      </c>
      <c r="C916" s="1" t="str">
        <f>("22")</f>
        <v>22</v>
      </c>
      <c r="D916" s="1" t="s">
        <v>210</v>
      </c>
      <c r="E916" s="1" t="s">
        <v>9299</v>
      </c>
      <c r="F916" s="1" t="s">
        <v>9300</v>
      </c>
      <c r="G916" s="1">
        <v>4</v>
      </c>
      <c r="H916" s="1" t="s">
        <v>229</v>
      </c>
      <c r="I916" s="1" t="str">
        <f>("1311020016")</f>
        <v>1311020016</v>
      </c>
    </row>
    <row r="917" spans="1:10" x14ac:dyDescent="0.45">
      <c r="A917" s="2" t="str">
        <f t="shared" si="14"/>
        <v>ドリームキッズフットボールクラブ_1</v>
      </c>
      <c r="B917" s="1" t="s">
        <v>3252</v>
      </c>
      <c r="C917" s="1" t="str">
        <f>("1")</f>
        <v>1</v>
      </c>
      <c r="D917" s="1" t="s">
        <v>207</v>
      </c>
      <c r="E917" s="1" t="s">
        <v>6566</v>
      </c>
      <c r="F917" s="1" t="s">
        <v>6567</v>
      </c>
      <c r="G917" s="1">
        <v>6</v>
      </c>
      <c r="H917" s="1" t="s">
        <v>229</v>
      </c>
      <c r="I917" s="1" t="str">
        <f>("1110150037")</f>
        <v>1110150037</v>
      </c>
    </row>
    <row r="918" spans="1:10" x14ac:dyDescent="0.45">
      <c r="A918" s="2" t="str">
        <f t="shared" si="14"/>
        <v>ドリームキッズフットボールクラブ_2</v>
      </c>
      <c r="B918" s="1" t="s">
        <v>3252</v>
      </c>
      <c r="C918" s="1" t="str">
        <f>("2")</f>
        <v>2</v>
      </c>
      <c r="D918" s="1" t="s">
        <v>208</v>
      </c>
      <c r="E918" s="1" t="s">
        <v>9301</v>
      </c>
      <c r="F918" s="1" t="s">
        <v>9302</v>
      </c>
      <c r="G918" s="1">
        <v>5</v>
      </c>
      <c r="H918" s="1" t="s">
        <v>229</v>
      </c>
      <c r="I918" s="1" t="str">
        <f>("1206050152")</f>
        <v>1206050152</v>
      </c>
    </row>
    <row r="919" spans="1:10" x14ac:dyDescent="0.45">
      <c r="A919" s="2" t="str">
        <f t="shared" si="14"/>
        <v>ドリームキッズフットボールクラブ_3</v>
      </c>
      <c r="B919" s="1" t="s">
        <v>3252</v>
      </c>
      <c r="C919" s="1" t="str">
        <f>("3")</f>
        <v>3</v>
      </c>
      <c r="D919" s="1" t="s">
        <v>208</v>
      </c>
      <c r="E919" s="1" t="s">
        <v>6560</v>
      </c>
      <c r="F919" s="1" t="s">
        <v>6561</v>
      </c>
      <c r="G919" s="1">
        <v>6</v>
      </c>
      <c r="H919" s="1" t="s">
        <v>229</v>
      </c>
      <c r="I919" s="1" t="str">
        <f>("1108190134")</f>
        <v>1108190134</v>
      </c>
    </row>
    <row r="920" spans="1:10" x14ac:dyDescent="0.45">
      <c r="A920" s="2" t="str">
        <f t="shared" si="14"/>
        <v>ドリームキッズフットボールクラブ_4</v>
      </c>
      <c r="B920" s="1" t="s">
        <v>3252</v>
      </c>
      <c r="C920" s="1" t="str">
        <f>("4")</f>
        <v>4</v>
      </c>
      <c r="D920" s="1" t="s">
        <v>208</v>
      </c>
      <c r="E920" s="1" t="s">
        <v>5517</v>
      </c>
      <c r="F920" s="1" t="s">
        <v>5518</v>
      </c>
      <c r="G920" s="1">
        <v>6</v>
      </c>
      <c r="H920" s="1" t="s">
        <v>229</v>
      </c>
      <c r="I920" s="1" t="str">
        <f>("1104220138")</f>
        <v>1104220138</v>
      </c>
      <c r="J920" s="1" t="s">
        <v>1858</v>
      </c>
    </row>
    <row r="921" spans="1:10" x14ac:dyDescent="0.45">
      <c r="A921" s="2" t="str">
        <f t="shared" si="14"/>
        <v>ドリームキッズフットボールクラブ_5</v>
      </c>
      <c r="B921" s="1" t="s">
        <v>3252</v>
      </c>
      <c r="C921" s="1" t="str">
        <f>("5")</f>
        <v>5</v>
      </c>
      <c r="D921" s="1" t="s">
        <v>209</v>
      </c>
      <c r="E921" s="1" t="s">
        <v>9303</v>
      </c>
      <c r="F921" s="1" t="s">
        <v>9304</v>
      </c>
      <c r="G921" s="1">
        <v>5</v>
      </c>
      <c r="H921" s="1" t="s">
        <v>229</v>
      </c>
      <c r="I921" s="1" t="str">
        <f>("1204080106")</f>
        <v>1204080106</v>
      </c>
    </row>
    <row r="922" spans="1:10" x14ac:dyDescent="0.45">
      <c r="A922" s="2" t="str">
        <f t="shared" si="14"/>
        <v>ドリームキッズフットボールクラブ_6</v>
      </c>
      <c r="B922" s="1" t="s">
        <v>3252</v>
      </c>
      <c r="C922" s="1" t="str">
        <f>("6")</f>
        <v>6</v>
      </c>
      <c r="D922" s="1" t="s">
        <v>208</v>
      </c>
      <c r="E922" s="1" t="s">
        <v>6564</v>
      </c>
      <c r="F922" s="1" t="s">
        <v>6565</v>
      </c>
      <c r="G922" s="1">
        <v>6</v>
      </c>
      <c r="H922" s="1" t="s">
        <v>229</v>
      </c>
      <c r="I922" s="1" t="str">
        <f>("1104060144")</f>
        <v>1104060144</v>
      </c>
    </row>
    <row r="923" spans="1:10" x14ac:dyDescent="0.45">
      <c r="A923" s="2" t="str">
        <f t="shared" si="14"/>
        <v>ドリームキッズフットボールクラブ_7</v>
      </c>
      <c r="B923" s="1" t="s">
        <v>3252</v>
      </c>
      <c r="C923" s="1" t="str">
        <f>("7")</f>
        <v>7</v>
      </c>
      <c r="D923" s="1" t="s">
        <v>209</v>
      </c>
      <c r="E923" s="1" t="s">
        <v>6562</v>
      </c>
      <c r="F923" s="1" t="s">
        <v>6563</v>
      </c>
      <c r="G923" s="1">
        <v>6</v>
      </c>
      <c r="H923" s="1" t="s">
        <v>229</v>
      </c>
      <c r="I923" s="1" t="str">
        <f>("1111080111")</f>
        <v>1111080111</v>
      </c>
    </row>
    <row r="924" spans="1:10" x14ac:dyDescent="0.45">
      <c r="A924" s="2" t="str">
        <f t="shared" si="14"/>
        <v>ドリームキッズフットボールクラブ_8</v>
      </c>
      <c r="B924" s="1" t="s">
        <v>3252</v>
      </c>
      <c r="C924" s="1" t="str">
        <f>("8")</f>
        <v>8</v>
      </c>
      <c r="D924" s="1" t="s">
        <v>208</v>
      </c>
      <c r="E924" s="1" t="s">
        <v>9305</v>
      </c>
      <c r="F924" s="1" t="s">
        <v>9306</v>
      </c>
      <c r="G924" s="1">
        <v>5</v>
      </c>
      <c r="H924" s="1" t="s">
        <v>229</v>
      </c>
      <c r="I924" s="1" t="str">
        <f>("1208030142")</f>
        <v>1208030142</v>
      </c>
    </row>
    <row r="925" spans="1:10" x14ac:dyDescent="0.45">
      <c r="A925" s="2" t="str">
        <f t="shared" si="14"/>
        <v>ドリームキッズフットボールクラブ_9</v>
      </c>
      <c r="B925" s="1" t="s">
        <v>3252</v>
      </c>
      <c r="C925" s="1" t="str">
        <f>("9")</f>
        <v>9</v>
      </c>
      <c r="D925" s="1" t="s">
        <v>209</v>
      </c>
      <c r="E925" s="1" t="s">
        <v>6558</v>
      </c>
      <c r="F925" s="1" t="s">
        <v>6559</v>
      </c>
      <c r="G925" s="1">
        <v>6</v>
      </c>
      <c r="H925" s="1" t="s">
        <v>229</v>
      </c>
      <c r="I925" s="1" t="str">
        <f>("1106190089")</f>
        <v>1106190089</v>
      </c>
    </row>
    <row r="926" spans="1:10" x14ac:dyDescent="0.45">
      <c r="A926" s="2" t="str">
        <f t="shared" si="14"/>
        <v>ドリームキッズフットボールクラブ_10</v>
      </c>
      <c r="B926" s="1" t="s">
        <v>3252</v>
      </c>
      <c r="C926" s="1" t="str">
        <f>("10")</f>
        <v>10</v>
      </c>
      <c r="D926" s="1" t="s">
        <v>209</v>
      </c>
      <c r="E926" s="1" t="s">
        <v>9307</v>
      </c>
      <c r="F926" s="1" t="s">
        <v>9308</v>
      </c>
      <c r="G926" s="1">
        <v>5</v>
      </c>
      <c r="H926" s="1" t="s">
        <v>229</v>
      </c>
      <c r="I926" s="1" t="str">
        <f>("1207120172")</f>
        <v>1207120172</v>
      </c>
    </row>
    <row r="927" spans="1:10" x14ac:dyDescent="0.45">
      <c r="A927" s="2" t="str">
        <f t="shared" si="14"/>
        <v>ドリームキッズフットボールクラブ_11</v>
      </c>
      <c r="B927" s="1" t="s">
        <v>3252</v>
      </c>
      <c r="C927" s="1" t="str">
        <f>("11")</f>
        <v>11</v>
      </c>
      <c r="D927" s="1" t="s">
        <v>210</v>
      </c>
      <c r="E927" s="1" t="s">
        <v>5515</v>
      </c>
      <c r="F927" s="1" t="s">
        <v>5516</v>
      </c>
      <c r="G927" s="1">
        <v>6</v>
      </c>
      <c r="H927" s="1" t="s">
        <v>229</v>
      </c>
      <c r="I927" s="1" t="str">
        <f>("1106290150")</f>
        <v>1106290150</v>
      </c>
    </row>
    <row r="928" spans="1:10" x14ac:dyDescent="0.45">
      <c r="A928" s="2" t="str">
        <f t="shared" si="14"/>
        <v>ドリームキッズフットボールクラブ_12</v>
      </c>
      <c r="B928" s="1" t="s">
        <v>3252</v>
      </c>
      <c r="C928" s="1" t="str">
        <f>("12")</f>
        <v>12</v>
      </c>
      <c r="D928" s="1" t="s">
        <v>208</v>
      </c>
      <c r="E928" s="1" t="s">
        <v>9309</v>
      </c>
      <c r="F928" s="1" t="s">
        <v>9310</v>
      </c>
      <c r="G928" s="1">
        <v>4</v>
      </c>
      <c r="H928" s="1" t="s">
        <v>229</v>
      </c>
      <c r="I928" s="1" t="str">
        <f>("1306140141")</f>
        <v>1306140141</v>
      </c>
    </row>
    <row r="929" spans="1:10" x14ac:dyDescent="0.45">
      <c r="A929" s="2" t="str">
        <f t="shared" si="14"/>
        <v>ドリームキッズフットボールクラブ_14</v>
      </c>
      <c r="B929" s="1" t="s">
        <v>3252</v>
      </c>
      <c r="C929" s="1" t="str">
        <f>("14")</f>
        <v>14</v>
      </c>
      <c r="D929" s="1" t="s">
        <v>210</v>
      </c>
      <c r="E929" s="1" t="s">
        <v>9311</v>
      </c>
      <c r="F929" s="1" t="s">
        <v>9312</v>
      </c>
      <c r="G929" s="1">
        <v>4</v>
      </c>
      <c r="H929" s="1" t="s">
        <v>229</v>
      </c>
      <c r="I929" s="1" t="str">
        <f>("1309080090")</f>
        <v>1309080090</v>
      </c>
    </row>
    <row r="930" spans="1:10" x14ac:dyDescent="0.45">
      <c r="A930" s="2" t="str">
        <f t="shared" si="14"/>
        <v>ドリームキッズフットボールクラブ_15</v>
      </c>
      <c r="B930" s="1" t="s">
        <v>3252</v>
      </c>
      <c r="C930" s="1" t="str">
        <f>("15")</f>
        <v>15</v>
      </c>
      <c r="D930" s="1" t="s">
        <v>208</v>
      </c>
      <c r="E930" s="1" t="s">
        <v>9313</v>
      </c>
      <c r="F930" s="1" t="s">
        <v>9314</v>
      </c>
      <c r="G930" s="1">
        <v>5</v>
      </c>
      <c r="H930" s="1" t="s">
        <v>229</v>
      </c>
      <c r="I930" s="1" t="str">
        <f>("1209130142")</f>
        <v>1209130142</v>
      </c>
    </row>
    <row r="931" spans="1:10" x14ac:dyDescent="0.45">
      <c r="A931" s="2" t="str">
        <f t="shared" si="14"/>
        <v>ドリームキッズフットボールクラブ_16</v>
      </c>
      <c r="B931" s="1" t="s">
        <v>3252</v>
      </c>
      <c r="C931" s="1" t="str">
        <f>("16")</f>
        <v>16</v>
      </c>
      <c r="D931" s="1" t="s">
        <v>207</v>
      </c>
      <c r="E931" s="1" t="s">
        <v>9315</v>
      </c>
      <c r="F931" s="1" t="s">
        <v>9316</v>
      </c>
      <c r="G931" s="1">
        <v>5</v>
      </c>
      <c r="H931" s="1" t="s">
        <v>229</v>
      </c>
      <c r="I931" s="1" t="str">
        <f>("1207130171")</f>
        <v>1207130171</v>
      </c>
    </row>
    <row r="932" spans="1:10" x14ac:dyDescent="0.45">
      <c r="A932" s="2" t="str">
        <f t="shared" si="14"/>
        <v>ドリームキッズフットボールクラブ_17</v>
      </c>
      <c r="B932" s="1" t="s">
        <v>3252</v>
      </c>
      <c r="C932" s="1" t="str">
        <f>("17")</f>
        <v>17</v>
      </c>
      <c r="D932" s="1" t="s">
        <v>208</v>
      </c>
      <c r="E932" s="1" t="s">
        <v>9317</v>
      </c>
      <c r="F932" s="1" t="s">
        <v>9318</v>
      </c>
      <c r="G932" s="1">
        <v>5</v>
      </c>
      <c r="H932" s="1" t="s">
        <v>229</v>
      </c>
      <c r="I932" s="1" t="str">
        <f>("1303230078")</f>
        <v>1303230078</v>
      </c>
    </row>
    <row r="933" spans="1:10" x14ac:dyDescent="0.45">
      <c r="A933" s="2" t="str">
        <f t="shared" si="14"/>
        <v>東陽フットボールクラブ_1</v>
      </c>
      <c r="B933" s="1" t="s">
        <v>3961</v>
      </c>
      <c r="C933" s="1" t="str">
        <f>("1")</f>
        <v>1</v>
      </c>
      <c r="D933" s="1" t="s">
        <v>207</v>
      </c>
      <c r="E933" s="1" t="s">
        <v>9319</v>
      </c>
      <c r="F933" s="1" t="s">
        <v>9320</v>
      </c>
      <c r="G933" s="1">
        <v>6</v>
      </c>
      <c r="H933" s="1" t="s">
        <v>229</v>
      </c>
      <c r="I933" s="1" t="str">
        <f>("1110130112")</f>
        <v>1110130112</v>
      </c>
    </row>
    <row r="934" spans="1:10" x14ac:dyDescent="0.45">
      <c r="A934" s="2" t="str">
        <f t="shared" si="14"/>
        <v>東陽フットボールクラブ_3</v>
      </c>
      <c r="B934" s="1" t="s">
        <v>3961</v>
      </c>
      <c r="C934" s="1" t="str">
        <f>("3")</f>
        <v>3</v>
      </c>
      <c r="D934" s="1" t="s">
        <v>208</v>
      </c>
      <c r="E934" s="1" t="s">
        <v>9321</v>
      </c>
      <c r="F934" s="1" t="s">
        <v>9322</v>
      </c>
      <c r="G934" s="1">
        <v>5</v>
      </c>
      <c r="H934" s="1" t="s">
        <v>229</v>
      </c>
      <c r="I934" s="1" t="str">
        <f>("1206290179")</f>
        <v>1206290179</v>
      </c>
    </row>
    <row r="935" spans="1:10" x14ac:dyDescent="0.45">
      <c r="A935" s="2" t="str">
        <f t="shared" si="14"/>
        <v>東陽フットボールクラブ_5</v>
      </c>
      <c r="B935" s="1" t="s">
        <v>3961</v>
      </c>
      <c r="C935" s="1" t="str">
        <f>("5")</f>
        <v>5</v>
      </c>
      <c r="D935" s="1" t="s">
        <v>208</v>
      </c>
      <c r="E935" s="1" t="s">
        <v>6574</v>
      </c>
      <c r="F935" s="1" t="s">
        <v>6575</v>
      </c>
      <c r="G935" s="1">
        <v>4</v>
      </c>
      <c r="H935" s="1" t="s">
        <v>229</v>
      </c>
      <c r="I935" s="1" t="str">
        <f>("1311210035")</f>
        <v>1311210035</v>
      </c>
    </row>
    <row r="936" spans="1:10" x14ac:dyDescent="0.45">
      <c r="A936" s="2" t="str">
        <f t="shared" si="14"/>
        <v>東陽フットボールクラブ_6</v>
      </c>
      <c r="B936" s="1" t="s">
        <v>3961</v>
      </c>
      <c r="C936" s="1" t="str">
        <f>("6")</f>
        <v>6</v>
      </c>
      <c r="D936" s="1" t="s">
        <v>209</v>
      </c>
      <c r="E936" s="1" t="s">
        <v>6572</v>
      </c>
      <c r="F936" s="1" t="s">
        <v>6573</v>
      </c>
      <c r="G936" s="1">
        <v>4</v>
      </c>
      <c r="H936" s="1" t="s">
        <v>229</v>
      </c>
      <c r="I936" s="1" t="str">
        <f>("1403250018")</f>
        <v>1403250018</v>
      </c>
    </row>
    <row r="937" spans="1:10" x14ac:dyDescent="0.45">
      <c r="A937" s="2" t="str">
        <f t="shared" si="14"/>
        <v>東陽フットボールクラブ_8</v>
      </c>
      <c r="B937" s="1" t="s">
        <v>3961</v>
      </c>
      <c r="C937" s="1" t="str">
        <f>("8")</f>
        <v>8</v>
      </c>
      <c r="D937" s="1" t="s">
        <v>208</v>
      </c>
      <c r="E937" s="1" t="s">
        <v>5534</v>
      </c>
      <c r="F937" s="1" t="s">
        <v>5535</v>
      </c>
      <c r="G937" s="1">
        <v>6</v>
      </c>
      <c r="H937" s="1" t="s">
        <v>229</v>
      </c>
      <c r="I937" s="1" t="str">
        <f>("1106230117")</f>
        <v>1106230117</v>
      </c>
    </row>
    <row r="938" spans="1:10" x14ac:dyDescent="0.45">
      <c r="A938" s="2" t="str">
        <f t="shared" si="14"/>
        <v>東陽フットボールクラブ_9</v>
      </c>
      <c r="B938" s="1" t="s">
        <v>3961</v>
      </c>
      <c r="C938" s="1" t="str">
        <f>("9")</f>
        <v>9</v>
      </c>
      <c r="D938" s="1" t="s">
        <v>210</v>
      </c>
      <c r="E938" s="1" t="s">
        <v>6568</v>
      </c>
      <c r="F938" s="1" t="s">
        <v>6569</v>
      </c>
      <c r="G938" s="1">
        <v>4</v>
      </c>
      <c r="H938" s="1" t="s">
        <v>229</v>
      </c>
      <c r="I938" s="1" t="str">
        <f>("1305030032")</f>
        <v>1305030032</v>
      </c>
    </row>
    <row r="939" spans="1:10" x14ac:dyDescent="0.45">
      <c r="A939" s="2" t="str">
        <f t="shared" si="14"/>
        <v>東陽フットボールクラブ_10</v>
      </c>
      <c r="B939" s="1" t="s">
        <v>3961</v>
      </c>
      <c r="C939" s="1" t="str">
        <f>("10")</f>
        <v>10</v>
      </c>
      <c r="D939" s="1" t="s">
        <v>209</v>
      </c>
      <c r="E939" s="1" t="s">
        <v>5531</v>
      </c>
      <c r="F939" s="1" t="s">
        <v>5532</v>
      </c>
      <c r="G939" s="1">
        <v>6</v>
      </c>
      <c r="H939" s="1" t="s">
        <v>229</v>
      </c>
      <c r="I939" s="1" t="str">
        <f>("1108090125")</f>
        <v>1108090125</v>
      </c>
      <c r="J939" s="1" t="s">
        <v>1858</v>
      </c>
    </row>
    <row r="940" spans="1:10" x14ac:dyDescent="0.45">
      <c r="A940" s="2" t="str">
        <f t="shared" si="14"/>
        <v>東陽フットボールクラブ_11</v>
      </c>
      <c r="B940" s="1" t="s">
        <v>3961</v>
      </c>
      <c r="C940" s="1" t="str">
        <f>("11")</f>
        <v>11</v>
      </c>
      <c r="D940" s="1" t="s">
        <v>210</v>
      </c>
      <c r="E940" s="1" t="s">
        <v>9323</v>
      </c>
      <c r="F940" s="1" t="s">
        <v>9324</v>
      </c>
      <c r="G940" s="1">
        <v>3</v>
      </c>
      <c r="H940" s="1" t="s">
        <v>229</v>
      </c>
      <c r="I940" s="1" t="str">
        <f>("1406120027")</f>
        <v>1406120027</v>
      </c>
    </row>
    <row r="941" spans="1:10" x14ac:dyDescent="0.45">
      <c r="A941" s="2" t="str">
        <f t="shared" si="14"/>
        <v>東陽フットボールクラブ_12</v>
      </c>
      <c r="B941" s="1" t="s">
        <v>3961</v>
      </c>
      <c r="C941" s="1" t="str">
        <f>("12")</f>
        <v>12</v>
      </c>
      <c r="D941" s="1" t="s">
        <v>209</v>
      </c>
      <c r="E941" s="1" t="s">
        <v>9325</v>
      </c>
      <c r="F941" s="1" t="s">
        <v>9326</v>
      </c>
      <c r="G941" s="1">
        <v>3</v>
      </c>
      <c r="H941" s="1" t="s">
        <v>229</v>
      </c>
      <c r="I941" s="1" t="str">
        <f>("1409300051")</f>
        <v>1409300051</v>
      </c>
    </row>
    <row r="942" spans="1:10" x14ac:dyDescent="0.45">
      <c r="A942" s="2" t="str">
        <f t="shared" si="14"/>
        <v>東陽フットボールクラブ_13</v>
      </c>
      <c r="B942" s="1" t="s">
        <v>3961</v>
      </c>
      <c r="C942" s="1" t="str">
        <f>("13")</f>
        <v>13</v>
      </c>
      <c r="D942" s="1" t="s">
        <v>209</v>
      </c>
      <c r="E942" s="1" t="s">
        <v>9327</v>
      </c>
      <c r="F942" s="1" t="s">
        <v>9328</v>
      </c>
      <c r="G942" s="1">
        <v>4</v>
      </c>
      <c r="H942" s="1" t="s">
        <v>229</v>
      </c>
      <c r="I942" s="1" t="str">
        <f>("1403110095")</f>
        <v>1403110095</v>
      </c>
    </row>
    <row r="943" spans="1:10" x14ac:dyDescent="0.45">
      <c r="A943" s="2" t="str">
        <f t="shared" si="14"/>
        <v>ＯＫＹ山香サッカークラブ_1</v>
      </c>
      <c r="B943" s="1" t="s">
        <v>5009</v>
      </c>
      <c r="C943" s="1" t="str">
        <f>("1")</f>
        <v>1</v>
      </c>
      <c r="D943" s="1" t="s">
        <v>207</v>
      </c>
      <c r="E943" s="1" t="s">
        <v>6576</v>
      </c>
      <c r="F943" s="1" t="s">
        <v>6577</v>
      </c>
      <c r="G943" s="1">
        <v>6</v>
      </c>
      <c r="H943" s="1" t="s">
        <v>229</v>
      </c>
      <c r="I943" s="1" t="str">
        <f>("1110190078")</f>
        <v>1110190078</v>
      </c>
    </row>
    <row r="944" spans="1:10" x14ac:dyDescent="0.45">
      <c r="A944" s="2" t="str">
        <f t="shared" si="14"/>
        <v>ＯＫＹ山香サッカークラブ_2</v>
      </c>
      <c r="B944" s="1" t="s">
        <v>5009</v>
      </c>
      <c r="C944" s="1" t="str">
        <f>("2")</f>
        <v>2</v>
      </c>
      <c r="D944" s="1" t="s">
        <v>208</v>
      </c>
      <c r="E944" s="1" t="s">
        <v>6578</v>
      </c>
      <c r="F944" s="1" t="s">
        <v>6579</v>
      </c>
      <c r="G944" s="1">
        <v>6</v>
      </c>
      <c r="H944" s="1" t="s">
        <v>229</v>
      </c>
      <c r="I944" s="1" t="str">
        <f>("1107140100")</f>
        <v>1107140100</v>
      </c>
    </row>
    <row r="945" spans="1:10" x14ac:dyDescent="0.45">
      <c r="A945" s="2" t="str">
        <f t="shared" si="14"/>
        <v>ＯＫＹ山香サッカークラブ_3</v>
      </c>
      <c r="B945" s="1" t="s">
        <v>5009</v>
      </c>
      <c r="C945" s="1" t="str">
        <f>("3")</f>
        <v>3</v>
      </c>
      <c r="D945" s="1" t="s">
        <v>208</v>
      </c>
      <c r="E945" s="1" t="s">
        <v>1862</v>
      </c>
      <c r="F945" s="1" t="s">
        <v>1863</v>
      </c>
      <c r="G945" s="1">
        <v>6</v>
      </c>
      <c r="H945" s="1" t="s">
        <v>229</v>
      </c>
      <c r="I945" s="1" t="str">
        <f>("1110220059")</f>
        <v>1110220059</v>
      </c>
    </row>
    <row r="946" spans="1:10" x14ac:dyDescent="0.45">
      <c r="A946" s="2" t="str">
        <f t="shared" si="14"/>
        <v>ＯＫＹ山香サッカークラブ_4</v>
      </c>
      <c r="B946" s="1" t="s">
        <v>5009</v>
      </c>
      <c r="C946" s="1" t="str">
        <f>("4")</f>
        <v>4</v>
      </c>
      <c r="D946" s="1" t="s">
        <v>209</v>
      </c>
      <c r="E946" s="1" t="s">
        <v>9329</v>
      </c>
      <c r="F946" s="1" t="s">
        <v>9330</v>
      </c>
      <c r="G946" s="1">
        <v>6</v>
      </c>
      <c r="H946" s="1" t="s">
        <v>229</v>
      </c>
      <c r="I946" s="1" t="str">
        <f>("1112210226")</f>
        <v>1112210226</v>
      </c>
    </row>
    <row r="947" spans="1:10" x14ac:dyDescent="0.45">
      <c r="A947" s="2" t="str">
        <f t="shared" si="14"/>
        <v>ＯＫＹ山香サッカークラブ_5</v>
      </c>
      <c r="B947" s="1" t="s">
        <v>5009</v>
      </c>
      <c r="C947" s="1" t="str">
        <f>("5")</f>
        <v>5</v>
      </c>
      <c r="D947" s="1" t="s">
        <v>208</v>
      </c>
      <c r="E947" s="1" t="s">
        <v>6592</v>
      </c>
      <c r="F947" s="1" t="s">
        <v>6593</v>
      </c>
      <c r="G947" s="1">
        <v>5</v>
      </c>
      <c r="H947" s="1" t="s">
        <v>229</v>
      </c>
      <c r="I947" s="1" t="str">
        <f>("1302020047")</f>
        <v>1302020047</v>
      </c>
    </row>
    <row r="948" spans="1:10" x14ac:dyDescent="0.45">
      <c r="A948" s="2" t="str">
        <f t="shared" si="14"/>
        <v>ＯＫＹ山香サッカークラブ_6</v>
      </c>
      <c r="B948" s="1" t="s">
        <v>5009</v>
      </c>
      <c r="C948" s="1" t="str">
        <f>("6")</f>
        <v>6</v>
      </c>
      <c r="D948" s="1" t="s">
        <v>208</v>
      </c>
      <c r="E948" s="1" t="s">
        <v>6588</v>
      </c>
      <c r="F948" s="1" t="s">
        <v>6589</v>
      </c>
      <c r="G948" s="1">
        <v>5</v>
      </c>
      <c r="H948" s="1" t="s">
        <v>229</v>
      </c>
      <c r="I948" s="1" t="str">
        <f>("1210130049")</f>
        <v>1210130049</v>
      </c>
    </row>
    <row r="949" spans="1:10" x14ac:dyDescent="0.45">
      <c r="A949" s="2" t="str">
        <f t="shared" si="14"/>
        <v>ＯＫＹ山香サッカークラブ_7</v>
      </c>
      <c r="B949" s="1" t="s">
        <v>5009</v>
      </c>
      <c r="C949" s="1" t="str">
        <f>("7")</f>
        <v>7</v>
      </c>
      <c r="D949" s="1" t="s">
        <v>209</v>
      </c>
      <c r="E949" s="1" t="s">
        <v>6580</v>
      </c>
      <c r="F949" s="1" t="s">
        <v>6581</v>
      </c>
      <c r="G949" s="1">
        <v>6</v>
      </c>
      <c r="H949" s="1" t="s">
        <v>229</v>
      </c>
      <c r="I949" s="1" t="str">
        <f>("1201280078")</f>
        <v>1201280078</v>
      </c>
    </row>
    <row r="950" spans="1:10" x14ac:dyDescent="0.45">
      <c r="A950" s="2" t="str">
        <f t="shared" si="14"/>
        <v>ＯＫＹ山香サッカークラブ_8</v>
      </c>
      <c r="B950" s="1" t="s">
        <v>5009</v>
      </c>
      <c r="C950" s="1" t="str">
        <f>("8")</f>
        <v>8</v>
      </c>
      <c r="D950" s="1" t="s">
        <v>209</v>
      </c>
      <c r="E950" s="1" t="s">
        <v>6582</v>
      </c>
      <c r="F950" s="1" t="s">
        <v>6583</v>
      </c>
      <c r="G950" s="1">
        <v>5</v>
      </c>
      <c r="H950" s="1" t="s">
        <v>229</v>
      </c>
      <c r="I950" s="1" t="str">
        <f>("1209190066")</f>
        <v>1209190066</v>
      </c>
    </row>
    <row r="951" spans="1:10" x14ac:dyDescent="0.45">
      <c r="A951" s="2" t="str">
        <f t="shared" si="14"/>
        <v>ＯＫＹ山香サッカークラブ_9</v>
      </c>
      <c r="B951" s="1" t="s">
        <v>5009</v>
      </c>
      <c r="C951" s="1" t="str">
        <f>("9")</f>
        <v>9</v>
      </c>
      <c r="D951" s="1" t="s">
        <v>210</v>
      </c>
      <c r="E951" s="1" t="s">
        <v>6584</v>
      </c>
      <c r="F951" s="1" t="s">
        <v>6585</v>
      </c>
      <c r="G951" s="1">
        <v>5</v>
      </c>
      <c r="H951" s="1" t="s">
        <v>229</v>
      </c>
      <c r="I951" s="1" t="str">
        <f>("1206150081")</f>
        <v>1206150081</v>
      </c>
    </row>
    <row r="952" spans="1:10" x14ac:dyDescent="0.45">
      <c r="A952" s="2" t="str">
        <f t="shared" si="14"/>
        <v>ＯＫＹ山香サッカークラブ_10</v>
      </c>
      <c r="B952" s="1" t="s">
        <v>5009</v>
      </c>
      <c r="C952" s="1" t="str">
        <f>("10")</f>
        <v>10</v>
      </c>
      <c r="D952" s="1" t="s">
        <v>209</v>
      </c>
      <c r="E952" s="1" t="s">
        <v>6596</v>
      </c>
      <c r="F952" s="1" t="s">
        <v>6597</v>
      </c>
      <c r="G952" s="1">
        <v>6</v>
      </c>
      <c r="H952" s="1" t="s">
        <v>229</v>
      </c>
      <c r="I952" s="1" t="str">
        <f>("1108210075")</f>
        <v>1108210075</v>
      </c>
      <c r="J952" s="1" t="s">
        <v>1858</v>
      </c>
    </row>
    <row r="953" spans="1:10" x14ac:dyDescent="0.45">
      <c r="A953" s="2" t="str">
        <f t="shared" si="14"/>
        <v>ＯＫＹ山香サッカークラブ_11</v>
      </c>
      <c r="B953" s="1" t="s">
        <v>5009</v>
      </c>
      <c r="C953" s="1" t="str">
        <f>("11")</f>
        <v>11</v>
      </c>
      <c r="D953" s="1" t="s">
        <v>209</v>
      </c>
      <c r="E953" s="1" t="s">
        <v>6586</v>
      </c>
      <c r="F953" s="1" t="s">
        <v>6587</v>
      </c>
      <c r="G953" s="1">
        <v>5</v>
      </c>
      <c r="H953" s="1" t="s">
        <v>229</v>
      </c>
      <c r="I953" s="1" t="str">
        <f>("1204120067")</f>
        <v>1204120067</v>
      </c>
    </row>
    <row r="954" spans="1:10" x14ac:dyDescent="0.45">
      <c r="A954" s="2" t="str">
        <f t="shared" si="14"/>
        <v>ＯＫＹ山香サッカークラブ_12</v>
      </c>
      <c r="B954" s="1" t="s">
        <v>5009</v>
      </c>
      <c r="C954" s="1" t="str">
        <f>("12")</f>
        <v>12</v>
      </c>
      <c r="D954" s="1" t="s">
        <v>208</v>
      </c>
      <c r="E954" s="1" t="s">
        <v>6594</v>
      </c>
      <c r="F954" s="1" t="s">
        <v>6595</v>
      </c>
      <c r="G954" s="1">
        <v>5</v>
      </c>
      <c r="H954" s="1" t="s">
        <v>229</v>
      </c>
      <c r="I954" s="1" t="str">
        <f>("1303140054")</f>
        <v>1303140054</v>
      </c>
    </row>
    <row r="955" spans="1:10" x14ac:dyDescent="0.45">
      <c r="A955" s="2" t="str">
        <f t="shared" si="14"/>
        <v>ＯＫＹ山香サッカークラブ_13</v>
      </c>
      <c r="B955" s="1" t="s">
        <v>5009</v>
      </c>
      <c r="C955" s="1" t="str">
        <f>("13")</f>
        <v>13</v>
      </c>
      <c r="D955" s="1" t="s">
        <v>210</v>
      </c>
      <c r="E955" s="1" t="s">
        <v>9331</v>
      </c>
      <c r="F955" s="1" t="s">
        <v>9332</v>
      </c>
      <c r="G955" s="1">
        <v>4</v>
      </c>
      <c r="H955" s="1" t="s">
        <v>229</v>
      </c>
      <c r="I955" s="1" t="str">
        <f>("1309090082")</f>
        <v>1309090082</v>
      </c>
    </row>
    <row r="956" spans="1:10" x14ac:dyDescent="0.45">
      <c r="A956" s="2" t="str">
        <f t="shared" si="14"/>
        <v>ＯＫＹ山香サッカークラブ_14</v>
      </c>
      <c r="B956" s="1" t="s">
        <v>5009</v>
      </c>
      <c r="C956" s="1" t="str">
        <f>("14")</f>
        <v>14</v>
      </c>
      <c r="D956" s="1" t="s">
        <v>209</v>
      </c>
      <c r="E956" s="1" t="s">
        <v>9333</v>
      </c>
      <c r="F956" s="1" t="s">
        <v>9334</v>
      </c>
      <c r="G956" s="1">
        <v>4</v>
      </c>
      <c r="H956" s="1" t="s">
        <v>229</v>
      </c>
      <c r="I956" s="1" t="str">
        <f>("1308050105")</f>
        <v>1308050105</v>
      </c>
    </row>
    <row r="957" spans="1:10" x14ac:dyDescent="0.45">
      <c r="A957" s="2" t="str">
        <f t="shared" si="14"/>
        <v>ＯＫＹ山香サッカークラブ_15</v>
      </c>
      <c r="B957" s="1" t="s">
        <v>5009</v>
      </c>
      <c r="C957" s="1" t="str">
        <f>("15")</f>
        <v>15</v>
      </c>
      <c r="D957" s="1" t="s">
        <v>210</v>
      </c>
      <c r="E957" s="1" t="s">
        <v>9335</v>
      </c>
      <c r="F957" s="1" t="s">
        <v>9336</v>
      </c>
      <c r="G957" s="1">
        <v>4</v>
      </c>
      <c r="H957" s="1" t="s">
        <v>229</v>
      </c>
      <c r="I957" s="1" t="str">
        <f>("1304100117")</f>
        <v>1304100117</v>
      </c>
    </row>
    <row r="958" spans="1:10" x14ac:dyDescent="0.45">
      <c r="A958" s="2" t="str">
        <f t="shared" si="14"/>
        <v>ＯＫＹ山香サッカークラブ_16</v>
      </c>
      <c r="B958" s="1" t="s">
        <v>5009</v>
      </c>
      <c r="C958" s="1" t="str">
        <f>("16")</f>
        <v>16</v>
      </c>
      <c r="D958" s="1" t="s">
        <v>207</v>
      </c>
      <c r="E958" s="1" t="s">
        <v>6590</v>
      </c>
      <c r="F958" s="1" t="s">
        <v>6591</v>
      </c>
      <c r="G958" s="1">
        <v>5</v>
      </c>
      <c r="H958" s="1" t="s">
        <v>229</v>
      </c>
      <c r="I958" s="1" t="str">
        <f>("1212020058")</f>
        <v>1212020058</v>
      </c>
    </row>
    <row r="959" spans="1:10" x14ac:dyDescent="0.45">
      <c r="A959" s="2" t="str">
        <f t="shared" si="14"/>
        <v>臼杵ＳＳＳ_1</v>
      </c>
      <c r="B959" s="1" t="s">
        <v>5010</v>
      </c>
      <c r="C959" s="1" t="str">
        <f>("1")</f>
        <v>1</v>
      </c>
      <c r="D959" s="1" t="s">
        <v>207</v>
      </c>
      <c r="E959" s="1" t="s">
        <v>6608</v>
      </c>
      <c r="F959" s="1" t="s">
        <v>6609</v>
      </c>
      <c r="G959" s="1">
        <v>6</v>
      </c>
      <c r="H959" s="1" t="s">
        <v>229</v>
      </c>
      <c r="I959" s="1" t="str">
        <f>("1107080150")</f>
        <v>1107080150</v>
      </c>
    </row>
    <row r="960" spans="1:10" x14ac:dyDescent="0.45">
      <c r="A960" s="2" t="str">
        <f t="shared" si="14"/>
        <v>臼杵ＳＳＳ_2</v>
      </c>
      <c r="B960" s="1" t="s">
        <v>5010</v>
      </c>
      <c r="C960" s="1" t="str">
        <f>("2")</f>
        <v>2</v>
      </c>
      <c r="D960" s="1" t="s">
        <v>210</v>
      </c>
      <c r="E960" s="1" t="s">
        <v>9337</v>
      </c>
      <c r="F960" s="1" t="s">
        <v>9338</v>
      </c>
      <c r="G960" s="1">
        <v>6</v>
      </c>
      <c r="H960" s="1" t="s">
        <v>229</v>
      </c>
      <c r="I960" s="1" t="str">
        <f>("1109180185")</f>
        <v>1109180185</v>
      </c>
    </row>
    <row r="961" spans="1:10" x14ac:dyDescent="0.45">
      <c r="A961" s="2" t="str">
        <f t="shared" ref="A961:A1024" si="15">CONCATENATE(B961,"_",C961)</f>
        <v>臼杵ＳＳＳ_3</v>
      </c>
      <c r="B961" s="1" t="s">
        <v>5010</v>
      </c>
      <c r="C961" s="1" t="str">
        <f>("3")</f>
        <v>3</v>
      </c>
      <c r="D961" s="1" t="s">
        <v>209</v>
      </c>
      <c r="E961" s="1" t="s">
        <v>9339</v>
      </c>
      <c r="F961" s="1" t="s">
        <v>9340</v>
      </c>
      <c r="G961" s="1">
        <v>6</v>
      </c>
      <c r="H961" s="1" t="s">
        <v>229</v>
      </c>
      <c r="I961" s="1" t="str">
        <f>("1106230225")</f>
        <v>1106230225</v>
      </c>
    </row>
    <row r="962" spans="1:10" x14ac:dyDescent="0.45">
      <c r="A962" s="2" t="str">
        <f t="shared" si="15"/>
        <v>臼杵ＳＳＳ_4</v>
      </c>
      <c r="B962" s="1" t="s">
        <v>5010</v>
      </c>
      <c r="C962" s="1" t="str">
        <f>("4")</f>
        <v>4</v>
      </c>
      <c r="D962" s="1" t="s">
        <v>210</v>
      </c>
      <c r="E962" s="1" t="s">
        <v>9341</v>
      </c>
      <c r="F962" s="1" t="s">
        <v>9342</v>
      </c>
      <c r="G962" s="1">
        <v>6</v>
      </c>
      <c r="H962" s="1" t="s">
        <v>229</v>
      </c>
      <c r="I962" s="1" t="str">
        <f>("1108290212")</f>
        <v>1108290212</v>
      </c>
    </row>
    <row r="963" spans="1:10" x14ac:dyDescent="0.45">
      <c r="A963" s="2" t="str">
        <f t="shared" si="15"/>
        <v>臼杵ＳＳＳ_5</v>
      </c>
      <c r="B963" s="1" t="s">
        <v>5010</v>
      </c>
      <c r="C963" s="1" t="str">
        <f>("5")</f>
        <v>5</v>
      </c>
      <c r="D963" s="1" t="s">
        <v>208</v>
      </c>
      <c r="E963" s="1" t="s">
        <v>6606</v>
      </c>
      <c r="F963" s="1" t="s">
        <v>6607</v>
      </c>
      <c r="G963" s="1">
        <v>6</v>
      </c>
      <c r="H963" s="1" t="s">
        <v>229</v>
      </c>
      <c r="I963" s="1" t="str">
        <f>("1111210201")</f>
        <v>1111210201</v>
      </c>
    </row>
    <row r="964" spans="1:10" x14ac:dyDescent="0.45">
      <c r="A964" s="2" t="str">
        <f t="shared" si="15"/>
        <v>臼杵ＳＳＳ_6</v>
      </c>
      <c r="B964" s="1" t="s">
        <v>5010</v>
      </c>
      <c r="C964" s="1" t="str">
        <f>("6")</f>
        <v>6</v>
      </c>
      <c r="D964" s="1" t="s">
        <v>209</v>
      </c>
      <c r="E964" s="1" t="s">
        <v>9343</v>
      </c>
      <c r="F964" s="1" t="s">
        <v>9344</v>
      </c>
      <c r="G964" s="1">
        <v>6</v>
      </c>
      <c r="H964" s="1" t="s">
        <v>229</v>
      </c>
      <c r="I964" s="1" t="str">
        <f>("1203150119")</f>
        <v>1203150119</v>
      </c>
    </row>
    <row r="965" spans="1:10" x14ac:dyDescent="0.45">
      <c r="A965" s="2" t="str">
        <f t="shared" si="15"/>
        <v>臼杵ＳＳＳ_7</v>
      </c>
      <c r="B965" s="1" t="s">
        <v>5010</v>
      </c>
      <c r="C965" s="1" t="str">
        <f>("7")</f>
        <v>7</v>
      </c>
      <c r="D965" s="1" t="s">
        <v>209</v>
      </c>
      <c r="E965" s="1" t="s">
        <v>6602</v>
      </c>
      <c r="F965" s="1" t="s">
        <v>6603</v>
      </c>
      <c r="G965" s="1">
        <v>6</v>
      </c>
      <c r="H965" s="1" t="s">
        <v>229</v>
      </c>
      <c r="I965" s="1" t="str">
        <f>("1201250128")</f>
        <v>1201250128</v>
      </c>
    </row>
    <row r="966" spans="1:10" x14ac:dyDescent="0.45">
      <c r="A966" s="2" t="str">
        <f t="shared" si="15"/>
        <v>臼杵ＳＳＳ_8</v>
      </c>
      <c r="B966" s="1" t="s">
        <v>5010</v>
      </c>
      <c r="C966" s="1" t="str">
        <f>("8")</f>
        <v>8</v>
      </c>
      <c r="D966" s="1" t="s">
        <v>208</v>
      </c>
      <c r="E966" s="1" t="s">
        <v>6598</v>
      </c>
      <c r="F966" s="1" t="s">
        <v>6599</v>
      </c>
      <c r="G966" s="1">
        <v>6</v>
      </c>
      <c r="H966" s="1" t="s">
        <v>229</v>
      </c>
      <c r="I966" s="1" t="str">
        <f>("1104150146")</f>
        <v>1104150146</v>
      </c>
    </row>
    <row r="967" spans="1:10" x14ac:dyDescent="0.45">
      <c r="A967" s="2" t="str">
        <f t="shared" si="15"/>
        <v>臼杵ＳＳＳ_9</v>
      </c>
      <c r="B967" s="1" t="s">
        <v>5010</v>
      </c>
      <c r="C967" s="1" t="str">
        <f>("9")</f>
        <v>9</v>
      </c>
      <c r="D967" s="1" t="s">
        <v>210</v>
      </c>
      <c r="E967" s="1" t="s">
        <v>6604</v>
      </c>
      <c r="F967" s="1" t="s">
        <v>6605</v>
      </c>
      <c r="G967" s="1">
        <v>6</v>
      </c>
      <c r="H967" s="1" t="s">
        <v>229</v>
      </c>
      <c r="I967" s="1" t="str">
        <f>("1201170204")</f>
        <v>1201170204</v>
      </c>
    </row>
    <row r="968" spans="1:10" x14ac:dyDescent="0.45">
      <c r="A968" s="2" t="str">
        <f t="shared" si="15"/>
        <v>臼杵ＳＳＳ_10</v>
      </c>
      <c r="B968" s="1" t="s">
        <v>5010</v>
      </c>
      <c r="C968" s="1" t="str">
        <f>("10")</f>
        <v>10</v>
      </c>
      <c r="D968" s="1" t="s">
        <v>208</v>
      </c>
      <c r="E968" s="1" t="s">
        <v>6600</v>
      </c>
      <c r="F968" s="1" t="s">
        <v>6601</v>
      </c>
      <c r="G968" s="1">
        <v>6</v>
      </c>
      <c r="H968" s="1" t="s">
        <v>229</v>
      </c>
      <c r="I968" s="1" t="str">
        <f>("1104200162")</f>
        <v>1104200162</v>
      </c>
      <c r="J968" s="1" t="s">
        <v>1858</v>
      </c>
    </row>
    <row r="969" spans="1:10" x14ac:dyDescent="0.45">
      <c r="A969" s="2" t="str">
        <f t="shared" si="15"/>
        <v>臼杵ＳＳＳ_11</v>
      </c>
      <c r="B969" s="1" t="s">
        <v>5010</v>
      </c>
      <c r="C969" s="1" t="str">
        <f>("11")</f>
        <v>11</v>
      </c>
      <c r="D969" s="1" t="s">
        <v>209</v>
      </c>
      <c r="E969" s="1" t="s">
        <v>9345</v>
      </c>
      <c r="F969" s="1" t="s">
        <v>9346</v>
      </c>
      <c r="G969" s="1">
        <v>6</v>
      </c>
      <c r="H969" s="1" t="s">
        <v>229</v>
      </c>
      <c r="I969" s="1" t="str">
        <f>("1105210176")</f>
        <v>1105210176</v>
      </c>
    </row>
    <row r="970" spans="1:10" x14ac:dyDescent="0.45">
      <c r="A970" s="2" t="str">
        <f t="shared" si="15"/>
        <v>臼杵ＳＳＳ_12</v>
      </c>
      <c r="B970" s="1" t="s">
        <v>5010</v>
      </c>
      <c r="C970" s="1" t="str">
        <f>("12")</f>
        <v>12</v>
      </c>
      <c r="D970" s="1" t="s">
        <v>209</v>
      </c>
      <c r="E970" s="1" t="s">
        <v>9347</v>
      </c>
      <c r="F970" s="1" t="s">
        <v>9348</v>
      </c>
      <c r="G970" s="1">
        <v>5</v>
      </c>
      <c r="H970" s="1" t="s">
        <v>229</v>
      </c>
      <c r="I970" s="1" t="str">
        <f>("1212110166")</f>
        <v>1212110166</v>
      </c>
    </row>
    <row r="971" spans="1:10" x14ac:dyDescent="0.45">
      <c r="A971" s="2" t="str">
        <f t="shared" si="15"/>
        <v>臼杵ＳＳＳ_13</v>
      </c>
      <c r="B971" s="1" t="s">
        <v>5010</v>
      </c>
      <c r="C971" s="1" t="str">
        <f>("13")</f>
        <v>13</v>
      </c>
      <c r="D971" s="1" t="s">
        <v>209</v>
      </c>
      <c r="E971" s="1" t="s">
        <v>9349</v>
      </c>
      <c r="F971" s="1" t="s">
        <v>9350</v>
      </c>
      <c r="G971" s="1">
        <v>5</v>
      </c>
      <c r="H971" s="1" t="s">
        <v>229</v>
      </c>
      <c r="I971" s="1" t="str">
        <f>("1303160094")</f>
        <v>1303160094</v>
      </c>
    </row>
    <row r="972" spans="1:10" x14ac:dyDescent="0.45">
      <c r="A972" s="2" t="str">
        <f t="shared" si="15"/>
        <v>臼杵ＳＳＳ_14</v>
      </c>
      <c r="B972" s="1" t="s">
        <v>5010</v>
      </c>
      <c r="C972" s="1" t="str">
        <f>("14")</f>
        <v>14</v>
      </c>
      <c r="D972" s="1" t="s">
        <v>210</v>
      </c>
      <c r="E972" s="1" t="s">
        <v>9351</v>
      </c>
      <c r="F972" s="1" t="s">
        <v>9352</v>
      </c>
      <c r="G972" s="1">
        <v>4</v>
      </c>
      <c r="H972" s="1" t="s">
        <v>229</v>
      </c>
      <c r="I972" s="1" t="str">
        <f>("1306170114")</f>
        <v>1306170114</v>
      </c>
    </row>
    <row r="973" spans="1:10" x14ac:dyDescent="0.45">
      <c r="A973" s="2" t="str">
        <f t="shared" si="15"/>
        <v>臼杵ＳＳＳ_15</v>
      </c>
      <c r="B973" s="1" t="s">
        <v>5010</v>
      </c>
      <c r="C973" s="1" t="str">
        <f>("15")</f>
        <v>15</v>
      </c>
      <c r="D973" s="1" t="s">
        <v>208</v>
      </c>
      <c r="E973" s="1" t="s">
        <v>9353</v>
      </c>
      <c r="F973" s="1" t="s">
        <v>9354</v>
      </c>
      <c r="G973" s="1">
        <v>6</v>
      </c>
      <c r="H973" s="1" t="s">
        <v>229</v>
      </c>
      <c r="I973" s="1" t="str">
        <f>("1110090179")</f>
        <v>1110090179</v>
      </c>
    </row>
    <row r="974" spans="1:10" x14ac:dyDescent="0.45">
      <c r="A974" s="2" t="str">
        <f t="shared" si="15"/>
        <v>臼杵ＳＳＳ_16</v>
      </c>
      <c r="B974" s="1" t="s">
        <v>5010</v>
      </c>
      <c r="C974" s="1" t="str">
        <f>("16")</f>
        <v>16</v>
      </c>
      <c r="D974" s="1" t="s">
        <v>207</v>
      </c>
      <c r="E974" s="1" t="s">
        <v>9355</v>
      </c>
      <c r="F974" s="1" t="s">
        <v>9356</v>
      </c>
      <c r="G974" s="1">
        <v>5</v>
      </c>
      <c r="H974" s="1" t="s">
        <v>229</v>
      </c>
      <c r="I974" s="1" t="str">
        <f>("1209120244")</f>
        <v>1209120244</v>
      </c>
    </row>
    <row r="975" spans="1:10" x14ac:dyDescent="0.45">
      <c r="A975" s="2" t="str">
        <f t="shared" si="15"/>
        <v>挾間ＪＦＣ_1</v>
      </c>
      <c r="B975" s="1" t="s">
        <v>3963</v>
      </c>
      <c r="C975" s="1" t="str">
        <f>("1")</f>
        <v>1</v>
      </c>
      <c r="D975" s="1" t="s">
        <v>207</v>
      </c>
      <c r="E975" s="1" t="s">
        <v>5540</v>
      </c>
      <c r="F975" s="1" t="s">
        <v>5541</v>
      </c>
      <c r="G975" s="1">
        <v>6</v>
      </c>
      <c r="H975" s="1" t="s">
        <v>229</v>
      </c>
      <c r="I975" s="1" t="str">
        <f>("1112280099")</f>
        <v>1112280099</v>
      </c>
      <c r="J975" s="1" t="s">
        <v>1858</v>
      </c>
    </row>
    <row r="976" spans="1:10" x14ac:dyDescent="0.45">
      <c r="A976" s="2" t="str">
        <f t="shared" si="15"/>
        <v>挾間ＪＦＣ_2</v>
      </c>
      <c r="B976" s="1" t="s">
        <v>3963</v>
      </c>
      <c r="C976" s="1" t="str">
        <f>("2")</f>
        <v>2</v>
      </c>
      <c r="D976" s="1" t="s">
        <v>210</v>
      </c>
      <c r="E976" s="1" t="s">
        <v>9357</v>
      </c>
      <c r="F976" s="1" t="s">
        <v>9358</v>
      </c>
      <c r="G976" s="1">
        <v>4</v>
      </c>
      <c r="H976" s="1" t="s">
        <v>229</v>
      </c>
      <c r="I976" s="1" t="str">
        <f>("1304160027")</f>
        <v>1304160027</v>
      </c>
    </row>
    <row r="977" spans="1:9" x14ac:dyDescent="0.45">
      <c r="A977" s="2" t="str">
        <f t="shared" si="15"/>
        <v>挾間ＪＦＣ_3</v>
      </c>
      <c r="B977" s="1" t="s">
        <v>3963</v>
      </c>
      <c r="C977" s="1" t="str">
        <f>("3")</f>
        <v>3</v>
      </c>
      <c r="D977" s="1" t="s">
        <v>208</v>
      </c>
      <c r="E977" s="1" t="s">
        <v>9359</v>
      </c>
      <c r="F977" s="1" t="s">
        <v>9360</v>
      </c>
      <c r="G977" s="1">
        <v>3</v>
      </c>
      <c r="H977" s="1" t="s">
        <v>229</v>
      </c>
      <c r="I977" s="1" t="str">
        <f>("1406060061")</f>
        <v>1406060061</v>
      </c>
    </row>
    <row r="978" spans="1:9" x14ac:dyDescent="0.45">
      <c r="A978" s="2" t="str">
        <f t="shared" si="15"/>
        <v>挾間ＪＦＣ_4</v>
      </c>
      <c r="B978" s="1" t="s">
        <v>3963</v>
      </c>
      <c r="C978" s="1" t="str">
        <f>("4")</f>
        <v>4</v>
      </c>
      <c r="D978" s="1" t="s">
        <v>208</v>
      </c>
      <c r="E978" s="1" t="s">
        <v>9361</v>
      </c>
      <c r="F978" s="1" t="s">
        <v>9362</v>
      </c>
      <c r="G978" s="1">
        <v>4</v>
      </c>
      <c r="H978" s="1" t="s">
        <v>229</v>
      </c>
      <c r="I978" s="1" t="str">
        <f>("1306130009")</f>
        <v>1306130009</v>
      </c>
    </row>
    <row r="979" spans="1:9" x14ac:dyDescent="0.45">
      <c r="A979" s="2" t="str">
        <f t="shared" si="15"/>
        <v>挾間ＪＦＣ_5</v>
      </c>
      <c r="B979" s="1" t="s">
        <v>3963</v>
      </c>
      <c r="C979" s="1" t="str">
        <f>("5")</f>
        <v>5</v>
      </c>
      <c r="D979" s="1" t="s">
        <v>209</v>
      </c>
      <c r="E979" s="1" t="s">
        <v>9363</v>
      </c>
      <c r="F979" s="1" t="s">
        <v>9364</v>
      </c>
      <c r="G979" s="1">
        <v>4</v>
      </c>
      <c r="H979" s="1" t="s">
        <v>229</v>
      </c>
      <c r="I979" s="1" t="str">
        <f>("1309280045")</f>
        <v>1309280045</v>
      </c>
    </row>
    <row r="980" spans="1:9" x14ac:dyDescent="0.45">
      <c r="A980" s="2" t="str">
        <f t="shared" si="15"/>
        <v>挾間ＪＦＣ_6</v>
      </c>
      <c r="B980" s="1" t="s">
        <v>3963</v>
      </c>
      <c r="C980" s="1" t="str">
        <f>("6")</f>
        <v>6</v>
      </c>
      <c r="D980" s="1" t="s">
        <v>209</v>
      </c>
      <c r="E980" s="1" t="s">
        <v>9365</v>
      </c>
      <c r="F980" s="1" t="s">
        <v>9366</v>
      </c>
      <c r="G980" s="1">
        <v>6</v>
      </c>
      <c r="H980" s="1" t="s">
        <v>229</v>
      </c>
      <c r="I980" s="1" t="str">
        <f>("1203080184")</f>
        <v>1203080184</v>
      </c>
    </row>
    <row r="981" spans="1:9" x14ac:dyDescent="0.45">
      <c r="A981" s="2" t="str">
        <f t="shared" si="15"/>
        <v>挾間ＪＦＣ_7</v>
      </c>
      <c r="B981" s="1" t="s">
        <v>3963</v>
      </c>
      <c r="C981" s="1" t="str">
        <f>("7")</f>
        <v>7</v>
      </c>
      <c r="D981" s="1" t="s">
        <v>210</v>
      </c>
      <c r="E981" s="1" t="s">
        <v>5546</v>
      </c>
      <c r="F981" s="1" t="s">
        <v>5547</v>
      </c>
      <c r="G981" s="1">
        <v>5</v>
      </c>
      <c r="H981" s="1" t="s">
        <v>229</v>
      </c>
      <c r="I981" s="1" t="str">
        <f>("1303040027")</f>
        <v>1303040027</v>
      </c>
    </row>
    <row r="982" spans="1:9" x14ac:dyDescent="0.45">
      <c r="A982" s="2" t="str">
        <f t="shared" si="15"/>
        <v>挾間ＪＦＣ_8</v>
      </c>
      <c r="B982" s="1" t="s">
        <v>3963</v>
      </c>
      <c r="C982" s="1" t="str">
        <f>("8")</f>
        <v>8</v>
      </c>
      <c r="D982" s="1" t="s">
        <v>209</v>
      </c>
      <c r="E982" s="1" t="s">
        <v>5542</v>
      </c>
      <c r="F982" s="1" t="s">
        <v>5543</v>
      </c>
      <c r="G982" s="1">
        <v>6</v>
      </c>
      <c r="H982" s="1" t="s">
        <v>229</v>
      </c>
      <c r="I982" s="1" t="str">
        <f>("1104240077")</f>
        <v>1104240077</v>
      </c>
    </row>
    <row r="983" spans="1:9" x14ac:dyDescent="0.45">
      <c r="A983" s="2" t="str">
        <f t="shared" si="15"/>
        <v>挾間ＪＦＣ_9</v>
      </c>
      <c r="B983" s="1" t="s">
        <v>3963</v>
      </c>
      <c r="C983" s="1" t="str">
        <f>("9")</f>
        <v>9</v>
      </c>
      <c r="D983" s="1" t="s">
        <v>209</v>
      </c>
      <c r="E983" s="1" t="s">
        <v>9367</v>
      </c>
      <c r="F983" s="1" t="s">
        <v>9368</v>
      </c>
      <c r="G983" s="1">
        <v>4</v>
      </c>
      <c r="H983" s="1" t="s">
        <v>229</v>
      </c>
      <c r="I983" s="1" t="str">
        <f>("1401140030")</f>
        <v>1401140030</v>
      </c>
    </row>
    <row r="984" spans="1:9" x14ac:dyDescent="0.45">
      <c r="A984" s="2" t="str">
        <f t="shared" si="15"/>
        <v>挾間ＪＦＣ_10</v>
      </c>
      <c r="B984" s="1" t="s">
        <v>3963</v>
      </c>
      <c r="C984" s="1" t="str">
        <f>("10")</f>
        <v>10</v>
      </c>
      <c r="D984" s="1" t="s">
        <v>209</v>
      </c>
      <c r="E984" s="1" t="s">
        <v>5548</v>
      </c>
      <c r="F984" s="1" t="s">
        <v>5549</v>
      </c>
      <c r="G984" s="1">
        <v>5</v>
      </c>
      <c r="H984" s="1" t="s">
        <v>229</v>
      </c>
      <c r="I984" s="1" t="str">
        <f>("1212050032")</f>
        <v>1212050032</v>
      </c>
    </row>
    <row r="985" spans="1:9" x14ac:dyDescent="0.45">
      <c r="A985" s="2" t="str">
        <f t="shared" si="15"/>
        <v>挾間ＪＦＣ_11</v>
      </c>
      <c r="B985" s="1" t="s">
        <v>3963</v>
      </c>
      <c r="C985" s="1" t="str">
        <f>("11")</f>
        <v>11</v>
      </c>
      <c r="D985" s="1" t="s">
        <v>208</v>
      </c>
      <c r="E985" s="1" t="s">
        <v>6610</v>
      </c>
      <c r="F985" s="1" t="s">
        <v>6611</v>
      </c>
      <c r="G985" s="1">
        <v>6</v>
      </c>
      <c r="H985" s="1" t="s">
        <v>229</v>
      </c>
      <c r="I985" s="1" t="str">
        <f>("1107240181")</f>
        <v>1107240181</v>
      </c>
    </row>
    <row r="986" spans="1:9" x14ac:dyDescent="0.45">
      <c r="A986" s="2" t="str">
        <f t="shared" si="15"/>
        <v>挾間ＪＦＣ_12</v>
      </c>
      <c r="B986" s="1" t="s">
        <v>3963</v>
      </c>
      <c r="C986" s="1" t="str">
        <f>("12")</f>
        <v>12</v>
      </c>
      <c r="D986" s="1" t="s">
        <v>208</v>
      </c>
      <c r="E986" s="1" t="s">
        <v>9369</v>
      </c>
      <c r="F986" s="1" t="s">
        <v>9370</v>
      </c>
      <c r="G986" s="1">
        <v>3</v>
      </c>
      <c r="H986" s="1" t="s">
        <v>229</v>
      </c>
      <c r="I986" s="1" t="str">
        <f>("1407030052")</f>
        <v>1407030052</v>
      </c>
    </row>
    <row r="987" spans="1:9" x14ac:dyDescent="0.45">
      <c r="A987" s="2" t="str">
        <f t="shared" si="15"/>
        <v>挾間ＪＦＣ_13</v>
      </c>
      <c r="B987" s="1" t="s">
        <v>3963</v>
      </c>
      <c r="C987" s="1" t="str">
        <f>("13")</f>
        <v>13</v>
      </c>
      <c r="D987" s="1" t="s">
        <v>209</v>
      </c>
      <c r="E987" s="1" t="s">
        <v>9371</v>
      </c>
      <c r="F987" s="1" t="s">
        <v>9372</v>
      </c>
      <c r="G987" s="1">
        <v>3</v>
      </c>
      <c r="H987" s="1" t="s">
        <v>229</v>
      </c>
      <c r="I987" s="1" t="str">
        <f>("1409080042")</f>
        <v>1409080042</v>
      </c>
    </row>
    <row r="988" spans="1:9" x14ac:dyDescent="0.45">
      <c r="A988" s="2" t="str">
        <f t="shared" si="15"/>
        <v>挾間ＪＦＣ_14</v>
      </c>
      <c r="B988" s="1" t="s">
        <v>3963</v>
      </c>
      <c r="C988" s="1" t="str">
        <f>("14")</f>
        <v>14</v>
      </c>
      <c r="D988" s="1" t="s">
        <v>210</v>
      </c>
      <c r="E988" s="1" t="s">
        <v>9373</v>
      </c>
      <c r="F988" s="1" t="s">
        <v>9374</v>
      </c>
      <c r="G988" s="1">
        <v>3</v>
      </c>
      <c r="H988" s="1" t="s">
        <v>229</v>
      </c>
      <c r="I988" s="1" t="str">
        <f>("1409260054")</f>
        <v>1409260054</v>
      </c>
    </row>
    <row r="989" spans="1:9" x14ac:dyDescent="0.45">
      <c r="A989" s="2" t="str">
        <f t="shared" si="15"/>
        <v>挾間ＪＦＣ_15</v>
      </c>
      <c r="B989" s="1" t="s">
        <v>3963</v>
      </c>
      <c r="C989" s="1" t="str">
        <f>("15")</f>
        <v>15</v>
      </c>
      <c r="D989" s="1" t="s">
        <v>209</v>
      </c>
      <c r="E989" s="1" t="s">
        <v>9375</v>
      </c>
      <c r="F989" s="1" t="s">
        <v>9376</v>
      </c>
      <c r="G989" s="1">
        <v>3</v>
      </c>
      <c r="H989" s="1" t="s">
        <v>229</v>
      </c>
      <c r="I989" s="1" t="str">
        <f>("1409090036")</f>
        <v>1409090036</v>
      </c>
    </row>
    <row r="990" spans="1:9" x14ac:dyDescent="0.45">
      <c r="A990" s="2" t="str">
        <f t="shared" si="15"/>
        <v>ＦＣ安岐_1</v>
      </c>
      <c r="B990" s="1" t="s">
        <v>3334</v>
      </c>
      <c r="C990" s="1" t="str">
        <f>("1")</f>
        <v>1</v>
      </c>
      <c r="D990" s="1" t="s">
        <v>207</v>
      </c>
      <c r="E990" s="1" t="s">
        <v>6618</v>
      </c>
      <c r="F990" s="1" t="s">
        <v>6619</v>
      </c>
      <c r="G990" s="1">
        <v>5</v>
      </c>
      <c r="H990" s="1" t="s">
        <v>229</v>
      </c>
      <c r="I990" s="1" t="str">
        <f>("1212230001")</f>
        <v>1212230001</v>
      </c>
    </row>
    <row r="991" spans="1:9" x14ac:dyDescent="0.45">
      <c r="A991" s="2" t="str">
        <f t="shared" si="15"/>
        <v>ＦＣ安岐_2</v>
      </c>
      <c r="B991" s="1" t="s">
        <v>3334</v>
      </c>
      <c r="C991" s="1" t="str">
        <f>("2")</f>
        <v>2</v>
      </c>
      <c r="D991" s="1" t="s">
        <v>208</v>
      </c>
      <c r="E991" s="1" t="s">
        <v>9377</v>
      </c>
      <c r="F991" s="1" t="s">
        <v>9378</v>
      </c>
      <c r="G991" s="1">
        <v>6</v>
      </c>
      <c r="H991" s="1" t="s">
        <v>231</v>
      </c>
      <c r="I991" s="1" t="str">
        <f>("1112010039")</f>
        <v>1112010039</v>
      </c>
    </row>
    <row r="992" spans="1:9" x14ac:dyDescent="0.45">
      <c r="A992" s="2" t="str">
        <f t="shared" si="15"/>
        <v>ＦＣ安岐_3</v>
      </c>
      <c r="B992" s="1" t="s">
        <v>3334</v>
      </c>
      <c r="C992" s="1" t="str">
        <f>("3")</f>
        <v>3</v>
      </c>
      <c r="D992" s="1" t="s">
        <v>210</v>
      </c>
      <c r="E992" s="1" t="s">
        <v>9379</v>
      </c>
      <c r="F992" s="1" t="s">
        <v>9380</v>
      </c>
      <c r="G992" s="1">
        <v>5</v>
      </c>
      <c r="H992" s="1" t="s">
        <v>229</v>
      </c>
      <c r="I992" s="1" t="str">
        <f>("1209200034")</f>
        <v>1209200034</v>
      </c>
    </row>
    <row r="993" spans="1:10" x14ac:dyDescent="0.45">
      <c r="A993" s="2" t="str">
        <f t="shared" si="15"/>
        <v>ＦＣ安岐_4</v>
      </c>
      <c r="B993" s="1" t="s">
        <v>3334</v>
      </c>
      <c r="C993" s="1" t="str">
        <f>("4")</f>
        <v>4</v>
      </c>
      <c r="D993" s="1" t="s">
        <v>208</v>
      </c>
      <c r="E993" s="1" t="s">
        <v>6614</v>
      </c>
      <c r="F993" s="1" t="s">
        <v>6615</v>
      </c>
      <c r="G993" s="1">
        <v>6</v>
      </c>
      <c r="H993" s="1" t="s">
        <v>229</v>
      </c>
      <c r="I993" s="1" t="str">
        <f>("1108280125")</f>
        <v>1108280125</v>
      </c>
    </row>
    <row r="994" spans="1:10" x14ac:dyDescent="0.45">
      <c r="A994" s="2" t="str">
        <f t="shared" si="15"/>
        <v>ＦＣ安岐_5</v>
      </c>
      <c r="B994" s="1" t="s">
        <v>3334</v>
      </c>
      <c r="C994" s="1" t="str">
        <f>("5")</f>
        <v>5</v>
      </c>
      <c r="D994" s="1" t="s">
        <v>210</v>
      </c>
      <c r="E994" s="1" t="s">
        <v>6616</v>
      </c>
      <c r="F994" s="1" t="s">
        <v>6617</v>
      </c>
      <c r="G994" s="1">
        <v>6</v>
      </c>
      <c r="H994" s="1" t="s">
        <v>231</v>
      </c>
      <c r="I994" s="1" t="str">
        <f>("1111210097")</f>
        <v>1111210097</v>
      </c>
    </row>
    <row r="995" spans="1:10" x14ac:dyDescent="0.45">
      <c r="A995" s="2" t="str">
        <f t="shared" si="15"/>
        <v>ＦＣ安岐_6</v>
      </c>
      <c r="B995" s="1" t="s">
        <v>3334</v>
      </c>
      <c r="C995" s="1" t="str">
        <f>("6")</f>
        <v>6</v>
      </c>
      <c r="D995" s="1" t="s">
        <v>208</v>
      </c>
      <c r="E995" s="1" t="s">
        <v>5553</v>
      </c>
      <c r="F995" s="1" t="s">
        <v>5554</v>
      </c>
      <c r="G995" s="1">
        <v>6</v>
      </c>
      <c r="H995" s="1" t="s">
        <v>229</v>
      </c>
      <c r="I995" s="1" t="str">
        <f>("1110310038")</f>
        <v>1110310038</v>
      </c>
      <c r="J995" s="1" t="s">
        <v>1858</v>
      </c>
    </row>
    <row r="996" spans="1:10" x14ac:dyDescent="0.45">
      <c r="A996" s="2" t="str">
        <f t="shared" si="15"/>
        <v>ＦＣ安岐_7</v>
      </c>
      <c r="B996" s="1" t="s">
        <v>3334</v>
      </c>
      <c r="C996" s="1" t="str">
        <f>("7")</f>
        <v>7</v>
      </c>
      <c r="D996" s="1" t="s">
        <v>209</v>
      </c>
      <c r="E996" s="1" t="s">
        <v>5561</v>
      </c>
      <c r="F996" s="1" t="s">
        <v>5562</v>
      </c>
      <c r="G996" s="1">
        <v>6</v>
      </c>
      <c r="H996" s="1" t="s">
        <v>229</v>
      </c>
      <c r="I996" s="1" t="str">
        <f>("1108210040")</f>
        <v>1108210040</v>
      </c>
    </row>
    <row r="997" spans="1:10" x14ac:dyDescent="0.45">
      <c r="A997" s="2" t="str">
        <f t="shared" si="15"/>
        <v>ＦＣ安岐_8</v>
      </c>
      <c r="B997" s="1" t="s">
        <v>3334</v>
      </c>
      <c r="C997" s="1" t="str">
        <f>("8")</f>
        <v>8</v>
      </c>
      <c r="D997" s="1" t="s">
        <v>208</v>
      </c>
      <c r="E997" s="1" t="s">
        <v>6612</v>
      </c>
      <c r="F997" s="1" t="s">
        <v>6613</v>
      </c>
      <c r="G997" s="1">
        <v>5</v>
      </c>
      <c r="H997" s="1" t="s">
        <v>229</v>
      </c>
      <c r="I997" s="1" t="str">
        <f>("1207210079")</f>
        <v>1207210079</v>
      </c>
    </row>
    <row r="998" spans="1:10" x14ac:dyDescent="0.45">
      <c r="A998" s="2" t="str">
        <f t="shared" si="15"/>
        <v>ＦＣ安岐_9</v>
      </c>
      <c r="B998" s="1" t="s">
        <v>3334</v>
      </c>
      <c r="C998" s="1" t="str">
        <f>("9")</f>
        <v>9</v>
      </c>
      <c r="D998" s="1" t="s">
        <v>209</v>
      </c>
      <c r="E998" s="1" t="s">
        <v>5563</v>
      </c>
      <c r="F998" s="1" t="s">
        <v>5564</v>
      </c>
      <c r="G998" s="1">
        <v>5</v>
      </c>
      <c r="H998" s="1" t="s">
        <v>229</v>
      </c>
      <c r="I998" s="1" t="str">
        <f>("1208220047")</f>
        <v>1208220047</v>
      </c>
    </row>
    <row r="999" spans="1:10" x14ac:dyDescent="0.45">
      <c r="A999" s="2" t="str">
        <f t="shared" si="15"/>
        <v>ＦＣ安岐_10</v>
      </c>
      <c r="B999" s="1" t="s">
        <v>3334</v>
      </c>
      <c r="C999" s="1" t="str">
        <f>("10")</f>
        <v>10</v>
      </c>
      <c r="D999" s="1" t="s">
        <v>209</v>
      </c>
      <c r="E999" s="1" t="s">
        <v>5552</v>
      </c>
      <c r="F999" s="1" t="s">
        <v>2826</v>
      </c>
      <c r="G999" s="1">
        <v>6</v>
      </c>
      <c r="H999" s="1" t="s">
        <v>229</v>
      </c>
      <c r="I999" s="1" t="str">
        <f>("1202080041")</f>
        <v>1202080041</v>
      </c>
    </row>
    <row r="1000" spans="1:10" x14ac:dyDescent="0.45">
      <c r="A1000" s="2" t="str">
        <f t="shared" si="15"/>
        <v>ＦＣ安岐_11</v>
      </c>
      <c r="B1000" s="1" t="s">
        <v>3334</v>
      </c>
      <c r="C1000" s="1" t="str">
        <f>("11")</f>
        <v>11</v>
      </c>
      <c r="D1000" s="1" t="s">
        <v>208</v>
      </c>
      <c r="E1000" s="1" t="s">
        <v>9381</v>
      </c>
      <c r="F1000" s="1" t="s">
        <v>9382</v>
      </c>
      <c r="G1000" s="1">
        <v>6</v>
      </c>
      <c r="H1000" s="1" t="s">
        <v>229</v>
      </c>
      <c r="I1000" s="1" t="str">
        <f>("1109030035")</f>
        <v>1109030035</v>
      </c>
    </row>
    <row r="1001" spans="1:10" x14ac:dyDescent="0.45">
      <c r="A1001" s="2" t="str">
        <f t="shared" si="15"/>
        <v>ＦＣ安岐_12</v>
      </c>
      <c r="B1001" s="1" t="s">
        <v>3334</v>
      </c>
      <c r="C1001" s="1" t="str">
        <f>("12")</f>
        <v>12</v>
      </c>
      <c r="D1001" s="1" t="s">
        <v>209</v>
      </c>
      <c r="E1001" s="1" t="s">
        <v>9383</v>
      </c>
      <c r="F1001" s="1" t="s">
        <v>9384</v>
      </c>
      <c r="G1001" s="1">
        <v>4</v>
      </c>
      <c r="H1001" s="1" t="s">
        <v>229</v>
      </c>
      <c r="I1001" s="1" t="str">
        <f>("1306080135")</f>
        <v>1306080135</v>
      </c>
    </row>
    <row r="1002" spans="1:10" x14ac:dyDescent="0.45">
      <c r="A1002" s="2" t="str">
        <f t="shared" si="15"/>
        <v>ＦＣ安岐_13</v>
      </c>
      <c r="B1002" s="1" t="s">
        <v>3334</v>
      </c>
      <c r="C1002" s="1" t="str">
        <f>("13")</f>
        <v>13</v>
      </c>
      <c r="D1002" s="1" t="s">
        <v>210</v>
      </c>
      <c r="E1002" s="1" t="s">
        <v>9385</v>
      </c>
      <c r="F1002" s="1" t="s">
        <v>9386</v>
      </c>
      <c r="G1002" s="1">
        <v>3</v>
      </c>
      <c r="H1002" s="1" t="s">
        <v>229</v>
      </c>
      <c r="I1002" s="1" t="str">
        <f>("1407240059")</f>
        <v>1407240059</v>
      </c>
    </row>
    <row r="1003" spans="1:10" x14ac:dyDescent="0.45">
      <c r="A1003" s="2" t="str">
        <f t="shared" si="15"/>
        <v>ＦＣ安岐_16</v>
      </c>
      <c r="B1003" s="1" t="s">
        <v>3334</v>
      </c>
      <c r="C1003" s="1" t="str">
        <f>("16")</f>
        <v>16</v>
      </c>
      <c r="D1003" s="1" t="s">
        <v>207</v>
      </c>
      <c r="E1003" s="1" t="s">
        <v>5550</v>
      </c>
      <c r="F1003" s="1" t="s">
        <v>5551</v>
      </c>
      <c r="G1003" s="1">
        <v>6</v>
      </c>
      <c r="H1003" s="1" t="s">
        <v>229</v>
      </c>
      <c r="I1003" s="1" t="str">
        <f>("1201080053")</f>
        <v>1201080053</v>
      </c>
    </row>
    <row r="1004" spans="1:10" x14ac:dyDescent="0.45">
      <c r="A1004" s="2" t="str">
        <f t="shared" si="15"/>
        <v>スマイス・セレソン_1</v>
      </c>
      <c r="B1004" s="1" t="s">
        <v>2097</v>
      </c>
      <c r="C1004" s="1" t="str">
        <f>("1")</f>
        <v>1</v>
      </c>
      <c r="D1004" s="1" t="s">
        <v>207</v>
      </c>
      <c r="E1004" s="1" t="s">
        <v>9387</v>
      </c>
      <c r="F1004" s="1" t="s">
        <v>9388</v>
      </c>
      <c r="G1004" s="1">
        <v>6</v>
      </c>
      <c r="H1004" s="1" t="s">
        <v>229</v>
      </c>
      <c r="I1004" s="1" t="str">
        <f>("1109090119")</f>
        <v>1109090119</v>
      </c>
    </row>
    <row r="1005" spans="1:10" x14ac:dyDescent="0.45">
      <c r="A1005" s="2" t="str">
        <f t="shared" si="15"/>
        <v>スマイス・セレソン_2</v>
      </c>
      <c r="B1005" s="1" t="s">
        <v>2097</v>
      </c>
      <c r="C1005" s="1" t="str">
        <f>("2")</f>
        <v>2</v>
      </c>
      <c r="D1005" s="1" t="s">
        <v>208</v>
      </c>
      <c r="E1005" s="1" t="s">
        <v>9389</v>
      </c>
      <c r="F1005" s="1" t="s">
        <v>9390</v>
      </c>
      <c r="G1005" s="1">
        <v>6</v>
      </c>
      <c r="H1005" s="1" t="s">
        <v>229</v>
      </c>
      <c r="I1005" s="1" t="str">
        <f>("1202030151")</f>
        <v>1202030151</v>
      </c>
    </row>
    <row r="1006" spans="1:10" x14ac:dyDescent="0.45">
      <c r="A1006" s="2" t="str">
        <f t="shared" si="15"/>
        <v>スマイス・セレソン_3</v>
      </c>
      <c r="B1006" s="1" t="s">
        <v>2097</v>
      </c>
      <c r="C1006" s="1" t="str">
        <f>("3")</f>
        <v>3</v>
      </c>
      <c r="D1006" s="1" t="s">
        <v>208</v>
      </c>
      <c r="E1006" s="1" t="s">
        <v>9391</v>
      </c>
      <c r="F1006" s="1" t="s">
        <v>9392</v>
      </c>
      <c r="G1006" s="1">
        <v>6</v>
      </c>
      <c r="H1006" s="1" t="s">
        <v>229</v>
      </c>
      <c r="I1006" s="1" t="str">
        <f>("1203240135")</f>
        <v>1203240135</v>
      </c>
    </row>
    <row r="1007" spans="1:10" x14ac:dyDescent="0.45">
      <c r="A1007" s="2" t="str">
        <f t="shared" si="15"/>
        <v>スマイス・セレソン_4</v>
      </c>
      <c r="B1007" s="1" t="s">
        <v>2097</v>
      </c>
      <c r="C1007" s="1" t="str">
        <f>("4")</f>
        <v>4</v>
      </c>
      <c r="D1007" s="1" t="s">
        <v>208</v>
      </c>
      <c r="E1007" s="1" t="s">
        <v>9393</v>
      </c>
      <c r="F1007" s="1" t="s">
        <v>9394</v>
      </c>
      <c r="G1007" s="1">
        <v>6</v>
      </c>
      <c r="H1007" s="1" t="s">
        <v>229</v>
      </c>
      <c r="I1007" s="1" t="str">
        <f>("1111060121")</f>
        <v>1111060121</v>
      </c>
    </row>
    <row r="1008" spans="1:10" x14ac:dyDescent="0.45">
      <c r="A1008" s="2" t="str">
        <f t="shared" si="15"/>
        <v>スマイス・セレソン_5</v>
      </c>
      <c r="B1008" s="1" t="s">
        <v>2097</v>
      </c>
      <c r="C1008" s="1" t="str">
        <f>("5")</f>
        <v>5</v>
      </c>
      <c r="D1008" s="1" t="s">
        <v>210</v>
      </c>
      <c r="E1008" s="1" t="s">
        <v>9395</v>
      </c>
      <c r="F1008" s="1" t="s">
        <v>9396</v>
      </c>
      <c r="G1008" s="1">
        <v>6</v>
      </c>
      <c r="H1008" s="1" t="s">
        <v>229</v>
      </c>
      <c r="I1008" s="1" t="str">
        <f>("1105180166")</f>
        <v>1105180166</v>
      </c>
    </row>
    <row r="1009" spans="1:10" x14ac:dyDescent="0.45">
      <c r="A1009" s="2" t="str">
        <f t="shared" si="15"/>
        <v>スマイス・セレソン_6</v>
      </c>
      <c r="B1009" s="1" t="s">
        <v>2097</v>
      </c>
      <c r="C1009" s="1" t="str">
        <f>("6")</f>
        <v>6</v>
      </c>
      <c r="D1009" s="1" t="s">
        <v>209</v>
      </c>
      <c r="E1009" s="1" t="s">
        <v>9397</v>
      </c>
      <c r="F1009" s="1" t="s">
        <v>9398</v>
      </c>
      <c r="G1009" s="1">
        <v>6</v>
      </c>
      <c r="H1009" s="1" t="s">
        <v>231</v>
      </c>
      <c r="I1009" s="1" t="str">
        <f>("1203240136")</f>
        <v>1203240136</v>
      </c>
    </row>
    <row r="1010" spans="1:10" x14ac:dyDescent="0.45">
      <c r="A1010" s="2" t="str">
        <f t="shared" si="15"/>
        <v>スマイス・セレソン_7</v>
      </c>
      <c r="B1010" s="1" t="s">
        <v>2097</v>
      </c>
      <c r="C1010" s="1" t="str">
        <f>("7")</f>
        <v>7</v>
      </c>
      <c r="D1010" s="1" t="s">
        <v>209</v>
      </c>
      <c r="E1010" s="1" t="s">
        <v>9399</v>
      </c>
      <c r="F1010" s="1" t="s">
        <v>9400</v>
      </c>
      <c r="G1010" s="1">
        <v>6</v>
      </c>
      <c r="H1010" s="1" t="s">
        <v>229</v>
      </c>
      <c r="I1010" s="1" t="str">
        <f>("1104120219")</f>
        <v>1104120219</v>
      </c>
    </row>
    <row r="1011" spans="1:10" x14ac:dyDescent="0.45">
      <c r="A1011" s="2" t="str">
        <f t="shared" si="15"/>
        <v>スマイス・セレソン_8</v>
      </c>
      <c r="B1011" s="1" t="s">
        <v>2097</v>
      </c>
      <c r="C1011" s="1" t="str">
        <f>("8")</f>
        <v>8</v>
      </c>
      <c r="D1011" s="1" t="s">
        <v>210</v>
      </c>
      <c r="E1011" s="1" t="s">
        <v>9401</v>
      </c>
      <c r="F1011" s="1" t="s">
        <v>9402</v>
      </c>
      <c r="G1011" s="1">
        <v>6</v>
      </c>
      <c r="H1011" s="1" t="s">
        <v>229</v>
      </c>
      <c r="I1011" s="1" t="str">
        <f>("1105020153")</f>
        <v>1105020153</v>
      </c>
    </row>
    <row r="1012" spans="1:10" x14ac:dyDescent="0.45">
      <c r="A1012" s="2" t="str">
        <f t="shared" si="15"/>
        <v>スマイス・セレソン_9</v>
      </c>
      <c r="B1012" s="1" t="s">
        <v>2097</v>
      </c>
      <c r="C1012" s="1" t="str">
        <f>("9")</f>
        <v>9</v>
      </c>
      <c r="D1012" s="1" t="s">
        <v>209</v>
      </c>
      <c r="E1012" s="1" t="s">
        <v>6070</v>
      </c>
      <c r="F1012" s="1" t="s">
        <v>5071</v>
      </c>
      <c r="G1012" s="1">
        <v>6</v>
      </c>
      <c r="H1012" s="1" t="s">
        <v>229</v>
      </c>
      <c r="I1012" s="1" t="str">
        <f>("1105300180")</f>
        <v>1105300180</v>
      </c>
    </row>
    <row r="1013" spans="1:10" x14ac:dyDescent="0.45">
      <c r="A1013" s="2" t="str">
        <f t="shared" si="15"/>
        <v>スマイス・セレソン_10</v>
      </c>
      <c r="B1013" s="1" t="s">
        <v>2097</v>
      </c>
      <c r="C1013" s="1" t="str">
        <f>("10")</f>
        <v>10</v>
      </c>
      <c r="D1013" s="1" t="s">
        <v>210</v>
      </c>
      <c r="E1013" s="1" t="s">
        <v>5579</v>
      </c>
      <c r="F1013" s="1" t="s">
        <v>5580</v>
      </c>
      <c r="G1013" s="1">
        <v>6</v>
      </c>
      <c r="H1013" s="1" t="s">
        <v>229</v>
      </c>
      <c r="I1013" s="1" t="str">
        <f>("1104170089")</f>
        <v>1104170089</v>
      </c>
      <c r="J1013" s="1" t="s">
        <v>1858</v>
      </c>
    </row>
    <row r="1014" spans="1:10" x14ac:dyDescent="0.45">
      <c r="A1014" s="2" t="str">
        <f t="shared" si="15"/>
        <v>スマイス・セレソン_11</v>
      </c>
      <c r="B1014" s="1" t="s">
        <v>2097</v>
      </c>
      <c r="C1014" s="1" t="str">
        <f>("11")</f>
        <v>11</v>
      </c>
      <c r="D1014" s="1" t="s">
        <v>210</v>
      </c>
      <c r="E1014" s="1" t="s">
        <v>9403</v>
      </c>
      <c r="F1014" s="1" t="s">
        <v>9404</v>
      </c>
      <c r="G1014" s="1">
        <v>6</v>
      </c>
      <c r="H1014" s="1" t="s">
        <v>229</v>
      </c>
      <c r="I1014" s="1" t="str">
        <f>("1110040131")</f>
        <v>1110040131</v>
      </c>
    </row>
    <row r="1015" spans="1:10" x14ac:dyDescent="0.45">
      <c r="A1015" s="2" t="str">
        <f t="shared" si="15"/>
        <v>スマイス・セレソン_12</v>
      </c>
      <c r="B1015" s="1" t="s">
        <v>2097</v>
      </c>
      <c r="C1015" s="1" t="str">
        <f>("12")</f>
        <v>12</v>
      </c>
      <c r="D1015" s="1" t="s">
        <v>209</v>
      </c>
      <c r="E1015" s="1" t="s">
        <v>9405</v>
      </c>
      <c r="F1015" s="1" t="s">
        <v>9406</v>
      </c>
      <c r="G1015" s="1">
        <v>6</v>
      </c>
      <c r="H1015" s="1" t="s">
        <v>229</v>
      </c>
      <c r="I1015" s="1" t="str">
        <f>("1106230200")</f>
        <v>1106230200</v>
      </c>
    </row>
    <row r="1016" spans="1:10" x14ac:dyDescent="0.45">
      <c r="A1016" s="2" t="str">
        <f t="shared" si="15"/>
        <v>スマイス・セレソン_13</v>
      </c>
      <c r="B1016" s="1" t="s">
        <v>2097</v>
      </c>
      <c r="C1016" s="1" t="str">
        <f>("13")</f>
        <v>13</v>
      </c>
      <c r="D1016" s="1" t="s">
        <v>208</v>
      </c>
      <c r="E1016" s="1" t="s">
        <v>9407</v>
      </c>
      <c r="F1016" s="1" t="s">
        <v>9408</v>
      </c>
      <c r="G1016" s="1">
        <v>6</v>
      </c>
      <c r="H1016" s="1" t="s">
        <v>229</v>
      </c>
      <c r="I1016" s="1" t="str">
        <f>("1105290123")</f>
        <v>1105290123</v>
      </c>
    </row>
    <row r="1017" spans="1:10" x14ac:dyDescent="0.45">
      <c r="A1017" s="2" t="str">
        <f t="shared" si="15"/>
        <v>スマイス・セレソン_14</v>
      </c>
      <c r="B1017" s="1" t="s">
        <v>2097</v>
      </c>
      <c r="C1017" s="1" t="str">
        <f>("14")</f>
        <v>14</v>
      </c>
      <c r="D1017" s="1" t="s">
        <v>209</v>
      </c>
      <c r="E1017" s="1" t="s">
        <v>9409</v>
      </c>
      <c r="F1017" s="1" t="s">
        <v>9410</v>
      </c>
      <c r="G1017" s="1">
        <v>5</v>
      </c>
      <c r="H1017" s="1" t="s">
        <v>229</v>
      </c>
      <c r="I1017" s="1" t="str">
        <f>("1204090098")</f>
        <v>1204090098</v>
      </c>
    </row>
    <row r="1018" spans="1:10" x14ac:dyDescent="0.45">
      <c r="A1018" s="2" t="str">
        <f t="shared" si="15"/>
        <v>スマイス・セレソン_15</v>
      </c>
      <c r="B1018" s="1" t="s">
        <v>2097</v>
      </c>
      <c r="C1018" s="1" t="str">
        <f>("15")</f>
        <v>15</v>
      </c>
      <c r="D1018" s="1" t="s">
        <v>209</v>
      </c>
      <c r="E1018" s="1" t="s">
        <v>9411</v>
      </c>
      <c r="F1018" s="1" t="s">
        <v>9412</v>
      </c>
      <c r="G1018" s="1">
        <v>5</v>
      </c>
      <c r="H1018" s="1" t="s">
        <v>229</v>
      </c>
      <c r="I1018" s="1" t="str">
        <f>("1303150085")</f>
        <v>1303150085</v>
      </c>
    </row>
    <row r="1019" spans="1:10" x14ac:dyDescent="0.45">
      <c r="A1019" s="2" t="str">
        <f t="shared" si="15"/>
        <v>スマイス・セレソン_16</v>
      </c>
      <c r="B1019" s="1" t="s">
        <v>2097</v>
      </c>
      <c r="C1019" s="1" t="str">
        <f>("16")</f>
        <v>16</v>
      </c>
      <c r="D1019" s="1" t="s">
        <v>207</v>
      </c>
      <c r="E1019" s="1" t="s">
        <v>9413</v>
      </c>
      <c r="F1019" s="1" t="s">
        <v>9414</v>
      </c>
      <c r="G1019" s="1">
        <v>6</v>
      </c>
      <c r="H1019" s="1" t="s">
        <v>229</v>
      </c>
      <c r="I1019" s="1" t="str">
        <f>("1104200205")</f>
        <v>1104200205</v>
      </c>
    </row>
    <row r="1020" spans="1:10" x14ac:dyDescent="0.45">
      <c r="A1020" s="2" t="str">
        <f t="shared" si="15"/>
        <v>カティオーラフットボールクラブＵ－１２_1</v>
      </c>
      <c r="B1020" s="1" t="s">
        <v>3248</v>
      </c>
      <c r="C1020" s="1" t="str">
        <f>("1")</f>
        <v>1</v>
      </c>
      <c r="D1020" s="1" t="s">
        <v>207</v>
      </c>
      <c r="E1020" s="1" t="s">
        <v>9415</v>
      </c>
      <c r="F1020" s="1" t="s">
        <v>9416</v>
      </c>
      <c r="G1020" s="1">
        <v>6</v>
      </c>
      <c r="H1020" s="1" t="s">
        <v>229</v>
      </c>
      <c r="I1020" s="1" t="str">
        <f>("1105180176")</f>
        <v>1105180176</v>
      </c>
    </row>
    <row r="1021" spans="1:10" x14ac:dyDescent="0.45">
      <c r="A1021" s="2" t="str">
        <f t="shared" si="15"/>
        <v>カティオーラフットボールクラブＵ－１２_2</v>
      </c>
      <c r="B1021" s="1" t="s">
        <v>3248</v>
      </c>
      <c r="C1021" s="1" t="str">
        <f>("2")</f>
        <v>2</v>
      </c>
      <c r="D1021" s="1" t="s">
        <v>208</v>
      </c>
      <c r="E1021" s="1" t="s">
        <v>9417</v>
      </c>
      <c r="F1021" s="1" t="s">
        <v>9418</v>
      </c>
      <c r="G1021" s="1">
        <v>6</v>
      </c>
      <c r="H1021" s="1" t="s">
        <v>229</v>
      </c>
      <c r="I1021" s="1" t="str">
        <f>("1111060110")</f>
        <v>1111060110</v>
      </c>
    </row>
    <row r="1022" spans="1:10" x14ac:dyDescent="0.45">
      <c r="A1022" s="2" t="str">
        <f t="shared" si="15"/>
        <v>カティオーラフットボールクラブＵ－１２_3</v>
      </c>
      <c r="B1022" s="1" t="s">
        <v>3248</v>
      </c>
      <c r="C1022" s="1" t="str">
        <f>("3")</f>
        <v>3</v>
      </c>
      <c r="D1022" s="1" t="s">
        <v>208</v>
      </c>
      <c r="E1022" s="1" t="s">
        <v>6668</v>
      </c>
      <c r="F1022" s="1" t="s">
        <v>6669</v>
      </c>
      <c r="G1022" s="1">
        <v>6</v>
      </c>
      <c r="H1022" s="1" t="s">
        <v>229</v>
      </c>
      <c r="I1022" s="1" t="str">
        <f>("1109240139")</f>
        <v>1109240139</v>
      </c>
    </row>
    <row r="1023" spans="1:10" x14ac:dyDescent="0.45">
      <c r="A1023" s="2" t="str">
        <f t="shared" si="15"/>
        <v>カティオーラフットボールクラブＵ－１２_4</v>
      </c>
      <c r="B1023" s="1" t="s">
        <v>3248</v>
      </c>
      <c r="C1023" s="1" t="str">
        <f>("4")</f>
        <v>4</v>
      </c>
      <c r="D1023" s="1" t="s">
        <v>209</v>
      </c>
      <c r="E1023" s="1" t="s">
        <v>6648</v>
      </c>
      <c r="F1023" s="1" t="s">
        <v>6649</v>
      </c>
      <c r="G1023" s="1">
        <v>6</v>
      </c>
      <c r="H1023" s="1" t="s">
        <v>229</v>
      </c>
      <c r="I1023" s="1" t="str">
        <f>("1104040180")</f>
        <v>1104040180</v>
      </c>
    </row>
    <row r="1024" spans="1:10" x14ac:dyDescent="0.45">
      <c r="A1024" s="2" t="str">
        <f t="shared" si="15"/>
        <v>カティオーラフットボールクラブＵ－１２_5</v>
      </c>
      <c r="B1024" s="1" t="s">
        <v>3248</v>
      </c>
      <c r="C1024" s="1" t="str">
        <f>("5")</f>
        <v>5</v>
      </c>
      <c r="D1024" s="1" t="s">
        <v>208</v>
      </c>
      <c r="E1024" s="1" t="s">
        <v>6625</v>
      </c>
      <c r="F1024" s="1" t="s">
        <v>6626</v>
      </c>
      <c r="G1024" s="1">
        <v>6</v>
      </c>
      <c r="H1024" s="1" t="s">
        <v>229</v>
      </c>
      <c r="I1024" s="1" t="str">
        <f>("1105110213")</f>
        <v>1105110213</v>
      </c>
      <c r="J1024" s="1" t="s">
        <v>1858</v>
      </c>
    </row>
    <row r="1025" spans="1:9" x14ac:dyDescent="0.45">
      <c r="A1025" s="2" t="str">
        <f t="shared" ref="A1025:A1088" si="16">CONCATENATE(B1025,"_",C1025)</f>
        <v>カティオーラフットボールクラブＵ－１２_6</v>
      </c>
      <c r="B1025" s="1" t="s">
        <v>3248</v>
      </c>
      <c r="C1025" s="1" t="str">
        <f>("6")</f>
        <v>6</v>
      </c>
      <c r="D1025" s="1" t="s">
        <v>209</v>
      </c>
      <c r="E1025" s="1" t="s">
        <v>6634</v>
      </c>
      <c r="F1025" s="1" t="s">
        <v>6635</v>
      </c>
      <c r="G1025" s="1">
        <v>6</v>
      </c>
      <c r="H1025" s="1" t="s">
        <v>229</v>
      </c>
      <c r="I1025" s="1" t="str">
        <f>("1109270125")</f>
        <v>1109270125</v>
      </c>
    </row>
    <row r="1026" spans="1:9" x14ac:dyDescent="0.45">
      <c r="A1026" s="2" t="str">
        <f t="shared" si="16"/>
        <v>カティオーラフットボールクラブＵ－１２_7</v>
      </c>
      <c r="B1026" s="1" t="s">
        <v>3248</v>
      </c>
      <c r="C1026" s="1" t="str">
        <f>("7")</f>
        <v>7</v>
      </c>
      <c r="D1026" s="1" t="s">
        <v>209</v>
      </c>
      <c r="E1026" s="1" t="s">
        <v>6627</v>
      </c>
      <c r="F1026" s="1" t="s">
        <v>6628</v>
      </c>
      <c r="G1026" s="1">
        <v>6</v>
      </c>
      <c r="H1026" s="1" t="s">
        <v>229</v>
      </c>
      <c r="I1026" s="1" t="str">
        <f>("1107280172")</f>
        <v>1107280172</v>
      </c>
    </row>
    <row r="1027" spans="1:9" x14ac:dyDescent="0.45">
      <c r="A1027" s="2" t="str">
        <f t="shared" si="16"/>
        <v>カティオーラフットボールクラブＵ－１２_8</v>
      </c>
      <c r="B1027" s="1" t="s">
        <v>3248</v>
      </c>
      <c r="C1027" s="1" t="str">
        <f>("8")</f>
        <v>8</v>
      </c>
      <c r="D1027" s="1" t="s">
        <v>210</v>
      </c>
      <c r="E1027" s="1" t="s">
        <v>6624</v>
      </c>
      <c r="F1027" s="1" t="s">
        <v>6224</v>
      </c>
      <c r="G1027" s="1">
        <v>6</v>
      </c>
      <c r="H1027" s="1" t="s">
        <v>229</v>
      </c>
      <c r="I1027" s="1" t="str">
        <f>("1106060177")</f>
        <v>1106060177</v>
      </c>
    </row>
    <row r="1028" spans="1:9" x14ac:dyDescent="0.45">
      <c r="A1028" s="2" t="str">
        <f t="shared" si="16"/>
        <v>カティオーラフットボールクラブＵ－１２_9</v>
      </c>
      <c r="B1028" s="1" t="s">
        <v>3248</v>
      </c>
      <c r="C1028" s="1" t="str">
        <f>("9")</f>
        <v>9</v>
      </c>
      <c r="D1028" s="1" t="s">
        <v>210</v>
      </c>
      <c r="E1028" s="1" t="s">
        <v>6629</v>
      </c>
      <c r="F1028" s="1" t="s">
        <v>6630</v>
      </c>
      <c r="G1028" s="1">
        <v>5</v>
      </c>
      <c r="H1028" s="1" t="s">
        <v>229</v>
      </c>
      <c r="I1028" s="1" t="str">
        <f>("1302070091")</f>
        <v>1302070091</v>
      </c>
    </row>
    <row r="1029" spans="1:9" x14ac:dyDescent="0.45">
      <c r="A1029" s="2" t="str">
        <f t="shared" si="16"/>
        <v>カティオーラフットボールクラブＵ－１２_10</v>
      </c>
      <c r="B1029" s="1" t="s">
        <v>3248</v>
      </c>
      <c r="C1029" s="1" t="str">
        <f>("10")</f>
        <v>10</v>
      </c>
      <c r="D1029" s="1" t="s">
        <v>209</v>
      </c>
      <c r="E1029" s="1" t="s">
        <v>6622</v>
      </c>
      <c r="F1029" s="1" t="s">
        <v>6623</v>
      </c>
      <c r="G1029" s="1">
        <v>5</v>
      </c>
      <c r="H1029" s="1" t="s">
        <v>229</v>
      </c>
      <c r="I1029" s="1" t="str">
        <f>("1209070099")</f>
        <v>1209070099</v>
      </c>
    </row>
    <row r="1030" spans="1:9" x14ac:dyDescent="0.45">
      <c r="A1030" s="2" t="str">
        <f t="shared" si="16"/>
        <v>カティオーラフットボールクラブＵ－１２_11</v>
      </c>
      <c r="B1030" s="1" t="s">
        <v>3248</v>
      </c>
      <c r="C1030" s="1" t="str">
        <f>("11")</f>
        <v>11</v>
      </c>
      <c r="D1030" s="1" t="s">
        <v>209</v>
      </c>
      <c r="E1030" s="1" t="s">
        <v>6620</v>
      </c>
      <c r="F1030" s="1" t="s">
        <v>6621</v>
      </c>
      <c r="G1030" s="1">
        <v>6</v>
      </c>
      <c r="H1030" s="1" t="s">
        <v>229</v>
      </c>
      <c r="I1030" s="1" t="str">
        <f>("1202200153")</f>
        <v>1202200153</v>
      </c>
    </row>
    <row r="1031" spans="1:9" x14ac:dyDescent="0.45">
      <c r="A1031" s="2" t="str">
        <f t="shared" si="16"/>
        <v>カティオーラフットボールクラブＵ－１２_12</v>
      </c>
      <c r="B1031" s="1" t="s">
        <v>3248</v>
      </c>
      <c r="C1031" s="1" t="str">
        <f>("12")</f>
        <v>12</v>
      </c>
      <c r="D1031" s="1" t="s">
        <v>207</v>
      </c>
      <c r="E1031" s="1" t="s">
        <v>9419</v>
      </c>
      <c r="F1031" s="1" t="s">
        <v>9420</v>
      </c>
      <c r="G1031" s="1">
        <v>6</v>
      </c>
      <c r="H1031" s="1" t="s">
        <v>229</v>
      </c>
      <c r="I1031" s="1" t="str">
        <f>("1105280126")</f>
        <v>1105280126</v>
      </c>
    </row>
    <row r="1032" spans="1:9" x14ac:dyDescent="0.45">
      <c r="A1032" s="2" t="str">
        <f t="shared" si="16"/>
        <v>カティオーラフットボールクラブＵ－１２_13</v>
      </c>
      <c r="B1032" s="1" t="s">
        <v>3248</v>
      </c>
      <c r="C1032" s="1" t="str">
        <f>("13")</f>
        <v>13</v>
      </c>
      <c r="D1032" s="1" t="s">
        <v>209</v>
      </c>
      <c r="E1032" s="1" t="s">
        <v>9421</v>
      </c>
      <c r="F1032" s="1" t="s">
        <v>9422</v>
      </c>
      <c r="G1032" s="1">
        <v>6</v>
      </c>
      <c r="H1032" s="1" t="s">
        <v>229</v>
      </c>
      <c r="I1032" s="1" t="str">
        <f>("1106190122")</f>
        <v>1106190122</v>
      </c>
    </row>
    <row r="1033" spans="1:9" x14ac:dyDescent="0.45">
      <c r="A1033" s="2" t="str">
        <f t="shared" si="16"/>
        <v>カティオーラフットボールクラブＵ－１２_14</v>
      </c>
      <c r="B1033" s="1" t="s">
        <v>3248</v>
      </c>
      <c r="C1033" s="1" t="str">
        <f>("14")</f>
        <v>14</v>
      </c>
      <c r="D1033" s="1" t="s">
        <v>209</v>
      </c>
      <c r="E1033" s="1" t="s">
        <v>9423</v>
      </c>
      <c r="F1033" s="1" t="s">
        <v>9424</v>
      </c>
      <c r="G1033" s="1">
        <v>5</v>
      </c>
      <c r="H1033" s="1" t="s">
        <v>229</v>
      </c>
      <c r="I1033" s="1" t="str">
        <f>("1207220087")</f>
        <v>1207220087</v>
      </c>
    </row>
    <row r="1034" spans="1:9" x14ac:dyDescent="0.45">
      <c r="A1034" s="2" t="str">
        <f t="shared" si="16"/>
        <v>カティオーラフットボールクラブＵ－１２_15</v>
      </c>
      <c r="B1034" s="1" t="s">
        <v>3248</v>
      </c>
      <c r="C1034" s="1" t="str">
        <f>("15")</f>
        <v>15</v>
      </c>
      <c r="D1034" s="1" t="s">
        <v>210</v>
      </c>
      <c r="E1034" s="1" t="s">
        <v>5521</v>
      </c>
      <c r="F1034" s="1" t="s">
        <v>5522</v>
      </c>
      <c r="G1034" s="1">
        <v>6</v>
      </c>
      <c r="H1034" s="1" t="s">
        <v>229</v>
      </c>
      <c r="I1034" s="1" t="str">
        <f>("1110210107")</f>
        <v>1110210107</v>
      </c>
    </row>
    <row r="1035" spans="1:9" x14ac:dyDescent="0.45">
      <c r="A1035" s="2" t="str">
        <f t="shared" si="16"/>
        <v>カティオーラフットボールクラブＵ－１２　Ｎｅｘｔ_1</v>
      </c>
      <c r="B1035" s="1" t="s">
        <v>6631</v>
      </c>
      <c r="C1035" s="1" t="str">
        <f>("1")</f>
        <v>1</v>
      </c>
      <c r="D1035" s="1" t="s">
        <v>207</v>
      </c>
      <c r="E1035" s="1" t="s">
        <v>9425</v>
      </c>
      <c r="F1035" s="1" t="s">
        <v>9426</v>
      </c>
      <c r="G1035" s="1">
        <v>6</v>
      </c>
      <c r="H1035" s="1" t="s">
        <v>229</v>
      </c>
      <c r="I1035" s="1" t="str">
        <f>("1108090208")</f>
        <v>1108090208</v>
      </c>
    </row>
    <row r="1036" spans="1:9" x14ac:dyDescent="0.45">
      <c r="A1036" s="2" t="str">
        <f t="shared" si="16"/>
        <v>カティオーラフットボールクラブＵ－１２　Ｎｅｘｔ_2</v>
      </c>
      <c r="B1036" s="1" t="s">
        <v>6631</v>
      </c>
      <c r="C1036" s="1" t="str">
        <f>("2")</f>
        <v>2</v>
      </c>
      <c r="D1036" s="1" t="s">
        <v>210</v>
      </c>
      <c r="E1036" s="1" t="s">
        <v>9427</v>
      </c>
      <c r="F1036" s="1" t="s">
        <v>9428</v>
      </c>
      <c r="G1036" s="1">
        <v>5</v>
      </c>
      <c r="H1036" s="1" t="s">
        <v>229</v>
      </c>
      <c r="I1036" s="1" t="str">
        <f>("1204260100")</f>
        <v>1204260100</v>
      </c>
    </row>
    <row r="1037" spans="1:9" x14ac:dyDescent="0.45">
      <c r="A1037" s="2" t="str">
        <f t="shared" si="16"/>
        <v>カティオーラフットボールクラブＵ－１２　Ｎｅｘｔ_3</v>
      </c>
      <c r="B1037" s="1" t="s">
        <v>6631</v>
      </c>
      <c r="C1037" s="1" t="str">
        <f>("3")</f>
        <v>3</v>
      </c>
      <c r="D1037" s="1" t="s">
        <v>209</v>
      </c>
      <c r="E1037" s="1" t="s">
        <v>9429</v>
      </c>
      <c r="F1037" s="1" t="s">
        <v>9430</v>
      </c>
      <c r="G1037" s="1">
        <v>5</v>
      </c>
      <c r="H1037" s="1" t="s">
        <v>229</v>
      </c>
      <c r="I1037" s="1" t="str">
        <f>("1301020099")</f>
        <v>1301020099</v>
      </c>
    </row>
    <row r="1038" spans="1:9" x14ac:dyDescent="0.45">
      <c r="A1038" s="2" t="str">
        <f t="shared" si="16"/>
        <v>カティオーラフットボールクラブＵ－１２　Ｎｅｘｔ_4</v>
      </c>
      <c r="B1038" s="1" t="s">
        <v>6631</v>
      </c>
      <c r="C1038" s="1" t="str">
        <f>("4")</f>
        <v>4</v>
      </c>
      <c r="D1038" s="1" t="s">
        <v>209</v>
      </c>
      <c r="E1038" s="1" t="s">
        <v>9431</v>
      </c>
      <c r="F1038" s="1" t="s">
        <v>9432</v>
      </c>
      <c r="G1038" s="1">
        <v>5</v>
      </c>
      <c r="H1038" s="1" t="s">
        <v>229</v>
      </c>
      <c r="I1038" s="1" t="str">
        <f>("1205310096")</f>
        <v>1205310096</v>
      </c>
    </row>
    <row r="1039" spans="1:9" x14ac:dyDescent="0.45">
      <c r="A1039" s="2" t="str">
        <f t="shared" si="16"/>
        <v>カティオーラフットボールクラブＵ－１２　Ｎｅｘｔ_5</v>
      </c>
      <c r="B1039" s="1" t="s">
        <v>6631</v>
      </c>
      <c r="C1039" s="1" t="str">
        <f>("5")</f>
        <v>5</v>
      </c>
      <c r="D1039" s="1" t="s">
        <v>210</v>
      </c>
      <c r="E1039" s="1" t="s">
        <v>9433</v>
      </c>
      <c r="F1039" s="1" t="s">
        <v>9434</v>
      </c>
      <c r="G1039" s="1">
        <v>5</v>
      </c>
      <c r="H1039" s="1" t="s">
        <v>229</v>
      </c>
      <c r="I1039" s="1" t="str">
        <f>("1206050184")</f>
        <v>1206050184</v>
      </c>
    </row>
    <row r="1040" spans="1:9" x14ac:dyDescent="0.45">
      <c r="A1040" s="2" t="str">
        <f t="shared" si="16"/>
        <v>カティオーラフットボールクラブＵ－１２　Ｎｅｘｔ_6</v>
      </c>
      <c r="B1040" s="1" t="s">
        <v>6631</v>
      </c>
      <c r="C1040" s="1" t="str">
        <f>("6")</f>
        <v>6</v>
      </c>
      <c r="D1040" s="1" t="s">
        <v>209</v>
      </c>
      <c r="E1040" s="1" t="s">
        <v>9435</v>
      </c>
      <c r="F1040" s="1" t="s">
        <v>9436</v>
      </c>
      <c r="G1040" s="1">
        <v>6</v>
      </c>
      <c r="H1040" s="1" t="s">
        <v>229</v>
      </c>
      <c r="I1040" s="1" t="str">
        <f>("1201110203")</f>
        <v>1201110203</v>
      </c>
    </row>
    <row r="1041" spans="1:10" x14ac:dyDescent="0.45">
      <c r="A1041" s="2" t="str">
        <f t="shared" si="16"/>
        <v>カティオーラフットボールクラブＵ－１２　Ｎｅｘｔ_7</v>
      </c>
      <c r="B1041" s="1" t="s">
        <v>6631</v>
      </c>
      <c r="C1041" s="1" t="str">
        <f>("7")</f>
        <v>7</v>
      </c>
      <c r="D1041" s="1" t="s">
        <v>209</v>
      </c>
      <c r="E1041" s="1" t="s">
        <v>9437</v>
      </c>
      <c r="F1041" s="1" t="s">
        <v>9438</v>
      </c>
      <c r="G1041" s="1">
        <v>6</v>
      </c>
      <c r="H1041" s="1" t="s">
        <v>231</v>
      </c>
      <c r="I1041" s="1" t="str">
        <f>("1106200154")</f>
        <v>1106200154</v>
      </c>
    </row>
    <row r="1042" spans="1:10" x14ac:dyDescent="0.45">
      <c r="A1042" s="2" t="str">
        <f t="shared" si="16"/>
        <v>カティオーラフットボールクラブＵ－１２　Ｎｅｘｔ_8</v>
      </c>
      <c r="B1042" s="1" t="s">
        <v>6631</v>
      </c>
      <c r="C1042" s="1" t="str">
        <f>("8")</f>
        <v>8</v>
      </c>
      <c r="D1042" s="1" t="s">
        <v>208</v>
      </c>
      <c r="E1042" s="1" t="s">
        <v>9439</v>
      </c>
      <c r="F1042" s="1" t="s">
        <v>9440</v>
      </c>
      <c r="G1042" s="1">
        <v>6</v>
      </c>
      <c r="H1042" s="1" t="s">
        <v>229</v>
      </c>
      <c r="I1042" s="1" t="str">
        <f>("1110010113")</f>
        <v>1110010113</v>
      </c>
    </row>
    <row r="1043" spans="1:10" x14ac:dyDescent="0.45">
      <c r="A1043" s="2" t="str">
        <f t="shared" si="16"/>
        <v>カティオーラフットボールクラブＵ－１２　Ｎｅｘｔ_9</v>
      </c>
      <c r="B1043" s="1" t="s">
        <v>6631</v>
      </c>
      <c r="C1043" s="1" t="str">
        <f>("9")</f>
        <v>9</v>
      </c>
      <c r="D1043" s="1" t="s">
        <v>210</v>
      </c>
      <c r="E1043" s="1" t="s">
        <v>9441</v>
      </c>
      <c r="F1043" s="1" t="s">
        <v>9442</v>
      </c>
      <c r="G1043" s="1">
        <v>6</v>
      </c>
      <c r="H1043" s="1" t="s">
        <v>229</v>
      </c>
      <c r="I1043" s="1" t="str">
        <f>("1110040199")</f>
        <v>1110040199</v>
      </c>
    </row>
    <row r="1044" spans="1:10" x14ac:dyDescent="0.45">
      <c r="A1044" s="2" t="str">
        <f t="shared" si="16"/>
        <v>カティオーラフットボールクラブＵ－１２　Ｎｅｘｔ_10</v>
      </c>
      <c r="B1044" s="1" t="s">
        <v>6631</v>
      </c>
      <c r="C1044" s="1" t="str">
        <f>("10")</f>
        <v>10</v>
      </c>
      <c r="D1044" s="1" t="s">
        <v>209</v>
      </c>
      <c r="E1044" s="1" t="s">
        <v>9443</v>
      </c>
      <c r="F1044" s="1" t="s">
        <v>9444</v>
      </c>
      <c r="G1044" s="1">
        <v>6</v>
      </c>
      <c r="H1044" s="1" t="s">
        <v>229</v>
      </c>
      <c r="I1044" s="1" t="str">
        <f>("1109080168")</f>
        <v>1109080168</v>
      </c>
      <c r="J1044" s="1" t="s">
        <v>1858</v>
      </c>
    </row>
    <row r="1045" spans="1:10" x14ac:dyDescent="0.45">
      <c r="A1045" s="2" t="str">
        <f t="shared" si="16"/>
        <v>カティオーラフットボールクラブＵ－１２　Ｎｅｘｔ_11</v>
      </c>
      <c r="B1045" s="1" t="s">
        <v>6631</v>
      </c>
      <c r="C1045" s="1" t="str">
        <f>("11")</f>
        <v>11</v>
      </c>
      <c r="D1045" s="1" t="s">
        <v>209</v>
      </c>
      <c r="E1045" s="1" t="s">
        <v>9445</v>
      </c>
      <c r="F1045" s="1" t="s">
        <v>9446</v>
      </c>
      <c r="G1045" s="1">
        <v>6</v>
      </c>
      <c r="H1045" s="1" t="s">
        <v>231</v>
      </c>
      <c r="I1045" s="1" t="str">
        <f>("1112050149")</f>
        <v>1112050149</v>
      </c>
    </row>
    <row r="1046" spans="1:10" x14ac:dyDescent="0.45">
      <c r="A1046" s="2" t="str">
        <f t="shared" si="16"/>
        <v>カティオーラフットボールクラブＵ－１２　Ｎｅｘｔ_12</v>
      </c>
      <c r="B1046" s="1" t="s">
        <v>6631</v>
      </c>
      <c r="C1046" s="1" t="str">
        <f>("12")</f>
        <v>12</v>
      </c>
      <c r="D1046" s="1" t="s">
        <v>208</v>
      </c>
      <c r="E1046" s="1" t="s">
        <v>9447</v>
      </c>
      <c r="F1046" s="1" t="s">
        <v>9448</v>
      </c>
      <c r="G1046" s="1">
        <v>6</v>
      </c>
      <c r="H1046" s="1" t="s">
        <v>229</v>
      </c>
      <c r="I1046" s="1" t="str">
        <f>("1112120145")</f>
        <v>1112120145</v>
      </c>
    </row>
    <row r="1047" spans="1:10" x14ac:dyDescent="0.45">
      <c r="A1047" s="2" t="str">
        <f t="shared" si="16"/>
        <v>カティオーラフットボールクラブＵ－１２　Ｆｕｔｕｒｅ_1</v>
      </c>
      <c r="B1047" s="1" t="s">
        <v>6644</v>
      </c>
      <c r="C1047" s="1" t="str">
        <f>("1")</f>
        <v>1</v>
      </c>
      <c r="D1047" s="1" t="s">
        <v>207</v>
      </c>
      <c r="E1047" s="1" t="s">
        <v>9449</v>
      </c>
      <c r="F1047" s="1" t="s">
        <v>9450</v>
      </c>
      <c r="G1047" s="1">
        <v>5</v>
      </c>
      <c r="H1047" s="1" t="s">
        <v>229</v>
      </c>
      <c r="I1047" s="1" t="str">
        <f>("1211200171")</f>
        <v>1211200171</v>
      </c>
    </row>
    <row r="1048" spans="1:10" x14ac:dyDescent="0.45">
      <c r="A1048" s="2" t="str">
        <f t="shared" si="16"/>
        <v>カティオーラフットボールクラブＵ－１２　Ｆｕｔｕｒｅ_2</v>
      </c>
      <c r="B1048" s="1" t="s">
        <v>6644</v>
      </c>
      <c r="C1048" s="1" t="str">
        <f>("2")</f>
        <v>2</v>
      </c>
      <c r="D1048" s="1" t="s">
        <v>208</v>
      </c>
      <c r="E1048" s="1" t="s">
        <v>9451</v>
      </c>
      <c r="F1048" s="1" t="s">
        <v>9452</v>
      </c>
      <c r="G1048" s="1">
        <v>6</v>
      </c>
      <c r="H1048" s="1" t="s">
        <v>229</v>
      </c>
      <c r="I1048" s="1" t="str">
        <f>("1107140182")</f>
        <v>1107140182</v>
      </c>
      <c r="J1048" s="1" t="s">
        <v>1858</v>
      </c>
    </row>
    <row r="1049" spans="1:10" x14ac:dyDescent="0.45">
      <c r="A1049" s="2" t="str">
        <f t="shared" si="16"/>
        <v>カティオーラフットボールクラブＵ－１２　Ｆｕｔｕｒｅ_3</v>
      </c>
      <c r="B1049" s="1" t="s">
        <v>6644</v>
      </c>
      <c r="C1049" s="1" t="str">
        <f>("3")</f>
        <v>3</v>
      </c>
      <c r="D1049" s="1" t="s">
        <v>208</v>
      </c>
      <c r="E1049" s="1" t="s">
        <v>9453</v>
      </c>
      <c r="F1049" s="1" t="s">
        <v>9454</v>
      </c>
      <c r="G1049" s="1">
        <v>6</v>
      </c>
      <c r="H1049" s="1" t="s">
        <v>229</v>
      </c>
      <c r="I1049" s="1" t="str">
        <f>("1112230134")</f>
        <v>1112230134</v>
      </c>
    </row>
    <row r="1050" spans="1:10" x14ac:dyDescent="0.45">
      <c r="A1050" s="2" t="str">
        <f t="shared" si="16"/>
        <v>カティオーラフットボールクラブＵ－１２　Ｆｕｔｕｒｅ_4</v>
      </c>
      <c r="B1050" s="1" t="s">
        <v>6644</v>
      </c>
      <c r="C1050" s="1" t="str">
        <f>("4")</f>
        <v>4</v>
      </c>
      <c r="D1050" s="1" t="s">
        <v>210</v>
      </c>
      <c r="E1050" s="1" t="s">
        <v>9455</v>
      </c>
      <c r="F1050" s="1" t="s">
        <v>9456</v>
      </c>
      <c r="G1050" s="1">
        <v>6</v>
      </c>
      <c r="H1050" s="1" t="s">
        <v>229</v>
      </c>
      <c r="I1050" s="1" t="str">
        <f>("1112140157")</f>
        <v>1112140157</v>
      </c>
    </row>
    <row r="1051" spans="1:10" x14ac:dyDescent="0.45">
      <c r="A1051" s="2" t="str">
        <f t="shared" si="16"/>
        <v>カティオーラフットボールクラブＵ－１２　Ｆｕｔｕｒｅ_5</v>
      </c>
      <c r="B1051" s="1" t="s">
        <v>6644</v>
      </c>
      <c r="C1051" s="1" t="str">
        <f>("5")</f>
        <v>5</v>
      </c>
      <c r="D1051" s="1" t="s">
        <v>208</v>
      </c>
      <c r="E1051" s="1" t="s">
        <v>9457</v>
      </c>
      <c r="F1051" s="1" t="s">
        <v>9458</v>
      </c>
      <c r="G1051" s="1">
        <v>6</v>
      </c>
      <c r="H1051" s="1" t="s">
        <v>229</v>
      </c>
      <c r="I1051" s="1" t="str">
        <f>("1107210176")</f>
        <v>1107210176</v>
      </c>
    </row>
    <row r="1052" spans="1:10" x14ac:dyDescent="0.45">
      <c r="A1052" s="2" t="str">
        <f t="shared" si="16"/>
        <v>カティオーラフットボールクラブＵ－１２　Ｆｕｔｕｒｅ_6</v>
      </c>
      <c r="B1052" s="1" t="s">
        <v>6644</v>
      </c>
      <c r="C1052" s="1" t="str">
        <f>("6")</f>
        <v>6</v>
      </c>
      <c r="D1052" s="1" t="s">
        <v>209</v>
      </c>
      <c r="E1052" s="1" t="s">
        <v>9459</v>
      </c>
      <c r="F1052" s="1" t="s">
        <v>2775</v>
      </c>
      <c r="G1052" s="1">
        <v>6</v>
      </c>
      <c r="H1052" s="1" t="s">
        <v>229</v>
      </c>
      <c r="I1052" s="1" t="str">
        <f>("1203240127")</f>
        <v>1203240127</v>
      </c>
    </row>
    <row r="1053" spans="1:10" x14ac:dyDescent="0.45">
      <c r="A1053" s="2" t="str">
        <f t="shared" si="16"/>
        <v>カティオーラフットボールクラブＵ－１２　Ｆｕｔｕｒｅ_7</v>
      </c>
      <c r="B1053" s="1" t="s">
        <v>6644</v>
      </c>
      <c r="C1053" s="1" t="str">
        <f>("7")</f>
        <v>7</v>
      </c>
      <c r="D1053" s="1" t="s">
        <v>208</v>
      </c>
      <c r="E1053" s="1" t="s">
        <v>9460</v>
      </c>
      <c r="F1053" s="1" t="s">
        <v>2339</v>
      </c>
      <c r="G1053" s="1">
        <v>6</v>
      </c>
      <c r="H1053" s="1" t="s">
        <v>229</v>
      </c>
      <c r="I1053" s="1" t="str">
        <f>("1108020197")</f>
        <v>1108020197</v>
      </c>
    </row>
    <row r="1054" spans="1:10" x14ac:dyDescent="0.45">
      <c r="A1054" s="2" t="str">
        <f t="shared" si="16"/>
        <v>カティオーラフットボールクラブＵ－１２　Ｆｕｔｕｒｅ_8</v>
      </c>
      <c r="B1054" s="1" t="s">
        <v>6644</v>
      </c>
      <c r="C1054" s="1" t="str">
        <f>("8")</f>
        <v>8</v>
      </c>
      <c r="D1054" s="1" t="s">
        <v>209</v>
      </c>
      <c r="E1054" s="1" t="s">
        <v>9461</v>
      </c>
      <c r="F1054" s="1" t="s">
        <v>9462</v>
      </c>
      <c r="G1054" s="1">
        <v>6</v>
      </c>
      <c r="H1054" s="1" t="s">
        <v>229</v>
      </c>
      <c r="I1054" s="1" t="str">
        <f>("1108250148")</f>
        <v>1108250148</v>
      </c>
    </row>
    <row r="1055" spans="1:10" x14ac:dyDescent="0.45">
      <c r="A1055" s="2" t="str">
        <f t="shared" si="16"/>
        <v>カティオーラフットボールクラブＵ－１２　Ｆｕｔｕｒｅ_9</v>
      </c>
      <c r="B1055" s="1" t="s">
        <v>6644</v>
      </c>
      <c r="C1055" s="1" t="str">
        <f>("9")</f>
        <v>9</v>
      </c>
      <c r="D1055" s="1" t="s">
        <v>209</v>
      </c>
      <c r="E1055" s="1" t="s">
        <v>9463</v>
      </c>
      <c r="F1055" s="1" t="s">
        <v>9464</v>
      </c>
      <c r="G1055" s="1">
        <v>5</v>
      </c>
      <c r="H1055" s="1" t="s">
        <v>229</v>
      </c>
      <c r="I1055" s="1" t="str">
        <f>("1209090134")</f>
        <v>1209090134</v>
      </c>
    </row>
    <row r="1056" spans="1:10" x14ac:dyDescent="0.45">
      <c r="A1056" s="2" t="str">
        <f t="shared" si="16"/>
        <v>カティオーラフットボールクラブＵ－１２　Ｆｕｔｕｒｅ_10</v>
      </c>
      <c r="B1056" s="1" t="s">
        <v>6644</v>
      </c>
      <c r="C1056" s="1" t="str">
        <f>("10")</f>
        <v>10</v>
      </c>
      <c r="D1056" s="1" t="s">
        <v>209</v>
      </c>
      <c r="E1056" s="1" t="s">
        <v>9465</v>
      </c>
      <c r="F1056" s="1" t="s">
        <v>9466</v>
      </c>
      <c r="G1056" s="1">
        <v>6</v>
      </c>
      <c r="H1056" s="1" t="s">
        <v>229</v>
      </c>
      <c r="I1056" s="1" t="str">
        <f>("1203210139")</f>
        <v>1203210139</v>
      </c>
    </row>
    <row r="1057" spans="1:10" x14ac:dyDescent="0.45">
      <c r="A1057" s="2" t="str">
        <f t="shared" si="16"/>
        <v>カティオーラフットボールクラブＵ－１２　Ｆｕｔｕｒｅ_11</v>
      </c>
      <c r="B1057" s="1" t="s">
        <v>6644</v>
      </c>
      <c r="C1057" s="1" t="str">
        <f>("11")</f>
        <v>11</v>
      </c>
      <c r="D1057" s="1" t="s">
        <v>210</v>
      </c>
      <c r="E1057" s="1" t="s">
        <v>9467</v>
      </c>
      <c r="F1057" s="1" t="s">
        <v>9468</v>
      </c>
      <c r="G1057" s="1">
        <v>5</v>
      </c>
      <c r="H1057" s="1" t="s">
        <v>229</v>
      </c>
      <c r="I1057" s="1" t="str">
        <f>("1303040163")</f>
        <v>1303040163</v>
      </c>
    </row>
    <row r="1058" spans="1:10" x14ac:dyDescent="0.45">
      <c r="A1058" s="2" t="str">
        <f t="shared" si="16"/>
        <v>カティオーラフットボールクラブＵ－１２　Ｆｕｔｕｒｅ_12</v>
      </c>
      <c r="B1058" s="1" t="s">
        <v>6644</v>
      </c>
      <c r="C1058" s="1" t="str">
        <f>("12")</f>
        <v>12</v>
      </c>
      <c r="D1058" s="1" t="s">
        <v>208</v>
      </c>
      <c r="E1058" s="1" t="s">
        <v>9469</v>
      </c>
      <c r="F1058" s="1" t="s">
        <v>9470</v>
      </c>
      <c r="G1058" s="1">
        <v>5</v>
      </c>
      <c r="H1058" s="1" t="s">
        <v>229</v>
      </c>
      <c r="I1058" s="1" t="str">
        <f>("1204110196")</f>
        <v>1204110196</v>
      </c>
    </row>
    <row r="1059" spans="1:10" x14ac:dyDescent="0.45">
      <c r="A1059" s="2" t="str">
        <f t="shared" si="16"/>
        <v>カティオーラフットボールクラブＵ－１２　Ｆｕｔｕｒｅ_13</v>
      </c>
      <c r="B1059" s="1" t="s">
        <v>6644</v>
      </c>
      <c r="C1059" s="1" t="str">
        <f>("13")</f>
        <v>13</v>
      </c>
      <c r="D1059" s="1" t="s">
        <v>209</v>
      </c>
      <c r="E1059" s="1" t="s">
        <v>9471</v>
      </c>
      <c r="F1059" s="1" t="s">
        <v>9472</v>
      </c>
      <c r="G1059" s="1">
        <v>6</v>
      </c>
      <c r="H1059" s="1" t="s">
        <v>229</v>
      </c>
      <c r="I1059" s="1" t="str">
        <f>("1112210171")</f>
        <v>1112210171</v>
      </c>
    </row>
    <row r="1060" spans="1:10" x14ac:dyDescent="0.45">
      <c r="A1060" s="2" t="str">
        <f t="shared" si="16"/>
        <v>カティオーラフットボールクラブＵ－１２　Ｆｕｔｕｒｅ_14</v>
      </c>
      <c r="B1060" s="1" t="s">
        <v>6644</v>
      </c>
      <c r="C1060" s="1" t="str">
        <f>("14")</f>
        <v>14</v>
      </c>
      <c r="D1060" s="1" t="s">
        <v>209</v>
      </c>
      <c r="E1060" s="1" t="s">
        <v>9473</v>
      </c>
      <c r="F1060" s="1" t="s">
        <v>9474</v>
      </c>
      <c r="G1060" s="1">
        <v>5</v>
      </c>
      <c r="H1060" s="1" t="s">
        <v>229</v>
      </c>
      <c r="I1060" s="1" t="str">
        <f>("1301120125")</f>
        <v>1301120125</v>
      </c>
    </row>
    <row r="1061" spans="1:10" x14ac:dyDescent="0.45">
      <c r="A1061" s="2" t="str">
        <f t="shared" si="16"/>
        <v>森岡サッカースポーツ少年団_1</v>
      </c>
      <c r="B1061" s="1" t="s">
        <v>3976</v>
      </c>
      <c r="C1061" s="1" t="str">
        <f>("1")</f>
        <v>1</v>
      </c>
      <c r="D1061" s="1" t="s">
        <v>207</v>
      </c>
      <c r="E1061" s="1" t="s">
        <v>5588</v>
      </c>
      <c r="F1061" s="1" t="s">
        <v>5589</v>
      </c>
      <c r="G1061" s="1">
        <v>6</v>
      </c>
      <c r="H1061" s="1" t="s">
        <v>229</v>
      </c>
      <c r="I1061" s="1" t="str">
        <f>("1201210028")</f>
        <v>1201210028</v>
      </c>
    </row>
    <row r="1062" spans="1:10" x14ac:dyDescent="0.45">
      <c r="A1062" s="2" t="str">
        <f t="shared" si="16"/>
        <v>森岡サッカースポーツ少年団_2</v>
      </c>
      <c r="B1062" s="1" t="s">
        <v>3976</v>
      </c>
      <c r="C1062" s="1" t="str">
        <f>("2")</f>
        <v>2</v>
      </c>
      <c r="D1062" s="1" t="s">
        <v>210</v>
      </c>
      <c r="E1062" s="1" t="s">
        <v>9475</v>
      </c>
      <c r="F1062" s="1" t="s">
        <v>4694</v>
      </c>
      <c r="G1062" s="1">
        <v>6</v>
      </c>
      <c r="H1062" s="1" t="s">
        <v>229</v>
      </c>
      <c r="I1062" s="1" t="str">
        <f>("1203130196")</f>
        <v>1203130196</v>
      </c>
    </row>
    <row r="1063" spans="1:10" x14ac:dyDescent="0.45">
      <c r="A1063" s="2" t="str">
        <f t="shared" si="16"/>
        <v>森岡サッカースポーツ少年団_3</v>
      </c>
      <c r="B1063" s="1" t="s">
        <v>3976</v>
      </c>
      <c r="C1063" s="1" t="str">
        <f>("3")</f>
        <v>3</v>
      </c>
      <c r="D1063" s="1" t="s">
        <v>208</v>
      </c>
      <c r="E1063" s="1" t="s">
        <v>5582</v>
      </c>
      <c r="F1063" s="1" t="s">
        <v>5462</v>
      </c>
      <c r="G1063" s="1">
        <v>6</v>
      </c>
      <c r="H1063" s="1" t="s">
        <v>229</v>
      </c>
      <c r="I1063" s="1" t="str">
        <f>("1111040039")</f>
        <v>1111040039</v>
      </c>
    </row>
    <row r="1064" spans="1:10" x14ac:dyDescent="0.45">
      <c r="A1064" s="2" t="str">
        <f t="shared" si="16"/>
        <v>森岡サッカースポーツ少年団_4</v>
      </c>
      <c r="B1064" s="1" t="s">
        <v>3976</v>
      </c>
      <c r="C1064" s="1" t="str">
        <f>("4")</f>
        <v>4</v>
      </c>
      <c r="D1064" s="1" t="s">
        <v>208</v>
      </c>
      <c r="E1064" s="1" t="s">
        <v>5583</v>
      </c>
      <c r="F1064" s="1" t="s">
        <v>5584</v>
      </c>
      <c r="G1064" s="1">
        <v>6</v>
      </c>
      <c r="H1064" s="1" t="s">
        <v>229</v>
      </c>
      <c r="I1064" s="1" t="str">
        <f>("1108230040")</f>
        <v>1108230040</v>
      </c>
    </row>
    <row r="1065" spans="1:10" x14ac:dyDescent="0.45">
      <c r="A1065" s="2" t="str">
        <f t="shared" si="16"/>
        <v>森岡サッカースポーツ少年団_5</v>
      </c>
      <c r="B1065" s="1" t="s">
        <v>3976</v>
      </c>
      <c r="C1065" s="1" t="str">
        <f>("5")</f>
        <v>5</v>
      </c>
      <c r="D1065" s="1" t="s">
        <v>209</v>
      </c>
      <c r="E1065" s="1" t="s">
        <v>5585</v>
      </c>
      <c r="F1065" s="1" t="s">
        <v>3278</v>
      </c>
      <c r="G1065" s="1">
        <v>6</v>
      </c>
      <c r="H1065" s="1" t="s">
        <v>229</v>
      </c>
      <c r="I1065" s="1" t="str">
        <f>("1107280035")</f>
        <v>1107280035</v>
      </c>
      <c r="J1065" s="1" t="s">
        <v>1858</v>
      </c>
    </row>
    <row r="1066" spans="1:10" x14ac:dyDescent="0.45">
      <c r="A1066" s="2" t="str">
        <f t="shared" si="16"/>
        <v>森岡サッカースポーツ少年団_6</v>
      </c>
      <c r="B1066" s="1" t="s">
        <v>3976</v>
      </c>
      <c r="C1066" s="1" t="str">
        <f>("6")</f>
        <v>6</v>
      </c>
      <c r="D1066" s="1" t="s">
        <v>209</v>
      </c>
      <c r="E1066" s="1" t="s">
        <v>6654</v>
      </c>
      <c r="F1066" s="1" t="s">
        <v>6655</v>
      </c>
      <c r="G1066" s="1">
        <v>5</v>
      </c>
      <c r="H1066" s="1" t="s">
        <v>229</v>
      </c>
      <c r="I1066" s="1" t="str">
        <f>("1208240177")</f>
        <v>1208240177</v>
      </c>
    </row>
    <row r="1067" spans="1:10" x14ac:dyDescent="0.45">
      <c r="A1067" s="2" t="str">
        <f t="shared" si="16"/>
        <v>森岡サッカースポーツ少年団_7</v>
      </c>
      <c r="B1067" s="1" t="s">
        <v>3976</v>
      </c>
      <c r="C1067" s="1" t="str">
        <f>("7")</f>
        <v>7</v>
      </c>
      <c r="D1067" s="1" t="s">
        <v>209</v>
      </c>
      <c r="E1067" s="1" t="s">
        <v>6650</v>
      </c>
      <c r="F1067" s="1" t="s">
        <v>6651</v>
      </c>
      <c r="G1067" s="1">
        <v>5</v>
      </c>
      <c r="H1067" s="1" t="s">
        <v>229</v>
      </c>
      <c r="I1067" s="1" t="str">
        <f>("1303210079")</f>
        <v>1303210079</v>
      </c>
    </row>
    <row r="1068" spans="1:10" x14ac:dyDescent="0.45">
      <c r="A1068" s="2" t="str">
        <f t="shared" si="16"/>
        <v>森岡サッカースポーツ少年団_8</v>
      </c>
      <c r="B1068" s="1" t="s">
        <v>3976</v>
      </c>
      <c r="C1068" s="1" t="str">
        <f>("8")</f>
        <v>8</v>
      </c>
      <c r="D1068" s="1" t="s">
        <v>208</v>
      </c>
      <c r="E1068" s="1" t="s">
        <v>6652</v>
      </c>
      <c r="F1068" s="1" t="s">
        <v>6653</v>
      </c>
      <c r="G1068" s="1">
        <v>6</v>
      </c>
      <c r="H1068" s="1" t="s">
        <v>229</v>
      </c>
      <c r="I1068" s="1" t="str">
        <f>("1111210194")</f>
        <v>1111210194</v>
      </c>
    </row>
    <row r="1069" spans="1:10" x14ac:dyDescent="0.45">
      <c r="A1069" s="2" t="str">
        <f t="shared" si="16"/>
        <v>森岡サッカースポーツ少年団_9</v>
      </c>
      <c r="B1069" s="1" t="s">
        <v>3976</v>
      </c>
      <c r="C1069" s="1" t="str">
        <f>("9")</f>
        <v>9</v>
      </c>
      <c r="D1069" s="1" t="s">
        <v>210</v>
      </c>
      <c r="E1069" s="1" t="s">
        <v>5590</v>
      </c>
      <c r="F1069" s="1" t="s">
        <v>5591</v>
      </c>
      <c r="G1069" s="1">
        <v>5</v>
      </c>
      <c r="H1069" s="1" t="s">
        <v>229</v>
      </c>
      <c r="I1069" s="1" t="str">
        <f>("1302270020")</f>
        <v>1302270020</v>
      </c>
    </row>
    <row r="1070" spans="1:10" x14ac:dyDescent="0.45">
      <c r="A1070" s="2" t="str">
        <f t="shared" si="16"/>
        <v>森岡サッカースポーツ少年団_10</v>
      </c>
      <c r="B1070" s="1" t="s">
        <v>3976</v>
      </c>
      <c r="C1070" s="1" t="str">
        <f>("10")</f>
        <v>10</v>
      </c>
      <c r="D1070" s="1" t="s">
        <v>209</v>
      </c>
      <c r="E1070" s="1" t="s">
        <v>5586</v>
      </c>
      <c r="F1070" s="1" t="s">
        <v>5587</v>
      </c>
      <c r="G1070" s="1">
        <v>6</v>
      </c>
      <c r="H1070" s="1" t="s">
        <v>229</v>
      </c>
      <c r="I1070" s="1" t="str">
        <f>("1112030027")</f>
        <v>1112030027</v>
      </c>
    </row>
    <row r="1071" spans="1:10" x14ac:dyDescent="0.45">
      <c r="A1071" s="2" t="str">
        <f t="shared" si="16"/>
        <v>由布川サッカースポーツ少年団_1</v>
      </c>
      <c r="B1071" s="1" t="s">
        <v>3247</v>
      </c>
      <c r="C1071" s="1" t="str">
        <f>("1")</f>
        <v>1</v>
      </c>
      <c r="D1071" s="1" t="s">
        <v>207</v>
      </c>
      <c r="E1071" s="1" t="s">
        <v>6666</v>
      </c>
      <c r="F1071" s="1" t="s">
        <v>6667</v>
      </c>
      <c r="G1071" s="1">
        <v>5</v>
      </c>
      <c r="H1071" s="1" t="s">
        <v>229</v>
      </c>
      <c r="I1071" s="1" t="str">
        <f>("1210110147")</f>
        <v>1210110147</v>
      </c>
    </row>
    <row r="1072" spans="1:10" x14ac:dyDescent="0.45">
      <c r="A1072" s="2" t="str">
        <f t="shared" si="16"/>
        <v>由布川サッカースポーツ少年団_2</v>
      </c>
      <c r="B1072" s="1" t="s">
        <v>3247</v>
      </c>
      <c r="C1072" s="1" t="str">
        <f>("2")</f>
        <v>2</v>
      </c>
      <c r="D1072" s="1" t="s">
        <v>209</v>
      </c>
      <c r="E1072" s="1" t="s">
        <v>9476</v>
      </c>
      <c r="F1072" s="1" t="s">
        <v>9477</v>
      </c>
      <c r="G1072" s="1">
        <v>5</v>
      </c>
      <c r="H1072" s="1" t="s">
        <v>229</v>
      </c>
      <c r="I1072" s="1" t="str">
        <f>("1204050157")</f>
        <v>1204050157</v>
      </c>
    </row>
    <row r="1073" spans="1:10" x14ac:dyDescent="0.45">
      <c r="A1073" s="2" t="str">
        <f t="shared" si="16"/>
        <v>由布川サッカースポーツ少年団_3</v>
      </c>
      <c r="B1073" s="1" t="s">
        <v>3247</v>
      </c>
      <c r="C1073" s="1" t="str">
        <f>("3")</f>
        <v>3</v>
      </c>
      <c r="D1073" s="1" t="s">
        <v>209</v>
      </c>
      <c r="E1073" s="1" t="s">
        <v>6658</v>
      </c>
      <c r="F1073" s="1" t="s">
        <v>6659</v>
      </c>
      <c r="G1073" s="1">
        <v>5</v>
      </c>
      <c r="H1073" s="1" t="s">
        <v>229</v>
      </c>
      <c r="I1073" s="1" t="str">
        <f>("1205180133")</f>
        <v>1205180133</v>
      </c>
    </row>
    <row r="1074" spans="1:10" x14ac:dyDescent="0.45">
      <c r="A1074" s="2" t="str">
        <f t="shared" si="16"/>
        <v>由布川サッカースポーツ少年団_4</v>
      </c>
      <c r="B1074" s="1" t="s">
        <v>3247</v>
      </c>
      <c r="C1074" s="1" t="str">
        <f>("4")</f>
        <v>4</v>
      </c>
      <c r="D1074" s="1" t="s">
        <v>208</v>
      </c>
      <c r="E1074" s="1" t="s">
        <v>5601</v>
      </c>
      <c r="F1074" s="1" t="s">
        <v>5602</v>
      </c>
      <c r="G1074" s="1">
        <v>6</v>
      </c>
      <c r="H1074" s="1" t="s">
        <v>229</v>
      </c>
      <c r="I1074" s="1" t="str">
        <f>("1112010102")</f>
        <v>1112010102</v>
      </c>
    </row>
    <row r="1075" spans="1:10" x14ac:dyDescent="0.45">
      <c r="A1075" s="2" t="str">
        <f t="shared" si="16"/>
        <v>由布川サッカースポーツ少年団_5</v>
      </c>
      <c r="B1075" s="1" t="s">
        <v>3247</v>
      </c>
      <c r="C1075" s="1" t="str">
        <f>("5")</f>
        <v>5</v>
      </c>
      <c r="D1075" s="1" t="s">
        <v>209</v>
      </c>
      <c r="E1075" s="1" t="s">
        <v>9478</v>
      </c>
      <c r="F1075" s="1" t="s">
        <v>9479</v>
      </c>
      <c r="G1075" s="1">
        <v>5</v>
      </c>
      <c r="H1075" s="1" t="s">
        <v>229</v>
      </c>
      <c r="I1075" s="1" t="str">
        <f>("1206060143")</f>
        <v>1206060143</v>
      </c>
    </row>
    <row r="1076" spans="1:10" x14ac:dyDescent="0.45">
      <c r="A1076" s="2" t="str">
        <f t="shared" si="16"/>
        <v>由布川サッカースポーツ少年団_6</v>
      </c>
      <c r="B1076" s="1" t="s">
        <v>3247</v>
      </c>
      <c r="C1076" s="1" t="str">
        <f>("6")</f>
        <v>6</v>
      </c>
      <c r="D1076" s="1" t="s">
        <v>210</v>
      </c>
      <c r="E1076" s="1" t="s">
        <v>6656</v>
      </c>
      <c r="F1076" s="1" t="s">
        <v>6657</v>
      </c>
      <c r="G1076" s="1">
        <v>5</v>
      </c>
      <c r="H1076" s="1" t="s">
        <v>229</v>
      </c>
      <c r="I1076" s="1" t="str">
        <f>("1206170070")</f>
        <v>1206170070</v>
      </c>
    </row>
    <row r="1077" spans="1:10" x14ac:dyDescent="0.45">
      <c r="A1077" s="2" t="str">
        <f t="shared" si="16"/>
        <v>由布川サッカースポーツ少年団_7</v>
      </c>
      <c r="B1077" s="1" t="s">
        <v>3247</v>
      </c>
      <c r="C1077" s="1" t="str">
        <f>("7")</f>
        <v>7</v>
      </c>
      <c r="D1077" s="1" t="s">
        <v>208</v>
      </c>
      <c r="E1077" s="1" t="s">
        <v>6660</v>
      </c>
      <c r="F1077" s="1" t="s">
        <v>6661</v>
      </c>
      <c r="G1077" s="1">
        <v>5</v>
      </c>
      <c r="H1077" s="1" t="s">
        <v>229</v>
      </c>
      <c r="I1077" s="1" t="str">
        <f>("1206280123")</f>
        <v>1206280123</v>
      </c>
    </row>
    <row r="1078" spans="1:10" x14ac:dyDescent="0.45">
      <c r="A1078" s="2" t="str">
        <f t="shared" si="16"/>
        <v>由布川サッカースポーツ少年団_8</v>
      </c>
      <c r="B1078" s="1" t="s">
        <v>3247</v>
      </c>
      <c r="C1078" s="1" t="str">
        <f>("8")</f>
        <v>8</v>
      </c>
      <c r="D1078" s="1" t="s">
        <v>209</v>
      </c>
      <c r="E1078" s="1" t="s">
        <v>9480</v>
      </c>
      <c r="F1078" s="1" t="s">
        <v>9481</v>
      </c>
      <c r="G1078" s="1">
        <v>5</v>
      </c>
      <c r="H1078" s="1" t="s">
        <v>229</v>
      </c>
      <c r="I1078" s="1" t="str">
        <f>("1207240149")</f>
        <v>1207240149</v>
      </c>
    </row>
    <row r="1079" spans="1:10" x14ac:dyDescent="0.45">
      <c r="A1079" s="2" t="str">
        <f t="shared" si="16"/>
        <v>由布川サッカースポーツ少年団_9</v>
      </c>
      <c r="B1079" s="1" t="s">
        <v>3247</v>
      </c>
      <c r="C1079" s="1" t="str">
        <f>("9")</f>
        <v>9</v>
      </c>
      <c r="D1079" s="1" t="s">
        <v>210</v>
      </c>
      <c r="E1079" s="1" t="s">
        <v>5596</v>
      </c>
      <c r="F1079" s="1" t="s">
        <v>5597</v>
      </c>
      <c r="G1079" s="1">
        <v>6</v>
      </c>
      <c r="H1079" s="1" t="s">
        <v>229</v>
      </c>
      <c r="I1079" s="1" t="str">
        <f>("1107090115")</f>
        <v>1107090115</v>
      </c>
      <c r="J1079" s="1" t="s">
        <v>1858</v>
      </c>
    </row>
    <row r="1080" spans="1:10" x14ac:dyDescent="0.45">
      <c r="A1080" s="2" t="str">
        <f t="shared" si="16"/>
        <v>由布川サッカースポーツ少年団_10</v>
      </c>
      <c r="B1080" s="1" t="s">
        <v>3247</v>
      </c>
      <c r="C1080" s="1" t="str">
        <f>("10")</f>
        <v>10</v>
      </c>
      <c r="D1080" s="1" t="s">
        <v>210</v>
      </c>
      <c r="E1080" s="1" t="s">
        <v>9482</v>
      </c>
      <c r="F1080" s="1" t="s">
        <v>9483</v>
      </c>
      <c r="G1080" s="1">
        <v>5</v>
      </c>
      <c r="H1080" s="1" t="s">
        <v>229</v>
      </c>
      <c r="I1080" s="1" t="str">
        <f>("1302140106")</f>
        <v>1302140106</v>
      </c>
    </row>
    <row r="1081" spans="1:10" x14ac:dyDescent="0.45">
      <c r="A1081" s="2" t="str">
        <f t="shared" si="16"/>
        <v>由布川サッカースポーツ少年団_11</v>
      </c>
      <c r="B1081" s="1" t="s">
        <v>3247</v>
      </c>
      <c r="C1081" s="1" t="str">
        <f>("11")</f>
        <v>11</v>
      </c>
      <c r="D1081" s="1" t="s">
        <v>210</v>
      </c>
      <c r="E1081" s="1" t="s">
        <v>6664</v>
      </c>
      <c r="F1081" s="1" t="s">
        <v>6665</v>
      </c>
      <c r="G1081" s="1">
        <v>5</v>
      </c>
      <c r="H1081" s="1" t="s">
        <v>229</v>
      </c>
      <c r="I1081" s="1" t="str">
        <f>("1302250094")</f>
        <v>1302250094</v>
      </c>
    </row>
    <row r="1082" spans="1:10" x14ac:dyDescent="0.45">
      <c r="A1082" s="2" t="str">
        <f t="shared" si="16"/>
        <v>由布川サッカースポーツ少年団_12</v>
      </c>
      <c r="B1082" s="1" t="s">
        <v>3247</v>
      </c>
      <c r="C1082" s="1" t="str">
        <f>("12")</f>
        <v>12</v>
      </c>
      <c r="D1082" s="1" t="s">
        <v>208</v>
      </c>
      <c r="E1082" s="1" t="s">
        <v>9484</v>
      </c>
      <c r="F1082" s="1" t="s">
        <v>9485</v>
      </c>
      <c r="G1082" s="1">
        <v>5</v>
      </c>
      <c r="H1082" s="1" t="s">
        <v>229</v>
      </c>
      <c r="I1082" s="1" t="str">
        <f>("1303290083")</f>
        <v>1303290083</v>
      </c>
    </row>
    <row r="1083" spans="1:10" x14ac:dyDescent="0.45">
      <c r="A1083" s="2" t="str">
        <f t="shared" si="16"/>
        <v>由布川サッカースポーツ少年団_13</v>
      </c>
      <c r="B1083" s="1" t="s">
        <v>3247</v>
      </c>
      <c r="C1083" s="1" t="str">
        <f>("13")</f>
        <v>13</v>
      </c>
      <c r="D1083" s="1" t="s">
        <v>209</v>
      </c>
      <c r="E1083" s="1" t="s">
        <v>9486</v>
      </c>
      <c r="F1083" s="1" t="s">
        <v>9487</v>
      </c>
      <c r="G1083" s="1">
        <v>4</v>
      </c>
      <c r="H1083" s="1" t="s">
        <v>229</v>
      </c>
      <c r="I1083" s="1" t="str">
        <f>("1307120141")</f>
        <v>1307120141</v>
      </c>
    </row>
    <row r="1084" spans="1:10" x14ac:dyDescent="0.45">
      <c r="A1084" s="2" t="str">
        <f t="shared" si="16"/>
        <v>由布川サッカースポーツ少年団_14</v>
      </c>
      <c r="B1084" s="1" t="s">
        <v>3247</v>
      </c>
      <c r="C1084" s="1" t="str">
        <f>("14")</f>
        <v>14</v>
      </c>
      <c r="D1084" s="1" t="s">
        <v>210</v>
      </c>
      <c r="E1084" s="1" t="s">
        <v>9488</v>
      </c>
      <c r="F1084" s="1" t="s">
        <v>2878</v>
      </c>
      <c r="G1084" s="1">
        <v>4</v>
      </c>
      <c r="H1084" s="1" t="s">
        <v>229</v>
      </c>
      <c r="I1084" s="1" t="str">
        <f>("1309290115")</f>
        <v>1309290115</v>
      </c>
    </row>
    <row r="1085" spans="1:10" x14ac:dyDescent="0.45">
      <c r="A1085" s="2" t="str">
        <f t="shared" si="16"/>
        <v>由布川サッカースポーツ少年団_15</v>
      </c>
      <c r="B1085" s="1" t="s">
        <v>3247</v>
      </c>
      <c r="C1085" s="1" t="str">
        <f>("15")</f>
        <v>15</v>
      </c>
      <c r="D1085" s="1" t="s">
        <v>209</v>
      </c>
      <c r="E1085" s="1" t="s">
        <v>9489</v>
      </c>
      <c r="F1085" s="1" t="s">
        <v>9490</v>
      </c>
      <c r="G1085" s="1">
        <v>4</v>
      </c>
      <c r="H1085" s="1" t="s">
        <v>229</v>
      </c>
      <c r="I1085" s="1" t="str">
        <f>("1403150075")</f>
        <v>1403150075</v>
      </c>
    </row>
    <row r="1086" spans="1:10" x14ac:dyDescent="0.45">
      <c r="A1086" s="2" t="str">
        <f t="shared" si="16"/>
        <v>由布川サッカースポーツ少年団_16</v>
      </c>
      <c r="B1086" s="1" t="s">
        <v>3247</v>
      </c>
      <c r="C1086" s="1" t="str">
        <f>("16")</f>
        <v>16</v>
      </c>
      <c r="D1086" s="1" t="s">
        <v>207</v>
      </c>
      <c r="E1086" s="1" t="s">
        <v>9491</v>
      </c>
      <c r="F1086" s="1" t="s">
        <v>9492</v>
      </c>
      <c r="G1086" s="1">
        <v>5</v>
      </c>
      <c r="H1086" s="1" t="s">
        <v>229</v>
      </c>
      <c r="I1086" s="1" t="str">
        <f>("1211100109")</f>
        <v>1211100109</v>
      </c>
    </row>
    <row r="1087" spans="1:10" x14ac:dyDescent="0.45">
      <c r="A1087" s="2" t="str">
        <f t="shared" si="16"/>
        <v>ＫＩＮＧＳ　ＦＯＯＴＢＡＬＬＣＬＵＢ　Ｕ－１２_1</v>
      </c>
      <c r="B1087" s="1" t="s">
        <v>3957</v>
      </c>
      <c r="C1087" s="1" t="str">
        <f>("1")</f>
        <v>1</v>
      </c>
      <c r="D1087" s="1" t="s">
        <v>207</v>
      </c>
      <c r="E1087" s="1" t="s">
        <v>9493</v>
      </c>
      <c r="F1087" s="1" t="s">
        <v>9494</v>
      </c>
      <c r="G1087" s="1">
        <v>6</v>
      </c>
      <c r="H1087" s="1" t="s">
        <v>229</v>
      </c>
      <c r="I1087" s="1" t="str">
        <f>("1111140204")</f>
        <v>1111140204</v>
      </c>
    </row>
    <row r="1088" spans="1:10" x14ac:dyDescent="0.45">
      <c r="A1088" s="2" t="str">
        <f t="shared" si="16"/>
        <v>ＫＩＮＧＳ　ＦＯＯＴＢＡＬＬＣＬＵＢ　Ｕ－１２_2</v>
      </c>
      <c r="B1088" s="1" t="s">
        <v>3957</v>
      </c>
      <c r="C1088" s="1" t="str">
        <f>("2")</f>
        <v>2</v>
      </c>
      <c r="D1088" s="1" t="s">
        <v>209</v>
      </c>
      <c r="E1088" s="1" t="s">
        <v>9495</v>
      </c>
      <c r="F1088" s="1" t="s">
        <v>9496</v>
      </c>
      <c r="G1088" s="1">
        <v>6</v>
      </c>
      <c r="H1088" s="1" t="s">
        <v>229</v>
      </c>
      <c r="I1088" s="1" t="str">
        <f>("1105310225")</f>
        <v>1105310225</v>
      </c>
    </row>
    <row r="1089" spans="1:10" x14ac:dyDescent="0.45">
      <c r="A1089" s="2" t="str">
        <f t="shared" ref="A1089:A1152" si="17">CONCATENATE(B1089,"_",C1089)</f>
        <v>ＫＩＮＧＳ　ＦＯＯＴＢＡＬＬＣＬＵＢ　Ｕ－１２_3</v>
      </c>
      <c r="B1089" s="1" t="s">
        <v>3957</v>
      </c>
      <c r="C1089" s="1" t="str">
        <f>("3")</f>
        <v>3</v>
      </c>
      <c r="D1089" s="1" t="s">
        <v>208</v>
      </c>
      <c r="E1089" s="1" t="s">
        <v>9497</v>
      </c>
      <c r="F1089" s="1" t="s">
        <v>9498</v>
      </c>
      <c r="G1089" s="1">
        <v>6</v>
      </c>
      <c r="H1089" s="1" t="s">
        <v>229</v>
      </c>
      <c r="I1089" s="1" t="str">
        <f>("1109060227")</f>
        <v>1109060227</v>
      </c>
    </row>
    <row r="1090" spans="1:10" x14ac:dyDescent="0.45">
      <c r="A1090" s="2" t="str">
        <f t="shared" si="17"/>
        <v>ＫＩＮＧＳ　ＦＯＯＴＢＡＬＬＣＬＵＢ　Ｕ－１２_4</v>
      </c>
      <c r="B1090" s="1" t="s">
        <v>3957</v>
      </c>
      <c r="C1090" s="1" t="str">
        <f>("4")</f>
        <v>4</v>
      </c>
      <c r="D1090" s="1" t="s">
        <v>210</v>
      </c>
      <c r="E1090" s="1" t="s">
        <v>9499</v>
      </c>
      <c r="F1090" s="1" t="s">
        <v>9500</v>
      </c>
      <c r="G1090" s="1">
        <v>6</v>
      </c>
      <c r="H1090" s="1" t="s">
        <v>229</v>
      </c>
      <c r="I1090" s="1" t="str">
        <f>("1107170166")</f>
        <v>1107170166</v>
      </c>
    </row>
    <row r="1091" spans="1:10" x14ac:dyDescent="0.45">
      <c r="A1091" s="2" t="str">
        <f t="shared" si="17"/>
        <v>ＫＩＮＧＳ　ＦＯＯＴＢＡＬＬＣＬＵＢ　Ｕ－１２_5</v>
      </c>
      <c r="B1091" s="1" t="s">
        <v>3957</v>
      </c>
      <c r="C1091" s="1" t="str">
        <f>("5")</f>
        <v>5</v>
      </c>
      <c r="D1091" s="1" t="s">
        <v>209</v>
      </c>
      <c r="E1091" s="1" t="s">
        <v>9501</v>
      </c>
      <c r="F1091" s="1" t="s">
        <v>9502</v>
      </c>
      <c r="G1091" s="1">
        <v>6</v>
      </c>
      <c r="H1091" s="1" t="s">
        <v>229</v>
      </c>
      <c r="I1091" s="1" t="str">
        <f>("1108110264")</f>
        <v>1108110264</v>
      </c>
    </row>
    <row r="1092" spans="1:10" x14ac:dyDescent="0.45">
      <c r="A1092" s="2" t="str">
        <f t="shared" si="17"/>
        <v>ＫＩＮＧＳ　ＦＯＯＴＢＡＬＬＣＬＵＢ　Ｕ－１２_6</v>
      </c>
      <c r="B1092" s="1" t="s">
        <v>3957</v>
      </c>
      <c r="C1092" s="1" t="str">
        <f>("6")</f>
        <v>6</v>
      </c>
      <c r="D1092" s="1" t="s">
        <v>209</v>
      </c>
      <c r="E1092" s="1" t="s">
        <v>9503</v>
      </c>
      <c r="F1092" s="1" t="s">
        <v>9504</v>
      </c>
      <c r="G1092" s="1">
        <v>6</v>
      </c>
      <c r="H1092" s="1" t="s">
        <v>229</v>
      </c>
      <c r="I1092" s="1" t="str">
        <f>("1104270293")</f>
        <v>1104270293</v>
      </c>
    </row>
    <row r="1093" spans="1:10" x14ac:dyDescent="0.45">
      <c r="A1093" s="2" t="str">
        <f t="shared" si="17"/>
        <v>ＫＩＮＧＳ　ＦＯＯＴＢＡＬＬＣＬＵＢ　Ｕ－１２_7</v>
      </c>
      <c r="B1093" s="1" t="s">
        <v>3957</v>
      </c>
      <c r="C1093" s="1" t="str">
        <f>("7")</f>
        <v>7</v>
      </c>
      <c r="D1093" s="1" t="s">
        <v>210</v>
      </c>
      <c r="E1093" s="1" t="s">
        <v>6679</v>
      </c>
      <c r="F1093" s="1" t="s">
        <v>6680</v>
      </c>
      <c r="G1093" s="1">
        <v>6</v>
      </c>
      <c r="H1093" s="1" t="s">
        <v>229</v>
      </c>
      <c r="I1093" s="1" t="str">
        <f>("1107240154")</f>
        <v>1107240154</v>
      </c>
      <c r="J1093" s="1" t="s">
        <v>1858</v>
      </c>
    </row>
    <row r="1094" spans="1:10" x14ac:dyDescent="0.45">
      <c r="A1094" s="2" t="str">
        <f t="shared" si="17"/>
        <v>ＫＩＮＧＳ　ＦＯＯＴＢＡＬＬＣＬＵＢ　Ｕ－１２_8</v>
      </c>
      <c r="B1094" s="1" t="s">
        <v>3957</v>
      </c>
      <c r="C1094" s="1" t="str">
        <f>("8")</f>
        <v>8</v>
      </c>
      <c r="D1094" s="1" t="s">
        <v>209</v>
      </c>
      <c r="E1094" s="1" t="s">
        <v>9505</v>
      </c>
      <c r="F1094" s="1" t="s">
        <v>9506</v>
      </c>
      <c r="G1094" s="1">
        <v>6</v>
      </c>
      <c r="H1094" s="1" t="s">
        <v>229</v>
      </c>
      <c r="I1094" s="1" t="str">
        <f>("1111230150")</f>
        <v>1111230150</v>
      </c>
    </row>
    <row r="1095" spans="1:10" x14ac:dyDescent="0.45">
      <c r="A1095" s="2" t="str">
        <f t="shared" si="17"/>
        <v>ＫＩＮＧＳ　ＦＯＯＴＢＡＬＬＣＬＵＢ　Ｕ－１２_9</v>
      </c>
      <c r="B1095" s="1" t="s">
        <v>3957</v>
      </c>
      <c r="C1095" s="1" t="str">
        <f>("9")</f>
        <v>9</v>
      </c>
      <c r="D1095" s="1" t="s">
        <v>209</v>
      </c>
      <c r="E1095" s="1" t="s">
        <v>9507</v>
      </c>
      <c r="F1095" s="1" t="s">
        <v>9508</v>
      </c>
      <c r="G1095" s="1">
        <v>6</v>
      </c>
      <c r="H1095" s="1" t="s">
        <v>229</v>
      </c>
      <c r="I1095" s="1" t="str">
        <f>("1105110268")</f>
        <v>1105110268</v>
      </c>
    </row>
    <row r="1096" spans="1:10" x14ac:dyDescent="0.45">
      <c r="A1096" s="2" t="str">
        <f t="shared" si="17"/>
        <v>ＫＩＮＧＳ　ＦＯＯＴＢＡＬＬＣＬＵＢ　Ｕ－１２_10</v>
      </c>
      <c r="B1096" s="1" t="s">
        <v>3957</v>
      </c>
      <c r="C1096" s="1" t="str">
        <f>("10")</f>
        <v>10</v>
      </c>
      <c r="D1096" s="1" t="s">
        <v>210</v>
      </c>
      <c r="E1096" s="1" t="s">
        <v>6683</v>
      </c>
      <c r="F1096" s="1" t="s">
        <v>6684</v>
      </c>
      <c r="G1096" s="1">
        <v>6</v>
      </c>
      <c r="H1096" s="1" t="s">
        <v>229</v>
      </c>
      <c r="I1096" s="1" t="str">
        <f>("1106130192")</f>
        <v>1106130192</v>
      </c>
    </row>
    <row r="1097" spans="1:10" x14ac:dyDescent="0.45">
      <c r="A1097" s="2" t="str">
        <f t="shared" si="17"/>
        <v>ＫＩＮＧＳ　ＦＯＯＴＢＡＬＬＣＬＵＢ　Ｕ－１２_11</v>
      </c>
      <c r="B1097" s="1" t="s">
        <v>3957</v>
      </c>
      <c r="C1097" s="1" t="str">
        <f>("11")</f>
        <v>11</v>
      </c>
      <c r="D1097" s="1" t="s">
        <v>208</v>
      </c>
      <c r="E1097" s="1" t="s">
        <v>6675</v>
      </c>
      <c r="F1097" s="1" t="s">
        <v>6676</v>
      </c>
      <c r="G1097" s="1">
        <v>6</v>
      </c>
      <c r="H1097" s="1" t="s">
        <v>229</v>
      </c>
      <c r="I1097" s="1" t="str">
        <f>("1112270134")</f>
        <v>1112270134</v>
      </c>
    </row>
    <row r="1098" spans="1:10" x14ac:dyDescent="0.45">
      <c r="A1098" s="2" t="str">
        <f t="shared" si="17"/>
        <v>ＫＩＮＧＳ　ＦＯＯＴＢＡＬＬＣＬＵＢ　Ｕ－１２_12</v>
      </c>
      <c r="B1098" s="1" t="s">
        <v>3957</v>
      </c>
      <c r="C1098" s="1" t="str">
        <f>("12")</f>
        <v>12</v>
      </c>
      <c r="D1098" s="1" t="s">
        <v>207</v>
      </c>
      <c r="E1098" s="1" t="s">
        <v>6677</v>
      </c>
      <c r="F1098" s="1" t="s">
        <v>6678</v>
      </c>
      <c r="G1098" s="1">
        <v>6</v>
      </c>
      <c r="H1098" s="1" t="s">
        <v>229</v>
      </c>
      <c r="I1098" s="1" t="str">
        <f>("1107050188")</f>
        <v>1107050188</v>
      </c>
    </row>
    <row r="1099" spans="1:10" x14ac:dyDescent="0.45">
      <c r="A1099" s="2" t="str">
        <f t="shared" si="17"/>
        <v>ＫＩＮＧＳ　ＦＯＯＴＢＡＬＬＣＬＵＢ　Ｕ－１２_13</v>
      </c>
      <c r="B1099" s="1" t="s">
        <v>3957</v>
      </c>
      <c r="C1099" s="1" t="str">
        <f>("13")</f>
        <v>13</v>
      </c>
      <c r="D1099" s="1" t="s">
        <v>209</v>
      </c>
      <c r="E1099" s="1" t="s">
        <v>9509</v>
      </c>
      <c r="F1099" s="1" t="s">
        <v>9510</v>
      </c>
      <c r="G1099" s="1">
        <v>5</v>
      </c>
      <c r="H1099" s="1" t="s">
        <v>229</v>
      </c>
      <c r="I1099" s="1" t="str">
        <f>("1204170177")</f>
        <v>1204170177</v>
      </c>
    </row>
    <row r="1100" spans="1:10" x14ac:dyDescent="0.45">
      <c r="A1100" s="2" t="str">
        <f t="shared" si="17"/>
        <v>ＫＩＮＧＳ　ＦＯＯＴＢＡＬＬＣＬＵＢ　Ｕ－１２_14</v>
      </c>
      <c r="B1100" s="1" t="s">
        <v>3957</v>
      </c>
      <c r="C1100" s="1" t="str">
        <f>("14")</f>
        <v>14</v>
      </c>
      <c r="D1100" s="1" t="s">
        <v>209</v>
      </c>
      <c r="E1100" s="1" t="s">
        <v>9511</v>
      </c>
      <c r="F1100" s="1" t="s">
        <v>9512</v>
      </c>
      <c r="G1100" s="1">
        <v>5</v>
      </c>
      <c r="H1100" s="1" t="s">
        <v>229</v>
      </c>
      <c r="I1100" s="1" t="str">
        <f>("1207280137")</f>
        <v>1207280137</v>
      </c>
    </row>
    <row r="1101" spans="1:10" x14ac:dyDescent="0.45">
      <c r="A1101" s="2" t="str">
        <f t="shared" si="17"/>
        <v>ＫＩＮＧＳ　ＦＯＯＴＢＡＬＬＣＬＵＢ　Ｕ－１２_15</v>
      </c>
      <c r="B1101" s="1" t="s">
        <v>3957</v>
      </c>
      <c r="C1101" s="1" t="str">
        <f>("15")</f>
        <v>15</v>
      </c>
      <c r="D1101" s="1" t="s">
        <v>208</v>
      </c>
      <c r="E1101" s="1" t="s">
        <v>9513</v>
      </c>
      <c r="F1101" s="1" t="s">
        <v>9514</v>
      </c>
      <c r="G1101" s="1">
        <v>5</v>
      </c>
      <c r="H1101" s="1" t="s">
        <v>229</v>
      </c>
      <c r="I1101" s="1" t="str">
        <f>("1205080182")</f>
        <v>1205080182</v>
      </c>
    </row>
    <row r="1102" spans="1:10" x14ac:dyDescent="0.45">
      <c r="A1102" s="2" t="str">
        <f t="shared" si="17"/>
        <v>ＫＩＮＧＳ　ＦＯＯＴＢＡＬＬＣＬＵＢ　Ｕ－１２_16</v>
      </c>
      <c r="B1102" s="1" t="s">
        <v>3957</v>
      </c>
      <c r="C1102" s="1" t="str">
        <f>("16")</f>
        <v>16</v>
      </c>
      <c r="D1102" s="1" t="s">
        <v>210</v>
      </c>
      <c r="E1102" s="1" t="s">
        <v>9515</v>
      </c>
      <c r="F1102" s="1" t="s">
        <v>9516</v>
      </c>
      <c r="G1102" s="1">
        <v>5</v>
      </c>
      <c r="H1102" s="1" t="s">
        <v>229</v>
      </c>
      <c r="I1102" s="1" t="str">
        <f>("1212310096")</f>
        <v>1212310096</v>
      </c>
    </row>
    <row r="1103" spans="1:10" x14ac:dyDescent="0.45">
      <c r="A1103" s="2" t="str">
        <f t="shared" si="17"/>
        <v>スマイスＦＣ_1</v>
      </c>
      <c r="B1103" s="1" t="s">
        <v>9517</v>
      </c>
      <c r="C1103" s="1" t="str">
        <f>("1")</f>
        <v>1</v>
      </c>
      <c r="D1103" s="1" t="s">
        <v>207</v>
      </c>
      <c r="E1103" s="1" t="s">
        <v>9518</v>
      </c>
      <c r="F1103" s="1" t="s">
        <v>9519</v>
      </c>
      <c r="G1103" s="1">
        <v>6</v>
      </c>
      <c r="H1103" s="1" t="s">
        <v>229</v>
      </c>
      <c r="I1103" s="1" t="str">
        <f>("1109200200")</f>
        <v>1109200200</v>
      </c>
    </row>
    <row r="1104" spans="1:10" x14ac:dyDescent="0.45">
      <c r="A1104" s="2" t="str">
        <f t="shared" si="17"/>
        <v>スマイスＦＣ_2</v>
      </c>
      <c r="B1104" s="1" t="s">
        <v>9517</v>
      </c>
      <c r="C1104" s="1" t="str">
        <f>("2")</f>
        <v>2</v>
      </c>
      <c r="D1104" s="1" t="s">
        <v>208</v>
      </c>
      <c r="E1104" s="1" t="s">
        <v>9520</v>
      </c>
      <c r="F1104" s="1" t="s">
        <v>9521</v>
      </c>
      <c r="G1104" s="1">
        <v>6</v>
      </c>
      <c r="H1104" s="1" t="s">
        <v>229</v>
      </c>
      <c r="I1104" s="1" t="str">
        <f>("1107150251")</f>
        <v>1107150251</v>
      </c>
    </row>
    <row r="1105" spans="1:10" x14ac:dyDescent="0.45">
      <c r="A1105" s="2" t="str">
        <f t="shared" si="17"/>
        <v>スマイスＦＣ_3</v>
      </c>
      <c r="B1105" s="1" t="s">
        <v>9517</v>
      </c>
      <c r="C1105" s="1" t="str">
        <f>("3")</f>
        <v>3</v>
      </c>
      <c r="D1105" s="1" t="s">
        <v>208</v>
      </c>
      <c r="E1105" s="1" t="s">
        <v>9522</v>
      </c>
      <c r="F1105" s="1" t="s">
        <v>9523</v>
      </c>
      <c r="G1105" s="1">
        <v>5</v>
      </c>
      <c r="H1105" s="1" t="s">
        <v>229</v>
      </c>
      <c r="I1105" s="1" t="str">
        <f>("1208240219")</f>
        <v>1208240219</v>
      </c>
    </row>
    <row r="1106" spans="1:10" x14ac:dyDescent="0.45">
      <c r="A1106" s="2" t="str">
        <f t="shared" si="17"/>
        <v>スマイスＦＣ_4</v>
      </c>
      <c r="B1106" s="1" t="s">
        <v>9517</v>
      </c>
      <c r="C1106" s="1" t="str">
        <f>("4")</f>
        <v>4</v>
      </c>
      <c r="D1106" s="1" t="s">
        <v>208</v>
      </c>
      <c r="E1106" s="1" t="s">
        <v>9524</v>
      </c>
      <c r="F1106" s="1" t="s">
        <v>9525</v>
      </c>
      <c r="G1106" s="1">
        <v>6</v>
      </c>
      <c r="H1106" s="1" t="s">
        <v>229</v>
      </c>
      <c r="I1106" s="1" t="str">
        <f>("1109100185")</f>
        <v>1109100185</v>
      </c>
    </row>
    <row r="1107" spans="1:10" x14ac:dyDescent="0.45">
      <c r="A1107" s="2" t="str">
        <f t="shared" si="17"/>
        <v>スマイスＦＣ_5</v>
      </c>
      <c r="B1107" s="1" t="s">
        <v>9517</v>
      </c>
      <c r="C1107" s="1" t="str">
        <f>("5")</f>
        <v>5</v>
      </c>
      <c r="D1107" s="1" t="s">
        <v>210</v>
      </c>
      <c r="E1107" s="1" t="s">
        <v>9526</v>
      </c>
      <c r="F1107" s="1" t="s">
        <v>9527</v>
      </c>
      <c r="G1107" s="1">
        <v>5</v>
      </c>
      <c r="H1107" s="1" t="s">
        <v>229</v>
      </c>
      <c r="I1107" s="1" t="str">
        <f>("1210190225")</f>
        <v>1210190225</v>
      </c>
    </row>
    <row r="1108" spans="1:10" x14ac:dyDescent="0.45">
      <c r="A1108" s="2" t="str">
        <f t="shared" si="17"/>
        <v>スマイスＦＣ_6</v>
      </c>
      <c r="B1108" s="1" t="s">
        <v>9517</v>
      </c>
      <c r="C1108" s="1" t="str">
        <f>("6")</f>
        <v>6</v>
      </c>
      <c r="D1108" s="1" t="s">
        <v>208</v>
      </c>
      <c r="E1108" s="1" t="s">
        <v>9528</v>
      </c>
      <c r="F1108" s="1" t="s">
        <v>9529</v>
      </c>
      <c r="G1108" s="1">
        <v>5</v>
      </c>
      <c r="H1108" s="1" t="s">
        <v>229</v>
      </c>
      <c r="I1108" s="1" t="str">
        <f>("1211070194")</f>
        <v>1211070194</v>
      </c>
    </row>
    <row r="1109" spans="1:10" x14ac:dyDescent="0.45">
      <c r="A1109" s="2" t="str">
        <f t="shared" si="17"/>
        <v>スマイスＦＣ_7</v>
      </c>
      <c r="B1109" s="1" t="s">
        <v>9517</v>
      </c>
      <c r="C1109" s="1" t="str">
        <f>("7")</f>
        <v>7</v>
      </c>
      <c r="D1109" s="1" t="s">
        <v>209</v>
      </c>
      <c r="E1109" s="1" t="s">
        <v>9530</v>
      </c>
      <c r="F1109" s="1" t="s">
        <v>9531</v>
      </c>
      <c r="G1109" s="1">
        <v>5</v>
      </c>
      <c r="H1109" s="1" t="s">
        <v>229</v>
      </c>
      <c r="I1109" s="1" t="str">
        <f>("1212040105")</f>
        <v>1212040105</v>
      </c>
    </row>
    <row r="1110" spans="1:10" x14ac:dyDescent="0.45">
      <c r="A1110" s="2" t="str">
        <f t="shared" si="17"/>
        <v>スマイスＦＣ_8</v>
      </c>
      <c r="B1110" s="1" t="s">
        <v>9517</v>
      </c>
      <c r="C1110" s="1" t="str">
        <f>("8")</f>
        <v>8</v>
      </c>
      <c r="D1110" s="1" t="s">
        <v>210</v>
      </c>
      <c r="E1110" s="1" t="s">
        <v>9532</v>
      </c>
      <c r="F1110" s="1" t="s">
        <v>9533</v>
      </c>
      <c r="G1110" s="1">
        <v>5</v>
      </c>
      <c r="H1110" s="1" t="s">
        <v>229</v>
      </c>
      <c r="I1110" s="1" t="str">
        <f>("1303060148")</f>
        <v>1303060148</v>
      </c>
    </row>
    <row r="1111" spans="1:10" x14ac:dyDescent="0.45">
      <c r="A1111" s="2" t="str">
        <f t="shared" si="17"/>
        <v>スマイスＦＣ_9</v>
      </c>
      <c r="B1111" s="1" t="s">
        <v>9517</v>
      </c>
      <c r="C1111" s="1" t="str">
        <f>("9")</f>
        <v>9</v>
      </c>
      <c r="D1111" s="1" t="s">
        <v>210</v>
      </c>
      <c r="E1111" s="1" t="s">
        <v>9534</v>
      </c>
      <c r="F1111" s="1" t="s">
        <v>9535</v>
      </c>
      <c r="G1111" s="1">
        <v>6</v>
      </c>
      <c r="H1111" s="1" t="s">
        <v>229</v>
      </c>
      <c r="I1111" s="1" t="str">
        <f>("1112130229")</f>
        <v>1112130229</v>
      </c>
    </row>
    <row r="1112" spans="1:10" x14ac:dyDescent="0.45">
      <c r="A1112" s="2" t="str">
        <f t="shared" si="17"/>
        <v>スマイスＦＣ_10</v>
      </c>
      <c r="B1112" s="1" t="s">
        <v>9517</v>
      </c>
      <c r="C1112" s="1" t="str">
        <f>("10")</f>
        <v>10</v>
      </c>
      <c r="D1112" s="1" t="s">
        <v>208</v>
      </c>
      <c r="E1112" s="1" t="s">
        <v>9536</v>
      </c>
      <c r="F1112" s="1" t="s">
        <v>9537</v>
      </c>
      <c r="G1112" s="1">
        <v>6</v>
      </c>
      <c r="H1112" s="1" t="s">
        <v>229</v>
      </c>
      <c r="I1112" s="1" t="str">
        <f>("1202230129")</f>
        <v>1202230129</v>
      </c>
      <c r="J1112" s="1" t="s">
        <v>1858</v>
      </c>
    </row>
    <row r="1113" spans="1:10" x14ac:dyDescent="0.45">
      <c r="A1113" s="2" t="str">
        <f t="shared" si="17"/>
        <v>スマイスＦＣ_11</v>
      </c>
      <c r="B1113" s="1" t="s">
        <v>9517</v>
      </c>
      <c r="C1113" s="1" t="str">
        <f>("11")</f>
        <v>11</v>
      </c>
      <c r="D1113" s="1" t="s">
        <v>209</v>
      </c>
      <c r="E1113" s="1" t="s">
        <v>9538</v>
      </c>
      <c r="F1113" s="1" t="s">
        <v>3685</v>
      </c>
      <c r="G1113" s="1">
        <v>5</v>
      </c>
      <c r="H1113" s="1" t="s">
        <v>229</v>
      </c>
      <c r="I1113" s="1" t="str">
        <f>("1207130216")</f>
        <v>1207130216</v>
      </c>
    </row>
    <row r="1114" spans="1:10" x14ac:dyDescent="0.45">
      <c r="A1114" s="2" t="str">
        <f t="shared" si="17"/>
        <v>スマイスＦＣ_12</v>
      </c>
      <c r="B1114" s="1" t="s">
        <v>9517</v>
      </c>
      <c r="C1114" s="1" t="str">
        <f>("12")</f>
        <v>12</v>
      </c>
      <c r="D1114" s="1" t="s">
        <v>209</v>
      </c>
      <c r="E1114" s="1" t="s">
        <v>9539</v>
      </c>
      <c r="F1114" s="1" t="s">
        <v>9540</v>
      </c>
      <c r="G1114" s="1">
        <v>5</v>
      </c>
      <c r="H1114" s="1" t="s">
        <v>229</v>
      </c>
      <c r="I1114" s="1" t="str">
        <f>("1208020241")</f>
        <v>1208020241</v>
      </c>
    </row>
    <row r="1115" spans="1:10" x14ac:dyDescent="0.45">
      <c r="A1115" s="2" t="str">
        <f t="shared" si="17"/>
        <v>スマイスＦＣ_13</v>
      </c>
      <c r="B1115" s="1" t="s">
        <v>9517</v>
      </c>
      <c r="C1115" s="1" t="str">
        <f>("13")</f>
        <v>13</v>
      </c>
      <c r="D1115" s="1" t="s">
        <v>208</v>
      </c>
      <c r="E1115" s="1" t="s">
        <v>9541</v>
      </c>
      <c r="F1115" s="1" t="s">
        <v>9542</v>
      </c>
      <c r="G1115" s="1">
        <v>5</v>
      </c>
      <c r="H1115" s="1" t="s">
        <v>229</v>
      </c>
      <c r="I1115" s="1" t="str">
        <f>("1207040208")</f>
        <v>1207040208</v>
      </c>
    </row>
    <row r="1116" spans="1:10" x14ac:dyDescent="0.45">
      <c r="A1116" s="2" t="str">
        <f t="shared" si="17"/>
        <v>スマイスＦＣ_14</v>
      </c>
      <c r="B1116" s="1" t="s">
        <v>9517</v>
      </c>
      <c r="C1116" s="1" t="str">
        <f>("14")</f>
        <v>14</v>
      </c>
      <c r="D1116" s="1" t="s">
        <v>209</v>
      </c>
      <c r="E1116" s="1" t="s">
        <v>9543</v>
      </c>
      <c r="F1116" s="1" t="s">
        <v>9544</v>
      </c>
      <c r="G1116" s="1">
        <v>4</v>
      </c>
      <c r="H1116" s="1" t="s">
        <v>229</v>
      </c>
      <c r="I1116" s="1" t="str">
        <f>("1304040132")</f>
        <v>1304040132</v>
      </c>
    </row>
    <row r="1117" spans="1:10" x14ac:dyDescent="0.45">
      <c r="A1117" s="2" t="str">
        <f t="shared" si="17"/>
        <v>スマイスＦＣ_15</v>
      </c>
      <c r="B1117" s="1" t="s">
        <v>9517</v>
      </c>
      <c r="C1117" s="1" t="str">
        <f>("15")</f>
        <v>15</v>
      </c>
      <c r="D1117" s="1" t="s">
        <v>208</v>
      </c>
      <c r="E1117" s="1" t="s">
        <v>9545</v>
      </c>
      <c r="F1117" s="1" t="s">
        <v>9546</v>
      </c>
      <c r="G1117" s="1">
        <v>4</v>
      </c>
      <c r="H1117" s="1" t="s">
        <v>229</v>
      </c>
      <c r="I1117" s="1" t="str">
        <f>("1402160088")</f>
        <v>1402160088</v>
      </c>
    </row>
    <row r="1118" spans="1:10" x14ac:dyDescent="0.45">
      <c r="A1118" s="2" t="str">
        <f t="shared" si="17"/>
        <v>スマイスＦＣ_16</v>
      </c>
      <c r="B1118" s="1" t="s">
        <v>9517</v>
      </c>
      <c r="C1118" s="1" t="str">
        <f>("16")</f>
        <v>16</v>
      </c>
      <c r="D1118" s="1" t="s">
        <v>207</v>
      </c>
      <c r="E1118" s="1" t="s">
        <v>9547</v>
      </c>
      <c r="F1118" s="1" t="s">
        <v>9548</v>
      </c>
      <c r="G1118" s="1">
        <v>6</v>
      </c>
      <c r="H1118" s="1" t="s">
        <v>229</v>
      </c>
      <c r="I1118" s="1" t="str">
        <f>("1111170152")</f>
        <v>1111170152</v>
      </c>
    </row>
    <row r="1119" spans="1:10" x14ac:dyDescent="0.45">
      <c r="A1119" s="2" t="str">
        <f t="shared" si="17"/>
        <v>市浜レッドソックス_1</v>
      </c>
      <c r="B1119" s="1" t="s">
        <v>3345</v>
      </c>
      <c r="C1119" s="1" t="str">
        <f>("1")</f>
        <v>1</v>
      </c>
      <c r="D1119" s="1" t="s">
        <v>207</v>
      </c>
      <c r="E1119" s="1" t="s">
        <v>9549</v>
      </c>
      <c r="F1119" s="1" t="s">
        <v>9550</v>
      </c>
      <c r="G1119" s="1">
        <v>5</v>
      </c>
      <c r="H1119" s="1" t="s">
        <v>229</v>
      </c>
      <c r="I1119" s="1" t="str">
        <f>("1204070146")</f>
        <v>1204070146</v>
      </c>
    </row>
    <row r="1120" spans="1:10" x14ac:dyDescent="0.45">
      <c r="A1120" s="2" t="str">
        <f t="shared" si="17"/>
        <v>市浜レッドソックス_2</v>
      </c>
      <c r="B1120" s="1" t="s">
        <v>3345</v>
      </c>
      <c r="C1120" s="1" t="str">
        <f>("2")</f>
        <v>2</v>
      </c>
      <c r="D1120" s="1" t="s">
        <v>210</v>
      </c>
      <c r="E1120" s="1" t="s">
        <v>9551</v>
      </c>
      <c r="F1120" s="1" t="s">
        <v>9552</v>
      </c>
      <c r="G1120" s="1">
        <v>4</v>
      </c>
      <c r="H1120" s="1" t="s">
        <v>229</v>
      </c>
      <c r="I1120" s="1" t="str">
        <f>("1304020224")</f>
        <v>1304020224</v>
      </c>
    </row>
    <row r="1121" spans="1:10" x14ac:dyDescent="0.45">
      <c r="A1121" s="2" t="str">
        <f t="shared" si="17"/>
        <v>市浜レッドソックス_3</v>
      </c>
      <c r="B1121" s="1" t="s">
        <v>3345</v>
      </c>
      <c r="C1121" s="1" t="str">
        <f>("3")</f>
        <v>3</v>
      </c>
      <c r="D1121" s="1" t="s">
        <v>208</v>
      </c>
      <c r="E1121" s="1" t="s">
        <v>9553</v>
      </c>
      <c r="F1121" s="1" t="s">
        <v>9554</v>
      </c>
      <c r="G1121" s="1">
        <v>4</v>
      </c>
      <c r="H1121" s="1" t="s">
        <v>229</v>
      </c>
      <c r="I1121" s="1" t="str">
        <f>("1401040074")</f>
        <v>1401040074</v>
      </c>
    </row>
    <row r="1122" spans="1:10" x14ac:dyDescent="0.45">
      <c r="A1122" s="2" t="str">
        <f t="shared" si="17"/>
        <v>市浜レッドソックス_4</v>
      </c>
      <c r="B1122" s="1" t="s">
        <v>3345</v>
      </c>
      <c r="C1122" s="1" t="str">
        <f>("4")</f>
        <v>4</v>
      </c>
      <c r="D1122" s="1" t="s">
        <v>210</v>
      </c>
      <c r="E1122" s="1" t="s">
        <v>9555</v>
      </c>
      <c r="F1122" s="1" t="s">
        <v>9556</v>
      </c>
      <c r="G1122" s="1">
        <v>5</v>
      </c>
      <c r="H1122" s="1" t="s">
        <v>229</v>
      </c>
      <c r="I1122" s="1" t="str">
        <f>("1209070177")</f>
        <v>1209070177</v>
      </c>
    </row>
    <row r="1123" spans="1:10" x14ac:dyDescent="0.45">
      <c r="A1123" s="2" t="str">
        <f t="shared" si="17"/>
        <v>市浜レッドソックス_5</v>
      </c>
      <c r="B1123" s="1" t="s">
        <v>3345</v>
      </c>
      <c r="C1123" s="1" t="str">
        <f>("5")</f>
        <v>5</v>
      </c>
      <c r="D1123" s="1" t="s">
        <v>209</v>
      </c>
      <c r="E1123" s="1" t="s">
        <v>6685</v>
      </c>
      <c r="F1123" s="1" t="s">
        <v>6221</v>
      </c>
      <c r="G1123" s="1">
        <v>5</v>
      </c>
      <c r="H1123" s="1" t="s">
        <v>229</v>
      </c>
      <c r="I1123" s="1" t="str">
        <f>("1301190118")</f>
        <v>1301190118</v>
      </c>
    </row>
    <row r="1124" spans="1:10" x14ac:dyDescent="0.45">
      <c r="A1124" s="2" t="str">
        <f t="shared" si="17"/>
        <v>市浜レッドソックス_6</v>
      </c>
      <c r="B1124" s="1" t="s">
        <v>3345</v>
      </c>
      <c r="C1124" s="1" t="str">
        <f>("6")</f>
        <v>6</v>
      </c>
      <c r="D1124" s="1" t="s">
        <v>209</v>
      </c>
      <c r="E1124" s="1" t="s">
        <v>9557</v>
      </c>
      <c r="F1124" s="1" t="s">
        <v>9558</v>
      </c>
      <c r="G1124" s="1">
        <v>6</v>
      </c>
      <c r="H1124" s="1" t="s">
        <v>231</v>
      </c>
      <c r="I1124" s="1" t="str">
        <f>("1108010217")</f>
        <v>1108010217</v>
      </c>
    </row>
    <row r="1125" spans="1:10" x14ac:dyDescent="0.45">
      <c r="A1125" s="2" t="str">
        <f t="shared" si="17"/>
        <v>市浜レッドソックス_7</v>
      </c>
      <c r="B1125" s="1" t="s">
        <v>3345</v>
      </c>
      <c r="C1125" s="1" t="str">
        <f>("7")</f>
        <v>7</v>
      </c>
      <c r="D1125" s="1" t="s">
        <v>210</v>
      </c>
      <c r="E1125" s="1" t="s">
        <v>9559</v>
      </c>
      <c r="F1125" s="1" t="s">
        <v>9560</v>
      </c>
      <c r="G1125" s="1">
        <v>5</v>
      </c>
      <c r="H1125" s="1" t="s">
        <v>229</v>
      </c>
      <c r="I1125" s="1" t="str">
        <f>("1205200127")</f>
        <v>1205200127</v>
      </c>
    </row>
    <row r="1126" spans="1:10" x14ac:dyDescent="0.45">
      <c r="A1126" s="2" t="str">
        <f t="shared" si="17"/>
        <v>市浜レッドソックス_8</v>
      </c>
      <c r="B1126" s="1" t="s">
        <v>3345</v>
      </c>
      <c r="C1126" s="1" t="str">
        <f>("8")</f>
        <v>8</v>
      </c>
      <c r="D1126" s="1" t="s">
        <v>209</v>
      </c>
      <c r="E1126" s="1" t="s">
        <v>9561</v>
      </c>
      <c r="F1126" s="1" t="s">
        <v>9562</v>
      </c>
      <c r="G1126" s="1">
        <v>6</v>
      </c>
      <c r="H1126" s="1" t="s">
        <v>231</v>
      </c>
      <c r="I1126" s="1" t="str">
        <f>("1104160232")</f>
        <v>1104160232</v>
      </c>
    </row>
    <row r="1127" spans="1:10" x14ac:dyDescent="0.45">
      <c r="A1127" s="2" t="str">
        <f t="shared" si="17"/>
        <v>市浜レッドソックス_9</v>
      </c>
      <c r="B1127" s="1" t="s">
        <v>3345</v>
      </c>
      <c r="C1127" s="1" t="str">
        <f>("9")</f>
        <v>9</v>
      </c>
      <c r="D1127" s="1" t="s">
        <v>209</v>
      </c>
      <c r="E1127" s="1" t="s">
        <v>6688</v>
      </c>
      <c r="F1127" s="1" t="s">
        <v>6689</v>
      </c>
      <c r="G1127" s="1">
        <v>5</v>
      </c>
      <c r="H1127" s="1" t="s">
        <v>229</v>
      </c>
      <c r="I1127" s="1" t="str">
        <f>("1210220145")</f>
        <v>1210220145</v>
      </c>
    </row>
    <row r="1128" spans="1:10" x14ac:dyDescent="0.45">
      <c r="A1128" s="2" t="str">
        <f t="shared" si="17"/>
        <v>市浜レッドソックス_10</v>
      </c>
      <c r="B1128" s="1" t="s">
        <v>3345</v>
      </c>
      <c r="C1128" s="1" t="str">
        <f>("10")</f>
        <v>10</v>
      </c>
      <c r="D1128" s="1" t="s">
        <v>208</v>
      </c>
      <c r="E1128" s="1" t="s">
        <v>9563</v>
      </c>
      <c r="F1128" s="1" t="s">
        <v>9564</v>
      </c>
      <c r="G1128" s="1">
        <v>6</v>
      </c>
      <c r="H1128" s="1" t="s">
        <v>231</v>
      </c>
      <c r="I1128" s="1" t="str">
        <f>("1109270219")</f>
        <v>1109270219</v>
      </c>
      <c r="J1128" s="1" t="s">
        <v>1858</v>
      </c>
    </row>
    <row r="1129" spans="1:10" x14ac:dyDescent="0.45">
      <c r="A1129" s="2" t="str">
        <f t="shared" si="17"/>
        <v>市浜レッドソックス_11</v>
      </c>
      <c r="B1129" s="1" t="s">
        <v>3345</v>
      </c>
      <c r="C1129" s="1" t="str">
        <f>("11")</f>
        <v>11</v>
      </c>
      <c r="D1129" s="1" t="s">
        <v>208</v>
      </c>
      <c r="E1129" s="1" t="s">
        <v>6686</v>
      </c>
      <c r="F1129" s="1" t="s">
        <v>6687</v>
      </c>
      <c r="G1129" s="1">
        <v>6</v>
      </c>
      <c r="H1129" s="1" t="s">
        <v>229</v>
      </c>
      <c r="I1129" s="1" t="str">
        <f>("1104290123")</f>
        <v>1104290123</v>
      </c>
    </row>
    <row r="1130" spans="1:10" x14ac:dyDescent="0.45">
      <c r="A1130" s="2" t="str">
        <f t="shared" si="17"/>
        <v>市浜レッドソックス_12</v>
      </c>
      <c r="B1130" s="1" t="s">
        <v>3345</v>
      </c>
      <c r="C1130" s="1" t="str">
        <f>("12")</f>
        <v>12</v>
      </c>
      <c r="D1130" s="1" t="s">
        <v>208</v>
      </c>
      <c r="E1130" s="1" t="s">
        <v>9565</v>
      </c>
      <c r="F1130" s="1" t="s">
        <v>9566</v>
      </c>
      <c r="G1130" s="1">
        <v>5</v>
      </c>
      <c r="H1130" s="1" t="s">
        <v>231</v>
      </c>
      <c r="I1130" s="1" t="str">
        <f>("1302180148")</f>
        <v>1302180148</v>
      </c>
    </row>
    <row r="1131" spans="1:10" x14ac:dyDescent="0.45">
      <c r="A1131" s="2" t="str">
        <f t="shared" si="17"/>
        <v>市浜レッドソックス_14</v>
      </c>
      <c r="B1131" s="1" t="s">
        <v>3345</v>
      </c>
      <c r="C1131" s="1" t="str">
        <f>("14")</f>
        <v>14</v>
      </c>
      <c r="D1131" s="1" t="s">
        <v>209</v>
      </c>
      <c r="E1131" s="1" t="s">
        <v>9567</v>
      </c>
      <c r="F1131" s="1" t="s">
        <v>9568</v>
      </c>
      <c r="G1131" s="1">
        <v>5</v>
      </c>
      <c r="H1131" s="1" t="s">
        <v>229</v>
      </c>
      <c r="I1131" s="1" t="str">
        <f>("1208240204")</f>
        <v>1208240204</v>
      </c>
    </row>
    <row r="1132" spans="1:10" x14ac:dyDescent="0.45">
      <c r="A1132" s="2" t="str">
        <f t="shared" si="17"/>
        <v>市浜レッドソックス_15</v>
      </c>
      <c r="B1132" s="1" t="s">
        <v>3345</v>
      </c>
      <c r="C1132" s="1" t="str">
        <f>("15")</f>
        <v>15</v>
      </c>
      <c r="D1132" s="1" t="s">
        <v>210</v>
      </c>
      <c r="E1132" s="1" t="s">
        <v>9569</v>
      </c>
      <c r="F1132" s="1" t="s">
        <v>9570</v>
      </c>
      <c r="G1132" s="1">
        <v>4</v>
      </c>
      <c r="H1132" s="1" t="s">
        <v>229</v>
      </c>
      <c r="I1132" s="1" t="str">
        <f>("1311110160")</f>
        <v>1311110160</v>
      </c>
    </row>
    <row r="1133" spans="1:10" x14ac:dyDescent="0.45">
      <c r="A1133" s="2" t="str">
        <f t="shared" si="17"/>
        <v>市浜レッドソックス_16</v>
      </c>
      <c r="B1133" s="1" t="s">
        <v>3345</v>
      </c>
      <c r="C1133" s="1" t="str">
        <f>("16")</f>
        <v>16</v>
      </c>
      <c r="D1133" s="1" t="s">
        <v>207</v>
      </c>
      <c r="E1133" s="1" t="s">
        <v>9571</v>
      </c>
      <c r="F1133" s="1" t="s">
        <v>9572</v>
      </c>
      <c r="G1133" s="1">
        <v>4</v>
      </c>
      <c r="H1133" s="1" t="s">
        <v>229</v>
      </c>
      <c r="I1133" s="1" t="str">
        <f>("1305080158")</f>
        <v>1305080158</v>
      </c>
    </row>
    <row r="1134" spans="1:10" x14ac:dyDescent="0.45">
      <c r="A1134" s="2" t="str">
        <f t="shared" si="17"/>
        <v>県央おおのＪＦＣ_1</v>
      </c>
      <c r="B1134" s="1" t="s">
        <v>3347</v>
      </c>
      <c r="C1134" s="1" t="str">
        <f>("1")</f>
        <v>1</v>
      </c>
      <c r="D1134" s="1" t="s">
        <v>207</v>
      </c>
      <c r="E1134" s="1" t="s">
        <v>6692</v>
      </c>
      <c r="F1134" s="1" t="s">
        <v>6693</v>
      </c>
      <c r="G1134" s="1">
        <v>6</v>
      </c>
      <c r="H1134" s="1" t="s">
        <v>229</v>
      </c>
      <c r="I1134" s="1" t="str">
        <f>("1106140210")</f>
        <v>1106140210</v>
      </c>
    </row>
    <row r="1135" spans="1:10" x14ac:dyDescent="0.45">
      <c r="A1135" s="2" t="str">
        <f t="shared" si="17"/>
        <v>県央おおのＪＦＣ_2</v>
      </c>
      <c r="B1135" s="1" t="s">
        <v>3347</v>
      </c>
      <c r="C1135" s="1" t="str">
        <f>("2")</f>
        <v>2</v>
      </c>
      <c r="D1135" s="1" t="s">
        <v>209</v>
      </c>
      <c r="E1135" s="1" t="s">
        <v>9573</v>
      </c>
      <c r="F1135" s="1" t="s">
        <v>9574</v>
      </c>
      <c r="G1135" s="1">
        <v>5</v>
      </c>
      <c r="H1135" s="1" t="s">
        <v>229</v>
      </c>
      <c r="I1135" s="1" t="str">
        <f>("1205100248")</f>
        <v>1205100248</v>
      </c>
    </row>
    <row r="1136" spans="1:10" x14ac:dyDescent="0.45">
      <c r="A1136" s="2" t="str">
        <f t="shared" si="17"/>
        <v>県央おおのＪＦＣ_3</v>
      </c>
      <c r="B1136" s="1" t="s">
        <v>3347</v>
      </c>
      <c r="C1136" s="1" t="str">
        <f>("3")</f>
        <v>3</v>
      </c>
      <c r="D1136" s="1" t="s">
        <v>208</v>
      </c>
      <c r="E1136" s="1" t="s">
        <v>5632</v>
      </c>
      <c r="F1136" s="1" t="s">
        <v>5633</v>
      </c>
      <c r="G1136" s="1">
        <v>5</v>
      </c>
      <c r="H1136" s="1" t="s">
        <v>229</v>
      </c>
      <c r="I1136" s="1" t="str">
        <f>("1207060037")</f>
        <v>1207060037</v>
      </c>
    </row>
    <row r="1137" spans="1:10" x14ac:dyDescent="0.45">
      <c r="A1137" s="2" t="str">
        <f t="shared" si="17"/>
        <v>県央おおのＪＦＣ_4</v>
      </c>
      <c r="B1137" s="1" t="s">
        <v>3347</v>
      </c>
      <c r="C1137" s="1" t="str">
        <f>("4")</f>
        <v>4</v>
      </c>
      <c r="D1137" s="1" t="s">
        <v>209</v>
      </c>
      <c r="E1137" s="1" t="s">
        <v>9575</v>
      </c>
      <c r="F1137" s="1" t="s">
        <v>9576</v>
      </c>
      <c r="G1137" s="1">
        <v>4</v>
      </c>
      <c r="H1137" s="1" t="s">
        <v>229</v>
      </c>
      <c r="I1137" s="1" t="str">
        <f>("1305180099")</f>
        <v>1305180099</v>
      </c>
    </row>
    <row r="1138" spans="1:10" x14ac:dyDescent="0.45">
      <c r="A1138" s="2" t="str">
        <f t="shared" si="17"/>
        <v>県央おおのＪＦＣ_5</v>
      </c>
      <c r="B1138" s="1" t="s">
        <v>3347</v>
      </c>
      <c r="C1138" s="1" t="str">
        <f>("5")</f>
        <v>5</v>
      </c>
      <c r="D1138" s="1" t="s">
        <v>208</v>
      </c>
      <c r="E1138" s="1" t="s">
        <v>9577</v>
      </c>
      <c r="F1138" s="1" t="s">
        <v>9578</v>
      </c>
      <c r="G1138" s="1">
        <v>5</v>
      </c>
      <c r="H1138" s="1" t="s">
        <v>229</v>
      </c>
      <c r="I1138" s="1" t="str">
        <f>("1207160164")</f>
        <v>1207160164</v>
      </c>
    </row>
    <row r="1139" spans="1:10" x14ac:dyDescent="0.45">
      <c r="A1139" s="2" t="str">
        <f t="shared" si="17"/>
        <v>県央おおのＪＦＣ_6</v>
      </c>
      <c r="B1139" s="1" t="s">
        <v>3347</v>
      </c>
      <c r="C1139" s="1" t="str">
        <f>("6")</f>
        <v>6</v>
      </c>
      <c r="D1139" s="1" t="s">
        <v>209</v>
      </c>
      <c r="E1139" s="1" t="s">
        <v>9579</v>
      </c>
      <c r="F1139" s="1" t="s">
        <v>9580</v>
      </c>
      <c r="G1139" s="1">
        <v>5</v>
      </c>
      <c r="H1139" s="1" t="s">
        <v>229</v>
      </c>
      <c r="I1139" s="1" t="str">
        <f>("1204190230")</f>
        <v>1204190230</v>
      </c>
    </row>
    <row r="1140" spans="1:10" x14ac:dyDescent="0.45">
      <c r="A1140" s="2" t="str">
        <f t="shared" si="17"/>
        <v>県央おおのＪＦＣ_8</v>
      </c>
      <c r="B1140" s="1" t="s">
        <v>3347</v>
      </c>
      <c r="C1140" s="1" t="str">
        <f>("8")</f>
        <v>8</v>
      </c>
      <c r="D1140" s="1" t="s">
        <v>209</v>
      </c>
      <c r="E1140" s="1" t="s">
        <v>5626</v>
      </c>
      <c r="F1140" s="1" t="s">
        <v>5627</v>
      </c>
      <c r="G1140" s="1">
        <v>6</v>
      </c>
      <c r="H1140" s="1" t="s">
        <v>229</v>
      </c>
      <c r="I1140" s="1" t="str">
        <f>("1110280132")</f>
        <v>1110280132</v>
      </c>
    </row>
    <row r="1141" spans="1:10" x14ac:dyDescent="0.45">
      <c r="A1141" s="2" t="str">
        <f t="shared" si="17"/>
        <v>県央おおのＪＦＣ_9</v>
      </c>
      <c r="B1141" s="1" t="s">
        <v>3347</v>
      </c>
      <c r="C1141" s="1" t="str">
        <f>("9")</f>
        <v>9</v>
      </c>
      <c r="D1141" s="1" t="s">
        <v>209</v>
      </c>
      <c r="E1141" s="1" t="s">
        <v>6690</v>
      </c>
      <c r="F1141" s="1" t="s">
        <v>6691</v>
      </c>
      <c r="G1141" s="1">
        <v>6</v>
      </c>
      <c r="H1141" s="1" t="s">
        <v>229</v>
      </c>
      <c r="I1141" s="1" t="str">
        <f>("1109120198")</f>
        <v>1109120198</v>
      </c>
    </row>
    <row r="1142" spans="1:10" x14ac:dyDescent="0.45">
      <c r="A1142" s="2" t="str">
        <f t="shared" si="17"/>
        <v>県央おおのＪＦＣ_10</v>
      </c>
      <c r="B1142" s="1" t="s">
        <v>3347</v>
      </c>
      <c r="C1142" s="1" t="str">
        <f>("10")</f>
        <v>10</v>
      </c>
      <c r="D1142" s="1" t="s">
        <v>209</v>
      </c>
      <c r="E1142" s="1" t="s">
        <v>5630</v>
      </c>
      <c r="F1142" s="1" t="s">
        <v>5631</v>
      </c>
      <c r="G1142" s="1">
        <v>6</v>
      </c>
      <c r="H1142" s="1" t="s">
        <v>229</v>
      </c>
      <c r="I1142" s="1" t="str">
        <f>("1110200097")</f>
        <v>1110200097</v>
      </c>
      <c r="J1142" s="1" t="s">
        <v>1858</v>
      </c>
    </row>
    <row r="1143" spans="1:10" x14ac:dyDescent="0.45">
      <c r="A1143" s="2" t="str">
        <f t="shared" si="17"/>
        <v>県央おおのＪＦＣ_11</v>
      </c>
      <c r="B1143" s="1" t="s">
        <v>3347</v>
      </c>
      <c r="C1143" s="1" t="str">
        <f>("11")</f>
        <v>11</v>
      </c>
      <c r="D1143" s="1" t="s">
        <v>209</v>
      </c>
      <c r="E1143" s="1" t="s">
        <v>5628</v>
      </c>
      <c r="F1143" s="1" t="s">
        <v>5629</v>
      </c>
      <c r="G1143" s="1">
        <v>6</v>
      </c>
      <c r="H1143" s="1" t="s">
        <v>229</v>
      </c>
      <c r="I1143" s="1" t="str">
        <f>("1202080088")</f>
        <v>1202080088</v>
      </c>
    </row>
    <row r="1144" spans="1:10" x14ac:dyDescent="0.45">
      <c r="A1144" s="2" t="str">
        <f t="shared" si="17"/>
        <v>県央おおのＪＦＣ_12</v>
      </c>
      <c r="B1144" s="1" t="s">
        <v>3347</v>
      </c>
      <c r="C1144" s="1" t="str">
        <f>("12")</f>
        <v>12</v>
      </c>
      <c r="D1144" s="1" t="s">
        <v>209</v>
      </c>
      <c r="E1144" s="1" t="s">
        <v>9581</v>
      </c>
      <c r="F1144" s="1" t="s">
        <v>9582</v>
      </c>
      <c r="G1144" s="1">
        <v>3</v>
      </c>
      <c r="H1144" s="1" t="s">
        <v>231</v>
      </c>
      <c r="I1144" s="1" t="str">
        <f>("1411120015")</f>
        <v>1411120015</v>
      </c>
    </row>
    <row r="1145" spans="1:10" x14ac:dyDescent="0.45">
      <c r="A1145" s="2" t="str">
        <f t="shared" si="17"/>
        <v>県央おおのＪＦＣ_14</v>
      </c>
      <c r="B1145" s="1" t="s">
        <v>3347</v>
      </c>
      <c r="C1145" s="1" t="str">
        <f>("14")</f>
        <v>14</v>
      </c>
      <c r="D1145" s="1" t="s">
        <v>209</v>
      </c>
      <c r="E1145" s="1" t="s">
        <v>9583</v>
      </c>
      <c r="F1145" s="1" t="s">
        <v>9584</v>
      </c>
      <c r="G1145" s="1">
        <v>3</v>
      </c>
      <c r="H1145" s="1" t="s">
        <v>229</v>
      </c>
      <c r="I1145" s="1" t="str">
        <f>("1412080072")</f>
        <v>1412080072</v>
      </c>
    </row>
    <row r="1146" spans="1:10" x14ac:dyDescent="0.45">
      <c r="A1146" s="2" t="str">
        <f t="shared" si="17"/>
        <v>県央おおのＪＦＣ_17</v>
      </c>
      <c r="B1146" s="1" t="s">
        <v>3347</v>
      </c>
      <c r="C1146" s="1" t="str">
        <f>("17")</f>
        <v>17</v>
      </c>
      <c r="D1146" s="1" t="s">
        <v>207</v>
      </c>
      <c r="E1146" s="1" t="s">
        <v>9585</v>
      </c>
      <c r="F1146" s="1" t="s">
        <v>9586</v>
      </c>
      <c r="G1146" s="1">
        <v>5</v>
      </c>
      <c r="H1146" s="1" t="s">
        <v>229</v>
      </c>
      <c r="I1146" s="1" t="str">
        <f>("1208100217")</f>
        <v>1208100217</v>
      </c>
    </row>
    <row r="1147" spans="1:10" x14ac:dyDescent="0.45">
      <c r="A1147" s="2" t="str">
        <f t="shared" si="17"/>
        <v>ブルーウイングフットボールクラブ_1</v>
      </c>
      <c r="B1147" s="1" t="s">
        <v>3967</v>
      </c>
      <c r="C1147" s="1" t="str">
        <f>("1")</f>
        <v>1</v>
      </c>
      <c r="D1147" s="1" t="s">
        <v>207</v>
      </c>
      <c r="E1147" s="1" t="s">
        <v>6697</v>
      </c>
      <c r="F1147" s="1" t="s">
        <v>6698</v>
      </c>
      <c r="G1147" s="1">
        <v>6</v>
      </c>
      <c r="H1147" s="1" t="s">
        <v>229</v>
      </c>
      <c r="I1147" s="1" t="str">
        <f>("1104170090")</f>
        <v>1104170090</v>
      </c>
    </row>
    <row r="1148" spans="1:10" x14ac:dyDescent="0.45">
      <c r="A1148" s="2" t="str">
        <f t="shared" si="17"/>
        <v>ブルーウイングフットボールクラブ_2</v>
      </c>
      <c r="B1148" s="1" t="s">
        <v>3967</v>
      </c>
      <c r="C1148" s="1" t="str">
        <f>("2")</f>
        <v>2</v>
      </c>
      <c r="D1148" s="1" t="s">
        <v>208</v>
      </c>
      <c r="E1148" s="1" t="s">
        <v>9587</v>
      </c>
      <c r="F1148" s="1" t="s">
        <v>9588</v>
      </c>
      <c r="G1148" s="1">
        <v>6</v>
      </c>
      <c r="H1148" s="1" t="s">
        <v>229</v>
      </c>
      <c r="I1148" s="1" t="str">
        <f>("1108280130")</f>
        <v>1108280130</v>
      </c>
    </row>
    <row r="1149" spans="1:10" x14ac:dyDescent="0.45">
      <c r="A1149" s="2" t="str">
        <f t="shared" si="17"/>
        <v>ブルーウイングフットボールクラブ_3</v>
      </c>
      <c r="B1149" s="1" t="s">
        <v>3967</v>
      </c>
      <c r="C1149" s="1" t="str">
        <f>("3")</f>
        <v>3</v>
      </c>
      <c r="D1149" s="1" t="s">
        <v>208</v>
      </c>
      <c r="E1149" s="1" t="s">
        <v>9589</v>
      </c>
      <c r="F1149" s="1" t="s">
        <v>9590</v>
      </c>
      <c r="G1149" s="1">
        <v>6</v>
      </c>
      <c r="H1149" s="1" t="s">
        <v>229</v>
      </c>
      <c r="I1149" s="1" t="str">
        <f>("1203020172")</f>
        <v>1203020172</v>
      </c>
    </row>
    <row r="1150" spans="1:10" x14ac:dyDescent="0.45">
      <c r="A1150" s="2" t="str">
        <f t="shared" si="17"/>
        <v>ブルーウイングフットボールクラブ_4</v>
      </c>
      <c r="B1150" s="1" t="s">
        <v>3967</v>
      </c>
      <c r="C1150" s="1" t="str">
        <f>("4")</f>
        <v>4</v>
      </c>
      <c r="D1150" s="1" t="s">
        <v>208</v>
      </c>
      <c r="E1150" s="1" t="s">
        <v>9591</v>
      </c>
      <c r="F1150" s="1" t="s">
        <v>9592</v>
      </c>
      <c r="G1150" s="1">
        <v>6</v>
      </c>
      <c r="H1150" s="1" t="s">
        <v>229</v>
      </c>
      <c r="I1150" s="1" t="str">
        <f>("1110100058")</f>
        <v>1110100058</v>
      </c>
      <c r="J1150" s="1" t="s">
        <v>1858</v>
      </c>
    </row>
    <row r="1151" spans="1:10" x14ac:dyDescent="0.45">
      <c r="A1151" s="2" t="str">
        <f t="shared" si="17"/>
        <v>ブルーウイングフットボールクラブ_5</v>
      </c>
      <c r="B1151" s="1" t="s">
        <v>3967</v>
      </c>
      <c r="C1151" s="1" t="str">
        <f>("5")</f>
        <v>5</v>
      </c>
      <c r="D1151" s="1" t="s">
        <v>208</v>
      </c>
      <c r="E1151" s="1" t="s">
        <v>9593</v>
      </c>
      <c r="F1151" s="1" t="s">
        <v>9594</v>
      </c>
      <c r="G1151" s="1">
        <v>6</v>
      </c>
      <c r="H1151" s="1" t="s">
        <v>229</v>
      </c>
      <c r="I1151" s="1" t="str">
        <f>("1104190130")</f>
        <v>1104190130</v>
      </c>
    </row>
    <row r="1152" spans="1:10" x14ac:dyDescent="0.45">
      <c r="A1152" s="2" t="str">
        <f t="shared" si="17"/>
        <v>ブルーウイングフットボールクラブ_6</v>
      </c>
      <c r="B1152" s="1" t="s">
        <v>3967</v>
      </c>
      <c r="C1152" s="1" t="str">
        <f>("6")</f>
        <v>6</v>
      </c>
      <c r="D1152" s="1" t="s">
        <v>208</v>
      </c>
      <c r="E1152" s="1" t="s">
        <v>9595</v>
      </c>
      <c r="F1152" s="1" t="s">
        <v>9596</v>
      </c>
      <c r="G1152" s="1">
        <v>6</v>
      </c>
      <c r="H1152" s="1" t="s">
        <v>229</v>
      </c>
      <c r="I1152" s="1" t="str">
        <f>("1110260166")</f>
        <v>1110260166</v>
      </c>
    </row>
    <row r="1153" spans="1:10" x14ac:dyDescent="0.45">
      <c r="A1153" s="2" t="str">
        <f t="shared" ref="A1153:A1216" si="18">CONCATENATE(B1153,"_",C1153)</f>
        <v>ブルーウイングフットボールクラブ_7</v>
      </c>
      <c r="B1153" s="1" t="s">
        <v>3967</v>
      </c>
      <c r="C1153" s="1" t="str">
        <f>("7")</f>
        <v>7</v>
      </c>
      <c r="D1153" s="1" t="s">
        <v>209</v>
      </c>
      <c r="E1153" s="1" t="s">
        <v>9597</v>
      </c>
      <c r="F1153" s="1" t="s">
        <v>9598</v>
      </c>
      <c r="G1153" s="1">
        <v>5</v>
      </c>
      <c r="H1153" s="1" t="s">
        <v>229</v>
      </c>
      <c r="I1153" s="1" t="str">
        <f>("1204020134")</f>
        <v>1204020134</v>
      </c>
    </row>
    <row r="1154" spans="1:10" x14ac:dyDescent="0.45">
      <c r="A1154" s="2" t="str">
        <f t="shared" si="18"/>
        <v>ブルーウイングフットボールクラブ_8</v>
      </c>
      <c r="B1154" s="1" t="s">
        <v>3967</v>
      </c>
      <c r="C1154" s="1" t="str">
        <f>("8")</f>
        <v>8</v>
      </c>
      <c r="D1154" s="1" t="s">
        <v>209</v>
      </c>
      <c r="E1154" s="1" t="s">
        <v>9599</v>
      </c>
      <c r="F1154" s="1" t="s">
        <v>9600</v>
      </c>
      <c r="G1154" s="1">
        <v>4</v>
      </c>
      <c r="H1154" s="1" t="s">
        <v>229</v>
      </c>
      <c r="I1154" s="1" t="str">
        <f>("1403140102")</f>
        <v>1403140102</v>
      </c>
    </row>
    <row r="1155" spans="1:10" x14ac:dyDescent="0.45">
      <c r="A1155" s="2" t="str">
        <f t="shared" si="18"/>
        <v>ブルーウイングフットボールクラブ_9</v>
      </c>
      <c r="B1155" s="1" t="s">
        <v>3967</v>
      </c>
      <c r="C1155" s="1" t="str">
        <f>("9")</f>
        <v>9</v>
      </c>
      <c r="D1155" s="1" t="s">
        <v>210</v>
      </c>
      <c r="E1155" s="1" t="s">
        <v>6695</v>
      </c>
      <c r="F1155" s="1" t="s">
        <v>6696</v>
      </c>
      <c r="G1155" s="1">
        <v>6</v>
      </c>
      <c r="H1155" s="1" t="s">
        <v>229</v>
      </c>
      <c r="I1155" s="1" t="str">
        <f>("1104260232")</f>
        <v>1104260232</v>
      </c>
    </row>
    <row r="1156" spans="1:10" x14ac:dyDescent="0.45">
      <c r="A1156" s="2" t="str">
        <f t="shared" si="18"/>
        <v>ブルーウイングフットボールクラブ_10</v>
      </c>
      <c r="B1156" s="1" t="s">
        <v>3967</v>
      </c>
      <c r="C1156" s="1" t="str">
        <f>("10")</f>
        <v>10</v>
      </c>
      <c r="D1156" s="1" t="s">
        <v>210</v>
      </c>
      <c r="E1156" s="1" t="s">
        <v>9601</v>
      </c>
      <c r="F1156" s="1" t="s">
        <v>9602</v>
      </c>
      <c r="G1156" s="1">
        <v>6</v>
      </c>
      <c r="H1156" s="1" t="s">
        <v>229</v>
      </c>
      <c r="I1156" s="1" t="str">
        <f>("1106190135")</f>
        <v>1106190135</v>
      </c>
    </row>
    <row r="1157" spans="1:10" x14ac:dyDescent="0.45">
      <c r="A1157" s="2" t="str">
        <f t="shared" si="18"/>
        <v>ブルーウイングフットボールクラブ_11</v>
      </c>
      <c r="B1157" s="1" t="s">
        <v>3967</v>
      </c>
      <c r="C1157" s="1" t="str">
        <f>("11")</f>
        <v>11</v>
      </c>
      <c r="D1157" s="1" t="s">
        <v>210</v>
      </c>
      <c r="E1157" s="1" t="s">
        <v>6681</v>
      </c>
      <c r="F1157" s="1" t="s">
        <v>6682</v>
      </c>
      <c r="G1157" s="1">
        <v>6</v>
      </c>
      <c r="H1157" s="1" t="s">
        <v>229</v>
      </c>
      <c r="I1157" s="1" t="str">
        <f>("1104080180")</f>
        <v>1104080180</v>
      </c>
    </row>
    <row r="1158" spans="1:10" x14ac:dyDescent="0.45">
      <c r="A1158" s="2" t="str">
        <f t="shared" si="18"/>
        <v>ブルーウイングフットボールクラブ_12</v>
      </c>
      <c r="B1158" s="1" t="s">
        <v>3967</v>
      </c>
      <c r="C1158" s="1" t="str">
        <f>("12")</f>
        <v>12</v>
      </c>
      <c r="D1158" s="1" t="s">
        <v>208</v>
      </c>
      <c r="E1158" s="1" t="s">
        <v>9603</v>
      </c>
      <c r="F1158" s="1" t="s">
        <v>9604</v>
      </c>
      <c r="G1158" s="1">
        <v>6</v>
      </c>
      <c r="H1158" s="1" t="s">
        <v>229</v>
      </c>
      <c r="I1158" s="1" t="str">
        <f>("1109140202")</f>
        <v>1109140202</v>
      </c>
    </row>
    <row r="1159" spans="1:10" x14ac:dyDescent="0.45">
      <c r="A1159" s="2" t="str">
        <f t="shared" si="18"/>
        <v>ブルーウイングフットボールクラブ_13</v>
      </c>
      <c r="B1159" s="1" t="s">
        <v>3967</v>
      </c>
      <c r="C1159" s="1" t="str">
        <f>("13")</f>
        <v>13</v>
      </c>
      <c r="D1159" s="1" t="s">
        <v>210</v>
      </c>
      <c r="E1159" s="1" t="s">
        <v>9605</v>
      </c>
      <c r="F1159" s="1" t="s">
        <v>9606</v>
      </c>
      <c r="G1159" s="1">
        <v>6</v>
      </c>
      <c r="H1159" s="1" t="s">
        <v>229</v>
      </c>
      <c r="I1159" s="1" t="str">
        <f>("1107080218")</f>
        <v>1107080218</v>
      </c>
    </row>
    <row r="1160" spans="1:10" x14ac:dyDescent="0.45">
      <c r="A1160" s="2" t="str">
        <f t="shared" si="18"/>
        <v>ブルーウイングフットボールクラブ_14</v>
      </c>
      <c r="B1160" s="1" t="s">
        <v>3967</v>
      </c>
      <c r="C1160" s="1" t="str">
        <f>("14")</f>
        <v>14</v>
      </c>
      <c r="D1160" s="1" t="s">
        <v>209</v>
      </c>
      <c r="E1160" s="1" t="s">
        <v>6699</v>
      </c>
      <c r="F1160" s="1" t="s">
        <v>6700</v>
      </c>
      <c r="G1160" s="1">
        <v>6</v>
      </c>
      <c r="H1160" s="1" t="s">
        <v>229</v>
      </c>
      <c r="I1160" s="1" t="str">
        <f>("1107210191")</f>
        <v>1107210191</v>
      </c>
    </row>
    <row r="1161" spans="1:10" x14ac:dyDescent="0.45">
      <c r="A1161" s="2" t="str">
        <f t="shared" si="18"/>
        <v>ブルーウイングフットボールクラブ_15</v>
      </c>
      <c r="B1161" s="1" t="s">
        <v>3967</v>
      </c>
      <c r="C1161" s="1" t="str">
        <f>("15")</f>
        <v>15</v>
      </c>
      <c r="D1161" s="1" t="s">
        <v>209</v>
      </c>
      <c r="E1161" s="1" t="s">
        <v>9607</v>
      </c>
      <c r="F1161" s="1" t="s">
        <v>9608</v>
      </c>
      <c r="G1161" s="1">
        <v>6</v>
      </c>
      <c r="H1161" s="1" t="s">
        <v>229</v>
      </c>
      <c r="I1161" s="1" t="str">
        <f>("1202280178")</f>
        <v>1202280178</v>
      </c>
    </row>
    <row r="1162" spans="1:10" x14ac:dyDescent="0.45">
      <c r="A1162" s="2" t="str">
        <f t="shared" si="18"/>
        <v>ブルーウイングフットボールクラブ_16</v>
      </c>
      <c r="B1162" s="1" t="s">
        <v>3967</v>
      </c>
      <c r="C1162" s="1" t="str">
        <f>("16")</f>
        <v>16</v>
      </c>
      <c r="D1162" s="1" t="s">
        <v>209</v>
      </c>
      <c r="E1162" s="1" t="s">
        <v>9609</v>
      </c>
      <c r="F1162" s="1" t="s">
        <v>9610</v>
      </c>
      <c r="G1162" s="1">
        <v>6</v>
      </c>
      <c r="H1162" s="1" t="s">
        <v>229</v>
      </c>
      <c r="I1162" s="1" t="str">
        <f>("1202230148")</f>
        <v>1202230148</v>
      </c>
    </row>
    <row r="1163" spans="1:10" x14ac:dyDescent="0.45">
      <c r="A1163" s="2" t="str">
        <f t="shared" si="18"/>
        <v>ようこくバンビーレＦＣ_1</v>
      </c>
      <c r="B1163" s="1" t="s">
        <v>5011</v>
      </c>
      <c r="C1163" s="1" t="str">
        <f>("1")</f>
        <v>1</v>
      </c>
      <c r="D1163" s="1" t="s">
        <v>207</v>
      </c>
      <c r="E1163" s="1" t="s">
        <v>6704</v>
      </c>
      <c r="F1163" s="1" t="s">
        <v>6705</v>
      </c>
      <c r="G1163" s="1">
        <v>6</v>
      </c>
      <c r="H1163" s="1" t="s">
        <v>229</v>
      </c>
      <c r="I1163" s="1" t="str">
        <f>("1110080089")</f>
        <v>1110080089</v>
      </c>
      <c r="J1163" s="1" t="s">
        <v>1858</v>
      </c>
    </row>
    <row r="1164" spans="1:10" x14ac:dyDescent="0.45">
      <c r="A1164" s="2" t="str">
        <f t="shared" si="18"/>
        <v>ようこくバンビーレＦＣ_2</v>
      </c>
      <c r="B1164" s="1" t="s">
        <v>5011</v>
      </c>
      <c r="C1164" s="1" t="str">
        <f>("2")</f>
        <v>2</v>
      </c>
      <c r="D1164" s="1" t="s">
        <v>210</v>
      </c>
      <c r="E1164" s="1" t="s">
        <v>9611</v>
      </c>
      <c r="F1164" s="1" t="s">
        <v>9612</v>
      </c>
      <c r="G1164" s="1">
        <v>2</v>
      </c>
      <c r="H1164" s="1" t="s">
        <v>229</v>
      </c>
      <c r="I1164" s="1" t="str">
        <f>("1512030008")</f>
        <v>1512030008</v>
      </c>
    </row>
    <row r="1165" spans="1:10" x14ac:dyDescent="0.45">
      <c r="A1165" s="2" t="str">
        <f t="shared" si="18"/>
        <v>ようこくバンビーレＦＣ_3</v>
      </c>
      <c r="B1165" s="1" t="s">
        <v>5011</v>
      </c>
      <c r="C1165" s="1" t="str">
        <f>("3")</f>
        <v>3</v>
      </c>
      <c r="D1165" s="1" t="s">
        <v>210</v>
      </c>
      <c r="E1165" s="1" t="s">
        <v>9613</v>
      </c>
      <c r="F1165" s="1" t="s">
        <v>9614</v>
      </c>
      <c r="G1165" s="1">
        <v>2</v>
      </c>
      <c r="H1165" s="1" t="s">
        <v>229</v>
      </c>
      <c r="I1165" s="1" t="str">
        <f>("1602030007")</f>
        <v>1602030007</v>
      </c>
    </row>
    <row r="1166" spans="1:10" x14ac:dyDescent="0.45">
      <c r="A1166" s="2" t="str">
        <f t="shared" si="18"/>
        <v>ようこくバンビーレＦＣ_4</v>
      </c>
      <c r="B1166" s="1" t="s">
        <v>5011</v>
      </c>
      <c r="C1166" s="1" t="str">
        <f>("4")</f>
        <v>4</v>
      </c>
      <c r="D1166" s="1" t="s">
        <v>208</v>
      </c>
      <c r="E1166" s="1" t="s">
        <v>9615</v>
      </c>
      <c r="F1166" s="1" t="s">
        <v>9616</v>
      </c>
      <c r="G1166" s="1">
        <v>4</v>
      </c>
      <c r="H1166" s="1" t="s">
        <v>229</v>
      </c>
      <c r="I1166" s="1" t="str">
        <f>("1306290103")</f>
        <v>1306290103</v>
      </c>
    </row>
    <row r="1167" spans="1:10" x14ac:dyDescent="0.45">
      <c r="A1167" s="2" t="str">
        <f t="shared" si="18"/>
        <v>ようこくバンビーレＦＣ_5</v>
      </c>
      <c r="B1167" s="1" t="s">
        <v>5011</v>
      </c>
      <c r="C1167" s="1" t="str">
        <f>("5")</f>
        <v>5</v>
      </c>
      <c r="D1167" s="1" t="s">
        <v>208</v>
      </c>
      <c r="E1167" s="1" t="s">
        <v>9617</v>
      </c>
      <c r="F1167" s="1" t="s">
        <v>9618</v>
      </c>
      <c r="G1167" s="1">
        <v>4</v>
      </c>
      <c r="H1167" s="1" t="s">
        <v>231</v>
      </c>
      <c r="I1167" s="1" t="str">
        <f>("1312280097")</f>
        <v>1312280097</v>
      </c>
    </row>
    <row r="1168" spans="1:10" x14ac:dyDescent="0.45">
      <c r="A1168" s="2" t="str">
        <f t="shared" si="18"/>
        <v>ようこくバンビーレＦＣ_6</v>
      </c>
      <c r="B1168" s="1" t="s">
        <v>5011</v>
      </c>
      <c r="C1168" s="1" t="str">
        <f>("6")</f>
        <v>6</v>
      </c>
      <c r="D1168" s="1" t="s">
        <v>208</v>
      </c>
      <c r="E1168" s="1" t="s">
        <v>9619</v>
      </c>
      <c r="F1168" s="1" t="s">
        <v>9620</v>
      </c>
      <c r="G1168" s="1">
        <v>4</v>
      </c>
      <c r="H1168" s="1" t="s">
        <v>231</v>
      </c>
      <c r="I1168" s="1" t="str">
        <f>("1402020059")</f>
        <v>1402020059</v>
      </c>
    </row>
    <row r="1169" spans="1:10" x14ac:dyDescent="0.45">
      <c r="A1169" s="2" t="str">
        <f t="shared" si="18"/>
        <v>ようこくバンビーレＦＣ_7</v>
      </c>
      <c r="B1169" s="1" t="s">
        <v>5011</v>
      </c>
      <c r="C1169" s="1" t="str">
        <f>("7")</f>
        <v>7</v>
      </c>
      <c r="D1169" s="1" t="s">
        <v>210</v>
      </c>
      <c r="E1169" s="1" t="s">
        <v>5651</v>
      </c>
      <c r="F1169" s="1" t="s">
        <v>5652</v>
      </c>
      <c r="G1169" s="1">
        <v>5</v>
      </c>
      <c r="H1169" s="1" t="s">
        <v>229</v>
      </c>
      <c r="I1169" s="1" t="str">
        <f>("1212020040")</f>
        <v>1212020040</v>
      </c>
    </row>
    <row r="1170" spans="1:10" x14ac:dyDescent="0.45">
      <c r="A1170" s="2" t="str">
        <f t="shared" si="18"/>
        <v>ようこくバンビーレＦＣ_8</v>
      </c>
      <c r="B1170" s="1" t="s">
        <v>5011</v>
      </c>
      <c r="C1170" s="1" t="str">
        <f>("8")</f>
        <v>8</v>
      </c>
      <c r="D1170" s="1" t="s">
        <v>209</v>
      </c>
      <c r="E1170" s="1" t="s">
        <v>6706</v>
      </c>
      <c r="F1170" s="1" t="s">
        <v>6707</v>
      </c>
      <c r="G1170" s="1">
        <v>5</v>
      </c>
      <c r="H1170" s="1" t="s">
        <v>229</v>
      </c>
      <c r="I1170" s="1" t="str">
        <f>("1212110170")</f>
        <v>1212110170</v>
      </c>
    </row>
    <row r="1171" spans="1:10" x14ac:dyDescent="0.45">
      <c r="A1171" s="2" t="str">
        <f t="shared" si="18"/>
        <v>ようこくバンビーレＦＣ_9</v>
      </c>
      <c r="B1171" s="1" t="s">
        <v>5011</v>
      </c>
      <c r="C1171" s="1" t="str">
        <f>("9")</f>
        <v>9</v>
      </c>
      <c r="D1171" s="1" t="s">
        <v>210</v>
      </c>
      <c r="E1171" s="1" t="s">
        <v>9621</v>
      </c>
      <c r="F1171" s="1" t="s">
        <v>9622</v>
      </c>
      <c r="G1171" s="1">
        <v>4</v>
      </c>
      <c r="H1171" s="1" t="s">
        <v>231</v>
      </c>
      <c r="I1171" s="1" t="str">
        <f>("1310040119")</f>
        <v>1310040119</v>
      </c>
    </row>
    <row r="1172" spans="1:10" x14ac:dyDescent="0.45">
      <c r="A1172" s="2" t="str">
        <f t="shared" si="18"/>
        <v>ようこくバンビーレＦＣ_10</v>
      </c>
      <c r="B1172" s="1" t="s">
        <v>5011</v>
      </c>
      <c r="C1172" s="1" t="str">
        <f>("10")</f>
        <v>10</v>
      </c>
      <c r="D1172" s="1" t="s">
        <v>209</v>
      </c>
      <c r="E1172" s="1" t="s">
        <v>6708</v>
      </c>
      <c r="F1172" s="1" t="s">
        <v>6709</v>
      </c>
      <c r="G1172" s="1">
        <v>5</v>
      </c>
      <c r="H1172" s="1" t="s">
        <v>229</v>
      </c>
      <c r="I1172" s="1" t="str">
        <f>("1207260052")</f>
        <v>1207260052</v>
      </c>
    </row>
    <row r="1173" spans="1:10" x14ac:dyDescent="0.45">
      <c r="A1173" s="2" t="str">
        <f t="shared" si="18"/>
        <v>ようこくバンビーレＦＣ_11</v>
      </c>
      <c r="B1173" s="1" t="s">
        <v>5011</v>
      </c>
      <c r="C1173" s="1" t="str">
        <f>("11")</f>
        <v>11</v>
      </c>
      <c r="D1173" s="1" t="s">
        <v>208</v>
      </c>
      <c r="E1173" s="1" t="s">
        <v>6710</v>
      </c>
      <c r="F1173" s="1" t="s">
        <v>6711</v>
      </c>
      <c r="G1173" s="1">
        <v>5</v>
      </c>
      <c r="H1173" s="1" t="s">
        <v>231</v>
      </c>
      <c r="I1173" s="1" t="str">
        <f>("1303140139")</f>
        <v>1303140139</v>
      </c>
    </row>
    <row r="1174" spans="1:10" x14ac:dyDescent="0.45">
      <c r="A1174" s="2" t="str">
        <f t="shared" si="18"/>
        <v>野津ＦＣ_1</v>
      </c>
      <c r="B1174" s="1" t="s">
        <v>5012</v>
      </c>
      <c r="C1174" s="1" t="str">
        <f>("1")</f>
        <v>1</v>
      </c>
      <c r="D1174" s="1" t="s">
        <v>207</v>
      </c>
      <c r="E1174" s="1" t="s">
        <v>6712</v>
      </c>
      <c r="F1174" s="1" t="s">
        <v>6713</v>
      </c>
      <c r="G1174" s="1">
        <v>5</v>
      </c>
      <c r="H1174" s="1" t="s">
        <v>229</v>
      </c>
      <c r="I1174" s="1" t="str">
        <f>("1206090102")</f>
        <v>1206090102</v>
      </c>
    </row>
    <row r="1175" spans="1:10" x14ac:dyDescent="0.45">
      <c r="A1175" s="2" t="str">
        <f t="shared" si="18"/>
        <v>野津ＦＣ_2</v>
      </c>
      <c r="B1175" s="1" t="s">
        <v>5012</v>
      </c>
      <c r="C1175" s="1" t="str">
        <f>("2")</f>
        <v>2</v>
      </c>
      <c r="D1175" s="1" t="s">
        <v>208</v>
      </c>
      <c r="E1175" s="1" t="s">
        <v>9623</v>
      </c>
      <c r="F1175" s="1" t="s">
        <v>9624</v>
      </c>
      <c r="G1175" s="1">
        <v>4</v>
      </c>
      <c r="H1175" s="1" t="s">
        <v>229</v>
      </c>
      <c r="I1175" s="1" t="str">
        <f>("1401160140")</f>
        <v>1401160140</v>
      </c>
    </row>
    <row r="1176" spans="1:10" x14ac:dyDescent="0.45">
      <c r="A1176" s="2" t="str">
        <f t="shared" si="18"/>
        <v>野津ＦＣ_3</v>
      </c>
      <c r="B1176" s="1" t="s">
        <v>5012</v>
      </c>
      <c r="C1176" s="1" t="str">
        <f>("3")</f>
        <v>3</v>
      </c>
      <c r="D1176" s="1" t="s">
        <v>208</v>
      </c>
      <c r="E1176" s="1" t="s">
        <v>6720</v>
      </c>
      <c r="F1176" s="1" t="s">
        <v>6721</v>
      </c>
      <c r="G1176" s="1">
        <v>5</v>
      </c>
      <c r="H1176" s="1" t="s">
        <v>229</v>
      </c>
      <c r="I1176" s="1" t="str">
        <f>("1212300059")</f>
        <v>1212300059</v>
      </c>
    </row>
    <row r="1177" spans="1:10" x14ac:dyDescent="0.45">
      <c r="A1177" s="2" t="str">
        <f t="shared" si="18"/>
        <v>野津ＦＣ_4</v>
      </c>
      <c r="B1177" s="1" t="s">
        <v>5012</v>
      </c>
      <c r="C1177" s="1" t="str">
        <f>("4")</f>
        <v>4</v>
      </c>
      <c r="D1177" s="1" t="s">
        <v>208</v>
      </c>
      <c r="E1177" s="1" t="s">
        <v>6718</v>
      </c>
      <c r="F1177" s="1" t="s">
        <v>6719</v>
      </c>
      <c r="G1177" s="1">
        <v>5</v>
      </c>
      <c r="H1177" s="1" t="s">
        <v>229</v>
      </c>
      <c r="I1177" s="1" t="str">
        <f>("1205240093")</f>
        <v>1205240093</v>
      </c>
    </row>
    <row r="1178" spans="1:10" x14ac:dyDescent="0.45">
      <c r="A1178" s="2" t="str">
        <f t="shared" si="18"/>
        <v>野津ＦＣ_5</v>
      </c>
      <c r="B1178" s="1" t="s">
        <v>5012</v>
      </c>
      <c r="C1178" s="1" t="str">
        <f>("5")</f>
        <v>5</v>
      </c>
      <c r="D1178" s="1" t="s">
        <v>208</v>
      </c>
      <c r="E1178" s="1" t="s">
        <v>5655</v>
      </c>
      <c r="F1178" s="1" t="s">
        <v>5656</v>
      </c>
      <c r="G1178" s="1">
        <v>5</v>
      </c>
      <c r="H1178" s="1" t="s">
        <v>229</v>
      </c>
      <c r="I1178" s="1" t="str">
        <f>("1208030097")</f>
        <v>1208030097</v>
      </c>
    </row>
    <row r="1179" spans="1:10" x14ac:dyDescent="0.45">
      <c r="A1179" s="2" t="str">
        <f t="shared" si="18"/>
        <v>野津ＦＣ_6</v>
      </c>
      <c r="B1179" s="1" t="s">
        <v>5012</v>
      </c>
      <c r="C1179" s="1" t="str">
        <f>("6")</f>
        <v>6</v>
      </c>
      <c r="D1179" s="1" t="s">
        <v>208</v>
      </c>
      <c r="E1179" s="1" t="s">
        <v>6716</v>
      </c>
      <c r="F1179" s="1" t="s">
        <v>6717</v>
      </c>
      <c r="G1179" s="1">
        <v>6</v>
      </c>
      <c r="H1179" s="1" t="s">
        <v>229</v>
      </c>
      <c r="I1179" s="1" t="str">
        <f>("1104050205")</f>
        <v>1104050205</v>
      </c>
      <c r="J1179" s="1" t="s">
        <v>1858</v>
      </c>
    </row>
    <row r="1180" spans="1:10" x14ac:dyDescent="0.45">
      <c r="A1180" s="2" t="str">
        <f t="shared" si="18"/>
        <v>野津ＦＣ_7</v>
      </c>
      <c r="B1180" s="1" t="s">
        <v>5012</v>
      </c>
      <c r="C1180" s="1" t="str">
        <f>("7")</f>
        <v>7</v>
      </c>
      <c r="D1180" s="1" t="s">
        <v>208</v>
      </c>
      <c r="E1180" s="1" t="s">
        <v>5657</v>
      </c>
      <c r="F1180" s="1" t="s">
        <v>5658</v>
      </c>
      <c r="G1180" s="1">
        <v>5</v>
      </c>
      <c r="H1180" s="1" t="s">
        <v>229</v>
      </c>
      <c r="I1180" s="1" t="str">
        <f>("1208100034")</f>
        <v>1208100034</v>
      </c>
    </row>
    <row r="1181" spans="1:10" x14ac:dyDescent="0.45">
      <c r="A1181" s="2" t="str">
        <f t="shared" si="18"/>
        <v>野津ＦＣ_8</v>
      </c>
      <c r="B1181" s="1" t="s">
        <v>5012</v>
      </c>
      <c r="C1181" s="1" t="str">
        <f>("8")</f>
        <v>8</v>
      </c>
      <c r="D1181" s="1" t="s">
        <v>210</v>
      </c>
      <c r="E1181" s="1" t="s">
        <v>9625</v>
      </c>
      <c r="F1181" s="1" t="s">
        <v>9626</v>
      </c>
      <c r="G1181" s="1">
        <v>5</v>
      </c>
      <c r="H1181" s="1" t="s">
        <v>229</v>
      </c>
      <c r="I1181" s="1" t="str">
        <f>("1302270144")</f>
        <v>1302270144</v>
      </c>
    </row>
    <row r="1182" spans="1:10" x14ac:dyDescent="0.45">
      <c r="A1182" s="2" t="str">
        <f t="shared" si="18"/>
        <v>野津ＦＣ_9</v>
      </c>
      <c r="B1182" s="1" t="s">
        <v>5012</v>
      </c>
      <c r="C1182" s="1" t="str">
        <f>("9")</f>
        <v>9</v>
      </c>
      <c r="D1182" s="1" t="s">
        <v>210</v>
      </c>
      <c r="E1182" s="1" t="s">
        <v>6714</v>
      </c>
      <c r="F1182" s="1" t="s">
        <v>6715</v>
      </c>
      <c r="G1182" s="1">
        <v>3</v>
      </c>
      <c r="H1182" s="1" t="s">
        <v>229</v>
      </c>
      <c r="I1182" s="1" t="str">
        <f>("1411260015")</f>
        <v>1411260015</v>
      </c>
    </row>
    <row r="1183" spans="1:10" x14ac:dyDescent="0.45">
      <c r="A1183" s="2" t="str">
        <f t="shared" si="18"/>
        <v>野津ＦＣ_10</v>
      </c>
      <c r="B1183" s="1" t="s">
        <v>5012</v>
      </c>
      <c r="C1183" s="1" t="str">
        <f>("10")</f>
        <v>10</v>
      </c>
      <c r="D1183" s="1" t="s">
        <v>209</v>
      </c>
      <c r="E1183" s="1" t="s">
        <v>5653</v>
      </c>
      <c r="F1183" s="1" t="s">
        <v>5654</v>
      </c>
      <c r="G1183" s="1">
        <v>5</v>
      </c>
      <c r="H1183" s="1" t="s">
        <v>229</v>
      </c>
      <c r="I1183" s="1" t="str">
        <f>("1212070070")</f>
        <v>1212070070</v>
      </c>
    </row>
    <row r="1184" spans="1:10" x14ac:dyDescent="0.45">
      <c r="A1184" s="2" t="str">
        <f t="shared" si="18"/>
        <v>野津ＦＣ_11</v>
      </c>
      <c r="B1184" s="1" t="s">
        <v>5012</v>
      </c>
      <c r="C1184" s="1" t="str">
        <f>("11")</f>
        <v>11</v>
      </c>
      <c r="D1184" s="1" t="s">
        <v>210</v>
      </c>
      <c r="E1184" s="1" t="s">
        <v>5659</v>
      </c>
      <c r="F1184" s="1" t="s">
        <v>5660</v>
      </c>
      <c r="G1184" s="1">
        <v>5</v>
      </c>
      <c r="H1184" s="1" t="s">
        <v>229</v>
      </c>
      <c r="I1184" s="1" t="str">
        <f>("1206090031")</f>
        <v>1206090031</v>
      </c>
    </row>
    <row r="1185" spans="1:10" x14ac:dyDescent="0.45">
      <c r="A1185" s="2" t="str">
        <f t="shared" si="18"/>
        <v>野津ＦＣ_12</v>
      </c>
      <c r="B1185" s="1" t="s">
        <v>5012</v>
      </c>
      <c r="C1185" s="1" t="str">
        <f>("12")</f>
        <v>12</v>
      </c>
      <c r="D1185" s="1" t="s">
        <v>208</v>
      </c>
      <c r="E1185" s="1" t="s">
        <v>9627</v>
      </c>
      <c r="F1185" s="1" t="s">
        <v>9628</v>
      </c>
      <c r="G1185" s="1">
        <v>4</v>
      </c>
      <c r="H1185" s="1" t="s">
        <v>229</v>
      </c>
      <c r="I1185" s="1" t="str">
        <f>("1305200167")</f>
        <v>1305200167</v>
      </c>
    </row>
    <row r="1186" spans="1:10" x14ac:dyDescent="0.45">
      <c r="A1186" s="2" t="str">
        <f t="shared" si="18"/>
        <v>野津ＦＣ_13</v>
      </c>
      <c r="B1186" s="1" t="s">
        <v>5012</v>
      </c>
      <c r="C1186" s="1" t="str">
        <f>("13")</f>
        <v>13</v>
      </c>
      <c r="D1186" s="1" t="s">
        <v>209</v>
      </c>
      <c r="E1186" s="1" t="s">
        <v>6694</v>
      </c>
      <c r="F1186" s="1" t="s">
        <v>9629</v>
      </c>
      <c r="G1186" s="1">
        <v>4</v>
      </c>
      <c r="H1186" s="1" t="s">
        <v>229</v>
      </c>
      <c r="I1186" s="1" t="str">
        <f>("1306190163")</f>
        <v>1306190163</v>
      </c>
    </row>
    <row r="1187" spans="1:10" x14ac:dyDescent="0.45">
      <c r="A1187" s="2" t="str">
        <f t="shared" si="18"/>
        <v>ヴェルスパ大分　Ｕ－１２_1</v>
      </c>
      <c r="B1187" s="1" t="s">
        <v>3953</v>
      </c>
      <c r="C1187" s="1" t="str">
        <f>("1")</f>
        <v>1</v>
      </c>
      <c r="D1187" s="1" t="s">
        <v>207</v>
      </c>
      <c r="E1187" s="1" t="s">
        <v>9630</v>
      </c>
      <c r="F1187" s="1" t="s">
        <v>9631</v>
      </c>
      <c r="G1187" s="1">
        <v>4</v>
      </c>
      <c r="H1187" s="1" t="s">
        <v>229</v>
      </c>
      <c r="I1187" s="1" t="str">
        <f>("1402140093")</f>
        <v>1402140093</v>
      </c>
    </row>
    <row r="1188" spans="1:10" x14ac:dyDescent="0.45">
      <c r="A1188" s="2" t="str">
        <f t="shared" si="18"/>
        <v>ヴェルスパ大分　Ｕ－１２_2</v>
      </c>
      <c r="B1188" s="1" t="s">
        <v>3953</v>
      </c>
      <c r="C1188" s="1" t="str">
        <f>("2")</f>
        <v>2</v>
      </c>
      <c r="D1188" s="1" t="s">
        <v>209</v>
      </c>
      <c r="E1188" s="1" t="s">
        <v>9632</v>
      </c>
      <c r="F1188" s="1" t="s">
        <v>9633</v>
      </c>
      <c r="G1188" s="1">
        <v>5</v>
      </c>
      <c r="H1188" s="1" t="s">
        <v>229</v>
      </c>
      <c r="I1188" s="1" t="str">
        <f>("1212100117")</f>
        <v>1212100117</v>
      </c>
    </row>
    <row r="1189" spans="1:10" x14ac:dyDescent="0.45">
      <c r="A1189" s="2" t="str">
        <f t="shared" si="18"/>
        <v>ヴェルスパ大分　Ｕ－１２_3</v>
      </c>
      <c r="B1189" s="1" t="s">
        <v>3953</v>
      </c>
      <c r="C1189" s="1" t="str">
        <f>("3")</f>
        <v>3</v>
      </c>
      <c r="D1189" s="1" t="s">
        <v>208</v>
      </c>
      <c r="E1189" s="1" t="s">
        <v>6662</v>
      </c>
      <c r="F1189" s="1" t="s">
        <v>6663</v>
      </c>
      <c r="G1189" s="1">
        <v>5</v>
      </c>
      <c r="H1189" s="1" t="s">
        <v>229</v>
      </c>
      <c r="I1189" s="1" t="str">
        <f>("1302220082")</f>
        <v>1302220082</v>
      </c>
    </row>
    <row r="1190" spans="1:10" x14ac:dyDescent="0.45">
      <c r="A1190" s="2" t="str">
        <f t="shared" si="18"/>
        <v>ヴェルスパ大分　Ｕ－１２_4</v>
      </c>
      <c r="B1190" s="1" t="s">
        <v>3953</v>
      </c>
      <c r="C1190" s="1" t="str">
        <f>("4")</f>
        <v>4</v>
      </c>
      <c r="D1190" s="1" t="s">
        <v>208</v>
      </c>
      <c r="E1190" s="1" t="s">
        <v>9634</v>
      </c>
      <c r="F1190" s="1" t="s">
        <v>9635</v>
      </c>
      <c r="G1190" s="1">
        <v>5</v>
      </c>
      <c r="H1190" s="1" t="s">
        <v>229</v>
      </c>
      <c r="I1190" s="1" t="str">
        <f>("1205070215")</f>
        <v>1205070215</v>
      </c>
    </row>
    <row r="1191" spans="1:10" x14ac:dyDescent="0.45">
      <c r="A1191" s="2" t="str">
        <f t="shared" si="18"/>
        <v>ヴェルスパ大分　Ｕ－１２_5</v>
      </c>
      <c r="B1191" s="1" t="s">
        <v>3953</v>
      </c>
      <c r="C1191" s="1" t="str">
        <f>("5")</f>
        <v>5</v>
      </c>
      <c r="D1191" s="1" t="s">
        <v>208</v>
      </c>
      <c r="E1191" s="1" t="s">
        <v>6725</v>
      </c>
      <c r="F1191" s="1" t="s">
        <v>6726</v>
      </c>
      <c r="G1191" s="1">
        <v>6</v>
      </c>
      <c r="H1191" s="1" t="s">
        <v>229</v>
      </c>
      <c r="I1191" s="1" t="str">
        <f>("1203140073")</f>
        <v>1203140073</v>
      </c>
    </row>
    <row r="1192" spans="1:10" x14ac:dyDescent="0.45">
      <c r="A1192" s="2" t="str">
        <f t="shared" si="18"/>
        <v>ヴェルスパ大分　Ｕ－１２_6</v>
      </c>
      <c r="B1192" s="1" t="s">
        <v>3953</v>
      </c>
      <c r="C1192" s="1" t="str">
        <f>("6")</f>
        <v>6</v>
      </c>
      <c r="D1192" s="1" t="s">
        <v>209</v>
      </c>
      <c r="E1192" s="1" t="s">
        <v>6737</v>
      </c>
      <c r="F1192" s="1" t="s">
        <v>6738</v>
      </c>
      <c r="G1192" s="1">
        <v>6</v>
      </c>
      <c r="H1192" s="1" t="s">
        <v>231</v>
      </c>
      <c r="I1192" s="1" t="str">
        <f>("1111140169")</f>
        <v>1111140169</v>
      </c>
    </row>
    <row r="1193" spans="1:10" x14ac:dyDescent="0.45">
      <c r="A1193" s="2" t="str">
        <f t="shared" si="18"/>
        <v>ヴェルスパ大分　Ｕ－１２_7</v>
      </c>
      <c r="B1193" s="1" t="s">
        <v>3953</v>
      </c>
      <c r="C1193" s="1" t="str">
        <f>("7")</f>
        <v>7</v>
      </c>
      <c r="D1193" s="1" t="s">
        <v>209</v>
      </c>
      <c r="E1193" s="1" t="s">
        <v>9636</v>
      </c>
      <c r="F1193" s="1" t="s">
        <v>6465</v>
      </c>
      <c r="G1193" s="1">
        <v>5</v>
      </c>
      <c r="H1193" s="1" t="s">
        <v>229</v>
      </c>
      <c r="I1193" s="1" t="str">
        <f>("1205280030")</f>
        <v>1205280030</v>
      </c>
    </row>
    <row r="1194" spans="1:10" x14ac:dyDescent="0.45">
      <c r="A1194" s="2" t="str">
        <f t="shared" si="18"/>
        <v>ヴェルスパ大分　Ｕ－１２_8</v>
      </c>
      <c r="B1194" s="1" t="s">
        <v>3953</v>
      </c>
      <c r="C1194" s="1" t="str">
        <f>("8")</f>
        <v>8</v>
      </c>
      <c r="D1194" s="1" t="s">
        <v>209</v>
      </c>
      <c r="E1194" s="1" t="s">
        <v>6722</v>
      </c>
      <c r="F1194" s="1" t="s">
        <v>6723</v>
      </c>
      <c r="G1194" s="1">
        <v>6</v>
      </c>
      <c r="H1194" s="1" t="s">
        <v>229</v>
      </c>
      <c r="I1194" s="1" t="str">
        <f>("1203130003")</f>
        <v>1203130003</v>
      </c>
    </row>
    <row r="1195" spans="1:10" x14ac:dyDescent="0.45">
      <c r="A1195" s="2" t="str">
        <f t="shared" si="18"/>
        <v>ヴェルスパ大分　Ｕ－１２_9</v>
      </c>
      <c r="B1195" s="1" t="s">
        <v>3953</v>
      </c>
      <c r="C1195" s="1" t="str">
        <f>("9")</f>
        <v>9</v>
      </c>
      <c r="D1195" s="1" t="s">
        <v>210</v>
      </c>
      <c r="E1195" s="1" t="s">
        <v>9637</v>
      </c>
      <c r="F1195" s="1" t="s">
        <v>9638</v>
      </c>
      <c r="G1195" s="1">
        <v>6</v>
      </c>
      <c r="H1195" s="1" t="s">
        <v>229</v>
      </c>
      <c r="I1195" s="1" t="str">
        <f>("1110030024")</f>
        <v>1110030024</v>
      </c>
    </row>
    <row r="1196" spans="1:10" x14ac:dyDescent="0.45">
      <c r="A1196" s="2" t="str">
        <f t="shared" si="18"/>
        <v>ヴェルスパ大分　Ｕ－１２_10</v>
      </c>
      <c r="B1196" s="1" t="s">
        <v>3953</v>
      </c>
      <c r="C1196" s="1" t="str">
        <f>("10")</f>
        <v>10</v>
      </c>
      <c r="D1196" s="1" t="s">
        <v>209</v>
      </c>
      <c r="E1196" s="1" t="s">
        <v>6727</v>
      </c>
      <c r="F1196" s="1" t="s">
        <v>6728</v>
      </c>
      <c r="G1196" s="1">
        <v>6</v>
      </c>
      <c r="H1196" s="1" t="s">
        <v>229</v>
      </c>
      <c r="I1196" s="1" t="str">
        <f>("1105090124")</f>
        <v>1105090124</v>
      </c>
      <c r="J1196" s="1" t="s">
        <v>1858</v>
      </c>
    </row>
    <row r="1197" spans="1:10" x14ac:dyDescent="0.45">
      <c r="A1197" s="2" t="str">
        <f t="shared" si="18"/>
        <v>ヴェルスパ大分　Ｕ－１２_11</v>
      </c>
      <c r="B1197" s="1" t="s">
        <v>3953</v>
      </c>
      <c r="C1197" s="1" t="str">
        <f>("11")</f>
        <v>11</v>
      </c>
      <c r="D1197" s="1" t="s">
        <v>210</v>
      </c>
      <c r="E1197" s="1" t="s">
        <v>9639</v>
      </c>
      <c r="F1197" s="1" t="s">
        <v>9640</v>
      </c>
      <c r="G1197" s="1">
        <v>5</v>
      </c>
      <c r="H1197" s="1" t="s">
        <v>229</v>
      </c>
      <c r="I1197" s="1" t="str">
        <f>("1206020152")</f>
        <v>1206020152</v>
      </c>
    </row>
    <row r="1198" spans="1:10" x14ac:dyDescent="0.45">
      <c r="A1198" s="2" t="str">
        <f t="shared" si="18"/>
        <v>ヴェルスパ大分　Ｕ－１２_12</v>
      </c>
      <c r="B1198" s="1" t="s">
        <v>3953</v>
      </c>
      <c r="C1198" s="1" t="str">
        <f>("12")</f>
        <v>12</v>
      </c>
      <c r="D1198" s="1" t="s">
        <v>209</v>
      </c>
      <c r="E1198" s="1" t="s">
        <v>9641</v>
      </c>
      <c r="F1198" s="1" t="s">
        <v>9642</v>
      </c>
      <c r="G1198" s="1">
        <v>5</v>
      </c>
      <c r="H1198" s="1" t="s">
        <v>229</v>
      </c>
      <c r="I1198" s="1" t="str">
        <f>("1206270219")</f>
        <v>1206270219</v>
      </c>
    </row>
    <row r="1199" spans="1:10" x14ac:dyDescent="0.45">
      <c r="A1199" s="2" t="str">
        <f t="shared" si="18"/>
        <v>ヴェルスパ大分　Ｕ－１２_13</v>
      </c>
      <c r="B1199" s="1" t="s">
        <v>3953</v>
      </c>
      <c r="C1199" s="1" t="str">
        <f>("13")</f>
        <v>13</v>
      </c>
      <c r="D1199" s="1" t="s">
        <v>209</v>
      </c>
      <c r="E1199" s="1" t="s">
        <v>9643</v>
      </c>
      <c r="F1199" s="1" t="s">
        <v>9644</v>
      </c>
      <c r="G1199" s="1">
        <v>5</v>
      </c>
      <c r="H1199" s="1" t="s">
        <v>231</v>
      </c>
      <c r="I1199" s="1" t="str">
        <f>("1302110070")</f>
        <v>1302110070</v>
      </c>
    </row>
    <row r="1200" spans="1:10" x14ac:dyDescent="0.45">
      <c r="A1200" s="2" t="str">
        <f t="shared" si="18"/>
        <v>ヴェルスパ大分　Ｕ－１２_14</v>
      </c>
      <c r="B1200" s="1" t="s">
        <v>3953</v>
      </c>
      <c r="C1200" s="1" t="str">
        <f>("14")</f>
        <v>14</v>
      </c>
      <c r="D1200" s="1" t="s">
        <v>208</v>
      </c>
      <c r="E1200" s="1" t="s">
        <v>9645</v>
      </c>
      <c r="F1200" s="1" t="s">
        <v>9646</v>
      </c>
      <c r="G1200" s="1">
        <v>5</v>
      </c>
      <c r="H1200" s="1" t="s">
        <v>229</v>
      </c>
      <c r="I1200" s="1" t="str">
        <f>("1211270187")</f>
        <v>1211270187</v>
      </c>
    </row>
    <row r="1201" spans="1:10" x14ac:dyDescent="0.45">
      <c r="A1201" s="2" t="str">
        <f t="shared" si="18"/>
        <v>ヴェルスパ大分　Ｕ－１２_15</v>
      </c>
      <c r="B1201" s="1" t="s">
        <v>3953</v>
      </c>
      <c r="C1201" s="1" t="str">
        <f>("15")</f>
        <v>15</v>
      </c>
      <c r="D1201" s="1" t="s">
        <v>209</v>
      </c>
      <c r="E1201" s="1" t="s">
        <v>9647</v>
      </c>
      <c r="F1201" s="1" t="s">
        <v>9648</v>
      </c>
      <c r="G1201" s="1">
        <v>4</v>
      </c>
      <c r="H1201" s="1" t="s">
        <v>229</v>
      </c>
      <c r="I1201" s="1" t="str">
        <f>("1309280113")</f>
        <v>1309280113</v>
      </c>
    </row>
    <row r="1202" spans="1:10" x14ac:dyDescent="0.45">
      <c r="A1202" s="2" t="str">
        <f t="shared" si="18"/>
        <v>ヴェルスパ大分　Ｕ－１２_16</v>
      </c>
      <c r="B1202" s="1" t="s">
        <v>3953</v>
      </c>
      <c r="C1202" s="1" t="str">
        <f>("16")</f>
        <v>16</v>
      </c>
      <c r="D1202" s="1" t="s">
        <v>208</v>
      </c>
      <c r="E1202" s="1" t="s">
        <v>9649</v>
      </c>
      <c r="F1202" s="1" t="s">
        <v>9650</v>
      </c>
      <c r="G1202" s="1">
        <v>4</v>
      </c>
      <c r="H1202" s="1" t="s">
        <v>229</v>
      </c>
      <c r="I1202" s="1" t="str">
        <f>("1304200100")</f>
        <v>1304200100</v>
      </c>
    </row>
    <row r="1203" spans="1:10" x14ac:dyDescent="0.45">
      <c r="A1203" s="2" t="str">
        <f t="shared" si="18"/>
        <v>ＦＣ　ＲＥＧＡＴＥ_1</v>
      </c>
      <c r="B1203" s="1" t="s">
        <v>3954</v>
      </c>
      <c r="C1203" s="1" t="str">
        <f>("1")</f>
        <v>1</v>
      </c>
      <c r="D1203" s="1" t="s">
        <v>207</v>
      </c>
      <c r="E1203" s="1" t="s">
        <v>9651</v>
      </c>
      <c r="F1203" s="1" t="s">
        <v>9652</v>
      </c>
      <c r="G1203" s="1">
        <v>6</v>
      </c>
      <c r="H1203" s="1" t="s">
        <v>229</v>
      </c>
      <c r="I1203" s="1" t="str">
        <f>("1106100254")</f>
        <v>1106100254</v>
      </c>
    </row>
    <row r="1204" spans="1:10" x14ac:dyDescent="0.45">
      <c r="A1204" s="2" t="str">
        <f t="shared" si="18"/>
        <v>ＦＣ　ＲＥＧＡＴＥ_2</v>
      </c>
      <c r="B1204" s="1" t="s">
        <v>3954</v>
      </c>
      <c r="C1204" s="1" t="str">
        <f>("2")</f>
        <v>2</v>
      </c>
      <c r="D1204" s="1" t="s">
        <v>209</v>
      </c>
      <c r="E1204" s="1" t="s">
        <v>9653</v>
      </c>
      <c r="F1204" s="1" t="s">
        <v>9654</v>
      </c>
      <c r="G1204" s="1">
        <v>5</v>
      </c>
      <c r="H1204" s="1" t="s">
        <v>229</v>
      </c>
      <c r="I1204" s="1" t="str">
        <f>("1205220158")</f>
        <v>1205220158</v>
      </c>
    </row>
    <row r="1205" spans="1:10" x14ac:dyDescent="0.45">
      <c r="A1205" s="2" t="str">
        <f t="shared" si="18"/>
        <v>ＦＣ　ＲＥＧＡＴＥ_3</v>
      </c>
      <c r="B1205" s="1" t="s">
        <v>3954</v>
      </c>
      <c r="C1205" s="1" t="str">
        <f>("3")</f>
        <v>3</v>
      </c>
      <c r="D1205" s="1" t="s">
        <v>209</v>
      </c>
      <c r="E1205" s="1" t="s">
        <v>9655</v>
      </c>
      <c r="F1205" s="1" t="s">
        <v>9656</v>
      </c>
      <c r="G1205" s="1">
        <v>5</v>
      </c>
      <c r="H1205" s="1" t="s">
        <v>229</v>
      </c>
      <c r="I1205" s="1" t="str">
        <f>("1208080234")</f>
        <v>1208080234</v>
      </c>
    </row>
    <row r="1206" spans="1:10" x14ac:dyDescent="0.45">
      <c r="A1206" s="2" t="str">
        <f t="shared" si="18"/>
        <v>ＦＣ　ＲＥＧＡＴＥ_4</v>
      </c>
      <c r="B1206" s="1" t="s">
        <v>3954</v>
      </c>
      <c r="C1206" s="1" t="str">
        <f>("4")</f>
        <v>4</v>
      </c>
      <c r="D1206" s="1" t="s">
        <v>208</v>
      </c>
      <c r="E1206" s="1" t="s">
        <v>6731</v>
      </c>
      <c r="F1206" s="1" t="s">
        <v>6732</v>
      </c>
      <c r="G1206" s="1">
        <v>6</v>
      </c>
      <c r="H1206" s="1" t="s">
        <v>229</v>
      </c>
      <c r="I1206" s="1" t="str">
        <f>("1109220198")</f>
        <v>1109220198</v>
      </c>
    </row>
    <row r="1207" spans="1:10" x14ac:dyDescent="0.45">
      <c r="A1207" s="2" t="str">
        <f t="shared" si="18"/>
        <v>ＦＣ　ＲＥＧＡＴＥ_5</v>
      </c>
      <c r="B1207" s="1" t="s">
        <v>3954</v>
      </c>
      <c r="C1207" s="1" t="str">
        <f>("5")</f>
        <v>5</v>
      </c>
      <c r="D1207" s="1" t="s">
        <v>208</v>
      </c>
      <c r="E1207" s="1" t="s">
        <v>6733</v>
      </c>
      <c r="F1207" s="1" t="s">
        <v>6734</v>
      </c>
      <c r="G1207" s="1">
        <v>6</v>
      </c>
      <c r="H1207" s="1" t="s">
        <v>229</v>
      </c>
      <c r="I1207" s="1" t="str">
        <f>("1104250188")</f>
        <v>1104250188</v>
      </c>
    </row>
    <row r="1208" spans="1:10" x14ac:dyDescent="0.45">
      <c r="A1208" s="2" t="str">
        <f t="shared" si="18"/>
        <v>ＦＣ　ＲＥＧＡＴＥ_6</v>
      </c>
      <c r="B1208" s="1" t="s">
        <v>3954</v>
      </c>
      <c r="C1208" s="1" t="str">
        <f>("6")</f>
        <v>6</v>
      </c>
      <c r="D1208" s="1" t="s">
        <v>208</v>
      </c>
      <c r="E1208" s="1" t="s">
        <v>9657</v>
      </c>
      <c r="F1208" s="1" t="s">
        <v>9658</v>
      </c>
      <c r="G1208" s="1">
        <v>6</v>
      </c>
      <c r="H1208" s="1" t="s">
        <v>229</v>
      </c>
      <c r="I1208" s="1" t="str">
        <f>("1106260166")</f>
        <v>1106260166</v>
      </c>
    </row>
    <row r="1209" spans="1:10" x14ac:dyDescent="0.45">
      <c r="A1209" s="2" t="str">
        <f t="shared" si="18"/>
        <v>ＦＣ　ＲＥＧＡＴＥ_7</v>
      </c>
      <c r="B1209" s="1" t="s">
        <v>3954</v>
      </c>
      <c r="C1209" s="1" t="str">
        <f>("7")</f>
        <v>7</v>
      </c>
      <c r="D1209" s="1" t="s">
        <v>209</v>
      </c>
      <c r="E1209" s="1" t="s">
        <v>6458</v>
      </c>
      <c r="F1209" s="1" t="s">
        <v>6459</v>
      </c>
      <c r="G1209" s="1">
        <v>6</v>
      </c>
      <c r="H1209" s="1" t="s">
        <v>229</v>
      </c>
      <c r="I1209" s="1" t="str">
        <f>("1203290036")</f>
        <v>1203290036</v>
      </c>
      <c r="J1209" s="1" t="s">
        <v>1858</v>
      </c>
    </row>
    <row r="1210" spans="1:10" x14ac:dyDescent="0.45">
      <c r="A1210" s="2" t="str">
        <f t="shared" si="18"/>
        <v>ＦＣ　ＲＥＧＡＴＥ_8</v>
      </c>
      <c r="B1210" s="1" t="s">
        <v>3954</v>
      </c>
      <c r="C1210" s="1" t="str">
        <f>("8")</f>
        <v>8</v>
      </c>
      <c r="D1210" s="1" t="s">
        <v>209</v>
      </c>
      <c r="E1210" s="1" t="s">
        <v>9659</v>
      </c>
      <c r="F1210" s="1" t="s">
        <v>9660</v>
      </c>
      <c r="G1210" s="1">
        <v>5</v>
      </c>
      <c r="H1210" s="1" t="s">
        <v>229</v>
      </c>
      <c r="I1210" s="1" t="str">
        <f>("1210230230")</f>
        <v>1210230230</v>
      </c>
    </row>
    <row r="1211" spans="1:10" x14ac:dyDescent="0.45">
      <c r="A1211" s="2" t="str">
        <f t="shared" si="18"/>
        <v>ＦＣ　ＲＥＧＡＴＥ_9</v>
      </c>
      <c r="B1211" s="1" t="s">
        <v>3954</v>
      </c>
      <c r="C1211" s="1" t="str">
        <f>("9")</f>
        <v>9</v>
      </c>
      <c r="D1211" s="1" t="s">
        <v>210</v>
      </c>
      <c r="E1211" s="1" t="s">
        <v>5665</v>
      </c>
      <c r="F1211" s="1" t="s">
        <v>5666</v>
      </c>
      <c r="G1211" s="1">
        <v>6</v>
      </c>
      <c r="H1211" s="1" t="s">
        <v>229</v>
      </c>
      <c r="I1211" s="1" t="str">
        <f>("1201130066")</f>
        <v>1201130066</v>
      </c>
    </row>
    <row r="1212" spans="1:10" x14ac:dyDescent="0.45">
      <c r="A1212" s="2" t="str">
        <f t="shared" si="18"/>
        <v>ＦＣ　ＲＥＧＡＴＥ_10</v>
      </c>
      <c r="B1212" s="1" t="s">
        <v>3954</v>
      </c>
      <c r="C1212" s="1" t="str">
        <f>("10")</f>
        <v>10</v>
      </c>
      <c r="D1212" s="1" t="s">
        <v>210</v>
      </c>
      <c r="E1212" s="1" t="s">
        <v>5670</v>
      </c>
      <c r="F1212" s="1" t="s">
        <v>5671</v>
      </c>
      <c r="G1212" s="1">
        <v>5</v>
      </c>
      <c r="H1212" s="1" t="s">
        <v>229</v>
      </c>
      <c r="I1212" s="1" t="str">
        <f>("1301010014")</f>
        <v>1301010014</v>
      </c>
    </row>
    <row r="1213" spans="1:10" x14ac:dyDescent="0.45">
      <c r="A1213" s="2" t="str">
        <f t="shared" si="18"/>
        <v>ＦＣ　ＲＥＧＡＴＥ_11</v>
      </c>
      <c r="B1213" s="1" t="s">
        <v>3954</v>
      </c>
      <c r="C1213" s="1" t="str">
        <f>("11")</f>
        <v>11</v>
      </c>
      <c r="D1213" s="1" t="s">
        <v>210</v>
      </c>
      <c r="E1213" s="1" t="s">
        <v>6729</v>
      </c>
      <c r="F1213" s="1" t="s">
        <v>6730</v>
      </c>
      <c r="G1213" s="1">
        <v>6</v>
      </c>
      <c r="H1213" s="1" t="s">
        <v>229</v>
      </c>
      <c r="I1213" s="1" t="str">
        <f>("1108130193")</f>
        <v>1108130193</v>
      </c>
    </row>
    <row r="1214" spans="1:10" x14ac:dyDescent="0.45">
      <c r="A1214" s="2" t="str">
        <f t="shared" si="18"/>
        <v>ＦＣ　ＲＥＧＡＴＥ_20</v>
      </c>
      <c r="B1214" s="1" t="s">
        <v>3954</v>
      </c>
      <c r="C1214" s="1" t="str">
        <f>("20")</f>
        <v>20</v>
      </c>
      <c r="D1214" s="1" t="s">
        <v>207</v>
      </c>
      <c r="E1214" s="1" t="s">
        <v>1182</v>
      </c>
      <c r="F1214" s="1" t="s">
        <v>2365</v>
      </c>
      <c r="G1214" s="1">
        <v>5</v>
      </c>
      <c r="H1214" s="1" t="s">
        <v>229</v>
      </c>
      <c r="I1214" s="1" t="str">
        <f>("1303260028")</f>
        <v>1303260028</v>
      </c>
    </row>
    <row r="1215" spans="1:10" x14ac:dyDescent="0.45">
      <c r="A1215" s="2" t="str">
        <f t="shared" si="18"/>
        <v>大分トリニータタートルズ_1</v>
      </c>
      <c r="B1215" s="1" t="s">
        <v>9661</v>
      </c>
      <c r="C1215" s="1" t="str">
        <f>("1")</f>
        <v>1</v>
      </c>
      <c r="D1215" s="1" t="s">
        <v>207</v>
      </c>
      <c r="E1215" s="1" t="s">
        <v>6741</v>
      </c>
      <c r="F1215" s="1" t="s">
        <v>6742</v>
      </c>
      <c r="G1215" s="1">
        <v>6</v>
      </c>
      <c r="H1215" s="1" t="s">
        <v>229</v>
      </c>
      <c r="I1215" s="1" t="str">
        <f>("1110060102")</f>
        <v>1110060102</v>
      </c>
      <c r="J1215" s="1" t="s">
        <v>1858</v>
      </c>
    </row>
    <row r="1216" spans="1:10" x14ac:dyDescent="0.45">
      <c r="A1216" s="2" t="str">
        <f t="shared" si="18"/>
        <v>大分トリニータタートルズ_2</v>
      </c>
      <c r="B1216" s="1" t="s">
        <v>9661</v>
      </c>
      <c r="C1216" s="1" t="str">
        <f>("2")</f>
        <v>2</v>
      </c>
      <c r="D1216" s="1" t="s">
        <v>208</v>
      </c>
      <c r="E1216" s="1" t="s">
        <v>6743</v>
      </c>
      <c r="F1216" s="1" t="s">
        <v>6744</v>
      </c>
      <c r="G1216" s="1">
        <v>6</v>
      </c>
      <c r="H1216" s="1" t="s">
        <v>229</v>
      </c>
      <c r="I1216" s="1" t="str">
        <f>("1203020138")</f>
        <v>1203020138</v>
      </c>
    </row>
    <row r="1217" spans="1:9" x14ac:dyDescent="0.45">
      <c r="A1217" s="2" t="str">
        <f t="shared" ref="A1217:A1280" si="19">CONCATENATE(B1217,"_",C1217)</f>
        <v>大分トリニータタートルズ_3</v>
      </c>
      <c r="B1217" s="1" t="s">
        <v>9661</v>
      </c>
      <c r="C1217" s="1" t="str">
        <f>("3")</f>
        <v>3</v>
      </c>
      <c r="D1217" s="1" t="s">
        <v>209</v>
      </c>
      <c r="E1217" s="1" t="s">
        <v>6749</v>
      </c>
      <c r="F1217" s="1" t="s">
        <v>6750</v>
      </c>
      <c r="G1217" s="1">
        <v>6</v>
      </c>
      <c r="H1217" s="1" t="s">
        <v>229</v>
      </c>
      <c r="I1217" s="1" t="str">
        <f>("1110200073")</f>
        <v>1110200073</v>
      </c>
    </row>
    <row r="1218" spans="1:9" x14ac:dyDescent="0.45">
      <c r="A1218" s="2" t="str">
        <f t="shared" si="19"/>
        <v>大分トリニータタートルズ_4</v>
      </c>
      <c r="B1218" s="1" t="s">
        <v>9661</v>
      </c>
      <c r="C1218" s="1" t="str">
        <f>("4")</f>
        <v>4</v>
      </c>
      <c r="D1218" s="1" t="s">
        <v>209</v>
      </c>
      <c r="E1218" s="1" t="s">
        <v>6747</v>
      </c>
      <c r="F1218" s="1" t="s">
        <v>6748</v>
      </c>
      <c r="G1218" s="1">
        <v>6</v>
      </c>
      <c r="H1218" s="1" t="s">
        <v>229</v>
      </c>
      <c r="I1218" s="1" t="str">
        <f>("1112210187")</f>
        <v>1112210187</v>
      </c>
    </row>
    <row r="1219" spans="1:9" x14ac:dyDescent="0.45">
      <c r="A1219" s="2" t="str">
        <f t="shared" si="19"/>
        <v>大分トリニータタートルズ_5</v>
      </c>
      <c r="B1219" s="1" t="s">
        <v>9661</v>
      </c>
      <c r="C1219" s="1" t="str">
        <f>("5")</f>
        <v>5</v>
      </c>
      <c r="D1219" s="1" t="s">
        <v>209</v>
      </c>
      <c r="E1219" s="1" t="s">
        <v>9662</v>
      </c>
      <c r="F1219" s="1" t="s">
        <v>9663</v>
      </c>
      <c r="G1219" s="1">
        <v>6</v>
      </c>
      <c r="H1219" s="1" t="s">
        <v>229</v>
      </c>
      <c r="I1219" s="1" t="str">
        <f>("1201140148")</f>
        <v>1201140148</v>
      </c>
    </row>
    <row r="1220" spans="1:9" x14ac:dyDescent="0.45">
      <c r="A1220" s="2" t="str">
        <f t="shared" si="19"/>
        <v>大分トリニータタートルズ_6</v>
      </c>
      <c r="B1220" s="1" t="s">
        <v>9661</v>
      </c>
      <c r="C1220" s="1" t="str">
        <f>("6")</f>
        <v>6</v>
      </c>
      <c r="D1220" s="1" t="s">
        <v>208</v>
      </c>
      <c r="E1220" s="1" t="s">
        <v>6210</v>
      </c>
      <c r="F1220" s="1" t="s">
        <v>6211</v>
      </c>
      <c r="G1220" s="1">
        <v>6</v>
      </c>
      <c r="H1220" s="1" t="s">
        <v>229</v>
      </c>
      <c r="I1220" s="1" t="str">
        <f>("1201110209")</f>
        <v>1201110209</v>
      </c>
    </row>
    <row r="1221" spans="1:9" x14ac:dyDescent="0.45">
      <c r="A1221" s="2" t="str">
        <f t="shared" si="19"/>
        <v>大分トリニータタートルズ_7</v>
      </c>
      <c r="B1221" s="1" t="s">
        <v>9661</v>
      </c>
      <c r="C1221" s="1" t="str">
        <f>("7")</f>
        <v>7</v>
      </c>
      <c r="D1221" s="1" t="s">
        <v>210</v>
      </c>
      <c r="E1221" s="1" t="s">
        <v>6751</v>
      </c>
      <c r="F1221" s="1" t="s">
        <v>6752</v>
      </c>
      <c r="G1221" s="1">
        <v>6</v>
      </c>
      <c r="H1221" s="1" t="s">
        <v>229</v>
      </c>
      <c r="I1221" s="1" t="str">
        <f>("1109210005")</f>
        <v>1109210005</v>
      </c>
    </row>
    <row r="1222" spans="1:9" x14ac:dyDescent="0.45">
      <c r="A1222" s="2" t="str">
        <f t="shared" si="19"/>
        <v>大分トリニータタートルズ_8</v>
      </c>
      <c r="B1222" s="1" t="s">
        <v>9661</v>
      </c>
      <c r="C1222" s="1" t="str">
        <f>("8")</f>
        <v>8</v>
      </c>
      <c r="D1222" s="1" t="s">
        <v>210</v>
      </c>
      <c r="E1222" s="1" t="s">
        <v>6756</v>
      </c>
      <c r="F1222" s="1" t="s">
        <v>6757</v>
      </c>
      <c r="G1222" s="1">
        <v>6</v>
      </c>
      <c r="H1222" s="1" t="s">
        <v>229</v>
      </c>
      <c r="I1222" s="1" t="str">
        <f>("1107140238")</f>
        <v>1107140238</v>
      </c>
    </row>
    <row r="1223" spans="1:9" x14ac:dyDescent="0.45">
      <c r="A1223" s="2" t="str">
        <f t="shared" si="19"/>
        <v>大分トリニータタートルズ_9</v>
      </c>
      <c r="B1223" s="1" t="s">
        <v>9661</v>
      </c>
      <c r="C1223" s="1" t="str">
        <f>("9")</f>
        <v>9</v>
      </c>
      <c r="D1223" s="1" t="s">
        <v>210</v>
      </c>
      <c r="E1223" s="1" t="s">
        <v>6745</v>
      </c>
      <c r="F1223" s="1" t="s">
        <v>6746</v>
      </c>
      <c r="G1223" s="1">
        <v>6</v>
      </c>
      <c r="H1223" s="1" t="s">
        <v>229</v>
      </c>
      <c r="I1223" s="1" t="str">
        <f>("1107130199")</f>
        <v>1107130199</v>
      </c>
    </row>
    <row r="1224" spans="1:9" x14ac:dyDescent="0.45">
      <c r="A1224" s="2" t="str">
        <f t="shared" si="19"/>
        <v>大分トリニータタートルズ_10</v>
      </c>
      <c r="B1224" s="1" t="s">
        <v>9661</v>
      </c>
      <c r="C1224" s="1" t="str">
        <f>("10")</f>
        <v>10</v>
      </c>
      <c r="D1224" s="1" t="s">
        <v>210</v>
      </c>
      <c r="E1224" s="1" t="s">
        <v>6753</v>
      </c>
      <c r="F1224" s="1" t="s">
        <v>6754</v>
      </c>
      <c r="G1224" s="1">
        <v>6</v>
      </c>
      <c r="H1224" s="1" t="s">
        <v>229</v>
      </c>
      <c r="I1224" s="1" t="str">
        <f>("1202230071")</f>
        <v>1202230071</v>
      </c>
    </row>
    <row r="1225" spans="1:9" x14ac:dyDescent="0.45">
      <c r="A1225" s="2" t="str">
        <f t="shared" si="19"/>
        <v>大分トリニータタートルズ_11</v>
      </c>
      <c r="B1225" s="1" t="s">
        <v>9661</v>
      </c>
      <c r="C1225" s="1" t="str">
        <f>("11")</f>
        <v>11</v>
      </c>
      <c r="D1225" s="1" t="s">
        <v>209</v>
      </c>
      <c r="E1225" s="1" t="s">
        <v>9664</v>
      </c>
      <c r="F1225" s="1" t="s">
        <v>9665</v>
      </c>
      <c r="G1225" s="1">
        <v>6</v>
      </c>
      <c r="H1225" s="1" t="s">
        <v>229</v>
      </c>
      <c r="I1225" s="1" t="str">
        <f>("1202210222")</f>
        <v>1202210222</v>
      </c>
    </row>
    <row r="1226" spans="1:9" x14ac:dyDescent="0.45">
      <c r="A1226" s="2" t="str">
        <f t="shared" si="19"/>
        <v>大分トリニータタートルズ_12</v>
      </c>
      <c r="B1226" s="1" t="s">
        <v>9661</v>
      </c>
      <c r="C1226" s="1" t="str">
        <f>("12")</f>
        <v>12</v>
      </c>
      <c r="D1226" s="1" t="s">
        <v>207</v>
      </c>
      <c r="E1226" s="1" t="s">
        <v>6758</v>
      </c>
      <c r="F1226" s="1" t="s">
        <v>6759</v>
      </c>
      <c r="G1226" s="1">
        <v>6</v>
      </c>
      <c r="H1226" s="1" t="s">
        <v>229</v>
      </c>
      <c r="I1226" s="1" t="str">
        <f>("1108240177")</f>
        <v>1108240177</v>
      </c>
    </row>
    <row r="1227" spans="1:9" x14ac:dyDescent="0.45">
      <c r="A1227" s="2" t="str">
        <f t="shared" si="19"/>
        <v>大分トリニータタートルズ_13</v>
      </c>
      <c r="B1227" s="1" t="s">
        <v>9661</v>
      </c>
      <c r="C1227" s="1" t="str">
        <f>("13")</f>
        <v>13</v>
      </c>
      <c r="D1227" s="1" t="s">
        <v>209</v>
      </c>
      <c r="E1227" s="1" t="s">
        <v>6283</v>
      </c>
      <c r="F1227" s="1" t="s">
        <v>6284</v>
      </c>
      <c r="G1227" s="1">
        <v>6</v>
      </c>
      <c r="H1227" s="1" t="s">
        <v>229</v>
      </c>
      <c r="I1227" s="1" t="str">
        <f>("1106260098")</f>
        <v>1106260098</v>
      </c>
    </row>
    <row r="1228" spans="1:9" x14ac:dyDescent="0.45">
      <c r="A1228" s="2" t="str">
        <f t="shared" si="19"/>
        <v>大分トリニータタートルズ_14</v>
      </c>
      <c r="B1228" s="1" t="s">
        <v>9661</v>
      </c>
      <c r="C1228" s="1" t="str">
        <f>("14")</f>
        <v>14</v>
      </c>
      <c r="D1228" s="1" t="s">
        <v>209</v>
      </c>
      <c r="E1228" s="1" t="s">
        <v>9666</v>
      </c>
      <c r="F1228" s="1" t="s">
        <v>9667</v>
      </c>
      <c r="G1228" s="1">
        <v>6</v>
      </c>
      <c r="H1228" s="1" t="s">
        <v>229</v>
      </c>
      <c r="I1228" s="1" t="str">
        <f>("1108290138")</f>
        <v>1108290138</v>
      </c>
    </row>
    <row r="1229" spans="1:9" x14ac:dyDescent="0.45">
      <c r="A1229" s="2" t="str">
        <f t="shared" si="19"/>
        <v>大分トリニータタートルズ_15</v>
      </c>
      <c r="B1229" s="1" t="s">
        <v>9661</v>
      </c>
      <c r="C1229" s="1" t="str">
        <f>("15")</f>
        <v>15</v>
      </c>
      <c r="D1229" s="1" t="s">
        <v>209</v>
      </c>
      <c r="E1229" s="1" t="s">
        <v>9668</v>
      </c>
      <c r="F1229" s="1" t="s">
        <v>9669</v>
      </c>
      <c r="G1229" s="1">
        <v>6</v>
      </c>
      <c r="H1229" s="1" t="s">
        <v>229</v>
      </c>
      <c r="I1229" s="1" t="str">
        <f>("1105100169")</f>
        <v>1105100169</v>
      </c>
    </row>
    <row r="1230" spans="1:9" x14ac:dyDescent="0.45">
      <c r="A1230" s="2" t="str">
        <f t="shared" si="19"/>
        <v>大分トリニータタートルズ_16</v>
      </c>
      <c r="B1230" s="1" t="s">
        <v>9661</v>
      </c>
      <c r="C1230" s="1" t="str">
        <f>("16")</f>
        <v>16</v>
      </c>
      <c r="D1230" s="1" t="s">
        <v>209</v>
      </c>
      <c r="E1230" s="1" t="s">
        <v>9670</v>
      </c>
      <c r="F1230" s="1" t="s">
        <v>9671</v>
      </c>
      <c r="G1230" s="1">
        <v>6</v>
      </c>
      <c r="H1230" s="1" t="s">
        <v>229</v>
      </c>
      <c r="I1230" s="1" t="str">
        <f>("1201250122")</f>
        <v>1201250122</v>
      </c>
    </row>
    <row r="1231" spans="1:9" x14ac:dyDescent="0.45">
      <c r="A1231" s="2" t="str">
        <f t="shared" si="19"/>
        <v>ティエラフットボールクラブＵ－１２_1</v>
      </c>
      <c r="B1231" s="1" t="s">
        <v>8459</v>
      </c>
      <c r="C1231" s="1" t="str">
        <f>("1")</f>
        <v>1</v>
      </c>
      <c r="D1231" s="1" t="s">
        <v>207</v>
      </c>
      <c r="E1231" s="1" t="s">
        <v>9672</v>
      </c>
      <c r="F1231" s="1" t="s">
        <v>9673</v>
      </c>
      <c r="G1231" s="1">
        <v>6</v>
      </c>
      <c r="H1231" s="1" t="s">
        <v>229</v>
      </c>
      <c r="I1231" s="1" t="str">
        <f>("1202070153")</f>
        <v>1202070153</v>
      </c>
    </row>
    <row r="1232" spans="1:9" x14ac:dyDescent="0.45">
      <c r="A1232" s="2" t="str">
        <f t="shared" si="19"/>
        <v>ティエラフットボールクラブＵ－１２_2</v>
      </c>
      <c r="B1232" s="1" t="s">
        <v>8459</v>
      </c>
      <c r="C1232" s="1" t="str">
        <f>("2")</f>
        <v>2</v>
      </c>
      <c r="D1232" s="1" t="s">
        <v>210</v>
      </c>
      <c r="E1232" s="1" t="s">
        <v>9674</v>
      </c>
      <c r="F1232" s="1" t="s">
        <v>9675</v>
      </c>
      <c r="G1232" s="1">
        <v>4</v>
      </c>
      <c r="H1232" s="1" t="s">
        <v>229</v>
      </c>
      <c r="I1232" s="1" t="str">
        <f>("1402190071")</f>
        <v>1402190071</v>
      </c>
    </row>
    <row r="1233" spans="1:10" x14ac:dyDescent="0.45">
      <c r="A1233" s="2" t="str">
        <f t="shared" si="19"/>
        <v>ティエラフットボールクラブＵ－１２_3</v>
      </c>
      <c r="B1233" s="1" t="s">
        <v>8459</v>
      </c>
      <c r="C1233" s="1" t="str">
        <f>("3")</f>
        <v>3</v>
      </c>
      <c r="D1233" s="1" t="s">
        <v>209</v>
      </c>
      <c r="E1233" s="1" t="s">
        <v>9676</v>
      </c>
      <c r="F1233" s="1" t="s">
        <v>9677</v>
      </c>
      <c r="G1233" s="1">
        <v>5</v>
      </c>
      <c r="H1233" s="1" t="s">
        <v>229</v>
      </c>
      <c r="I1233" s="1" t="str">
        <f>("1210180168")</f>
        <v>1210180168</v>
      </c>
    </row>
    <row r="1234" spans="1:10" x14ac:dyDescent="0.45">
      <c r="A1234" s="2" t="str">
        <f t="shared" si="19"/>
        <v>ティエラフットボールクラブＵ－１２_4</v>
      </c>
      <c r="B1234" s="1" t="s">
        <v>8459</v>
      </c>
      <c r="C1234" s="1" t="str">
        <f>("4")</f>
        <v>4</v>
      </c>
      <c r="D1234" s="1" t="s">
        <v>208</v>
      </c>
      <c r="E1234" s="1" t="s">
        <v>9678</v>
      </c>
      <c r="F1234" s="1" t="s">
        <v>9679</v>
      </c>
      <c r="G1234" s="1">
        <v>6</v>
      </c>
      <c r="H1234" s="1" t="s">
        <v>229</v>
      </c>
      <c r="I1234" s="1" t="str">
        <f>("1107030145")</f>
        <v>1107030145</v>
      </c>
      <c r="J1234" s="1" t="s">
        <v>1858</v>
      </c>
    </row>
    <row r="1235" spans="1:10" x14ac:dyDescent="0.45">
      <c r="A1235" s="2" t="str">
        <f t="shared" si="19"/>
        <v>ティエラフットボールクラブＵ－１２_5</v>
      </c>
      <c r="B1235" s="1" t="s">
        <v>8459</v>
      </c>
      <c r="C1235" s="1" t="str">
        <f>("5")</f>
        <v>5</v>
      </c>
      <c r="D1235" s="1" t="s">
        <v>209</v>
      </c>
      <c r="E1235" s="1" t="s">
        <v>9680</v>
      </c>
      <c r="F1235" s="1" t="s">
        <v>9681</v>
      </c>
      <c r="G1235" s="1">
        <v>5</v>
      </c>
      <c r="H1235" s="1" t="s">
        <v>229</v>
      </c>
      <c r="I1235" s="1" t="str">
        <f>("1206280128")</f>
        <v>1206280128</v>
      </c>
    </row>
    <row r="1236" spans="1:10" x14ac:dyDescent="0.45">
      <c r="A1236" s="2" t="str">
        <f t="shared" si="19"/>
        <v>ティエラフットボールクラブＵ－１２_6</v>
      </c>
      <c r="B1236" s="1" t="s">
        <v>8459</v>
      </c>
      <c r="C1236" s="1" t="str">
        <f>("6")</f>
        <v>6</v>
      </c>
      <c r="D1236" s="1" t="s">
        <v>208</v>
      </c>
      <c r="E1236" s="1" t="s">
        <v>9682</v>
      </c>
      <c r="F1236" s="1" t="s">
        <v>9683</v>
      </c>
      <c r="G1236" s="1">
        <v>5</v>
      </c>
      <c r="H1236" s="1" t="s">
        <v>229</v>
      </c>
      <c r="I1236" s="1" t="str">
        <f>("1207190129")</f>
        <v>1207190129</v>
      </c>
    </row>
    <row r="1237" spans="1:10" x14ac:dyDescent="0.45">
      <c r="A1237" s="2" t="str">
        <f t="shared" si="19"/>
        <v>ティエラフットボールクラブＵ－１２_7</v>
      </c>
      <c r="B1237" s="1" t="s">
        <v>8459</v>
      </c>
      <c r="C1237" s="1" t="str">
        <f>("7")</f>
        <v>7</v>
      </c>
      <c r="D1237" s="1" t="s">
        <v>209</v>
      </c>
      <c r="E1237" s="1" t="s">
        <v>9684</v>
      </c>
      <c r="F1237" s="1" t="s">
        <v>9685</v>
      </c>
      <c r="G1237" s="1">
        <v>5</v>
      </c>
      <c r="H1237" s="1" t="s">
        <v>229</v>
      </c>
      <c r="I1237" s="1" t="str">
        <f>("1206140125")</f>
        <v>1206140125</v>
      </c>
    </row>
    <row r="1238" spans="1:10" x14ac:dyDescent="0.45">
      <c r="A1238" s="2" t="str">
        <f t="shared" si="19"/>
        <v>ティエラフットボールクラブＵ－１２_8</v>
      </c>
      <c r="B1238" s="1" t="s">
        <v>8459</v>
      </c>
      <c r="C1238" s="1" t="str">
        <f>("8")</f>
        <v>8</v>
      </c>
      <c r="D1238" s="1" t="s">
        <v>209</v>
      </c>
      <c r="E1238" s="1" t="s">
        <v>9686</v>
      </c>
      <c r="F1238" s="1" t="s">
        <v>9687</v>
      </c>
      <c r="G1238" s="1">
        <v>6</v>
      </c>
      <c r="H1238" s="1" t="s">
        <v>229</v>
      </c>
      <c r="I1238" s="1" t="str">
        <f>("1109290194")</f>
        <v>1109290194</v>
      </c>
    </row>
    <row r="1239" spans="1:10" x14ac:dyDescent="0.45">
      <c r="A1239" s="2" t="str">
        <f t="shared" si="19"/>
        <v>ティエラフットボールクラブＵ－１２_9</v>
      </c>
      <c r="B1239" s="1" t="s">
        <v>8459</v>
      </c>
      <c r="C1239" s="1" t="str">
        <f>("9")</f>
        <v>9</v>
      </c>
      <c r="D1239" s="1" t="s">
        <v>208</v>
      </c>
      <c r="E1239" s="1" t="s">
        <v>9688</v>
      </c>
      <c r="F1239" s="1" t="s">
        <v>9689</v>
      </c>
      <c r="G1239" s="1">
        <v>6</v>
      </c>
      <c r="H1239" s="1" t="s">
        <v>229</v>
      </c>
      <c r="I1239" s="1" t="str">
        <f>("1104260235")</f>
        <v>1104260235</v>
      </c>
    </row>
    <row r="1240" spans="1:10" x14ac:dyDescent="0.45">
      <c r="A1240" s="2" t="str">
        <f t="shared" si="19"/>
        <v>ティエラフットボールクラブＵ－１２_10</v>
      </c>
      <c r="B1240" s="1" t="s">
        <v>8459</v>
      </c>
      <c r="C1240" s="1" t="str">
        <f>("10")</f>
        <v>10</v>
      </c>
      <c r="D1240" s="1" t="s">
        <v>209</v>
      </c>
      <c r="E1240" s="1" t="s">
        <v>9690</v>
      </c>
      <c r="F1240" s="1" t="s">
        <v>9691</v>
      </c>
      <c r="G1240" s="1">
        <v>6</v>
      </c>
      <c r="H1240" s="1" t="s">
        <v>229</v>
      </c>
      <c r="I1240" s="1" t="str">
        <f>("1108040037")</f>
        <v>1108040037</v>
      </c>
    </row>
    <row r="1241" spans="1:10" x14ac:dyDescent="0.45">
      <c r="A1241" s="2" t="str">
        <f t="shared" si="19"/>
        <v>ティエラフットボールクラブＵ－１２_11</v>
      </c>
      <c r="B1241" s="1" t="s">
        <v>8459</v>
      </c>
      <c r="C1241" s="1" t="str">
        <f>("11")</f>
        <v>11</v>
      </c>
      <c r="D1241" s="1" t="s">
        <v>210</v>
      </c>
      <c r="E1241" s="1" t="s">
        <v>9692</v>
      </c>
      <c r="F1241" s="1" t="s">
        <v>9693</v>
      </c>
      <c r="G1241" s="1">
        <v>6</v>
      </c>
      <c r="H1241" s="1" t="s">
        <v>229</v>
      </c>
      <c r="I1241" s="1" t="str">
        <f>("1109170095")</f>
        <v>1109170095</v>
      </c>
    </row>
    <row r="1242" spans="1:10" x14ac:dyDescent="0.45">
      <c r="A1242" s="2" t="str">
        <f t="shared" si="19"/>
        <v>ティエラフットボールクラブＵ－１２_12</v>
      </c>
      <c r="B1242" s="1" t="s">
        <v>8459</v>
      </c>
      <c r="C1242" s="1" t="str">
        <f>("12")</f>
        <v>12</v>
      </c>
      <c r="D1242" s="1" t="s">
        <v>209</v>
      </c>
      <c r="E1242" s="1" t="s">
        <v>9694</v>
      </c>
      <c r="F1242" s="1" t="s">
        <v>9695</v>
      </c>
      <c r="G1242" s="1">
        <v>4</v>
      </c>
      <c r="H1242" s="1" t="s">
        <v>229</v>
      </c>
      <c r="I1242" s="1" t="str">
        <f>("1506160036")</f>
        <v>1506160036</v>
      </c>
    </row>
    <row r="1243" spans="1:10" x14ac:dyDescent="0.45">
      <c r="A1243" s="2" t="str">
        <f t="shared" si="19"/>
        <v>ティエラフットボールクラブＵ－１２_13</v>
      </c>
      <c r="B1243" s="1" t="s">
        <v>8459</v>
      </c>
      <c r="C1243" s="1" t="str">
        <f>("13")</f>
        <v>13</v>
      </c>
      <c r="D1243" s="1" t="s">
        <v>210</v>
      </c>
      <c r="E1243" s="1" t="s">
        <v>9696</v>
      </c>
      <c r="F1243" s="1" t="s">
        <v>9697</v>
      </c>
      <c r="G1243" s="1">
        <v>4</v>
      </c>
      <c r="H1243" s="1" t="s">
        <v>229</v>
      </c>
      <c r="I1243" s="1" t="str">
        <f>("1307040119")</f>
        <v>1307040119</v>
      </c>
    </row>
    <row r="1244" spans="1:10" x14ac:dyDescent="0.45">
      <c r="A1244" s="2" t="str">
        <f t="shared" si="19"/>
        <v>ティエラフットボールクラブＵ－１２_14</v>
      </c>
      <c r="B1244" s="1" t="s">
        <v>8459</v>
      </c>
      <c r="C1244" s="1" t="str">
        <f>("14")</f>
        <v>14</v>
      </c>
      <c r="D1244" s="1" t="s">
        <v>209</v>
      </c>
      <c r="E1244" s="1" t="s">
        <v>9698</v>
      </c>
      <c r="F1244" s="1" t="s">
        <v>9699</v>
      </c>
      <c r="G1244" s="1">
        <v>4</v>
      </c>
      <c r="H1244" s="1" t="s">
        <v>229</v>
      </c>
      <c r="I1244" s="1" t="str">
        <f>("1312170116")</f>
        <v>1312170116</v>
      </c>
    </row>
    <row r="1245" spans="1:10" x14ac:dyDescent="0.45">
      <c r="A1245" s="2" t="str">
        <f t="shared" si="19"/>
        <v>ティエラフットボールクラブＵ－１２_15</v>
      </c>
      <c r="B1245" s="1" t="s">
        <v>8459</v>
      </c>
      <c r="C1245" s="1" t="str">
        <f>("15")</f>
        <v>15</v>
      </c>
      <c r="D1245" s="1" t="s">
        <v>210</v>
      </c>
      <c r="E1245" s="1" t="s">
        <v>9700</v>
      </c>
      <c r="F1245" s="1" t="s">
        <v>9701</v>
      </c>
      <c r="G1245" s="1">
        <v>4</v>
      </c>
      <c r="H1245" s="1" t="s">
        <v>229</v>
      </c>
      <c r="I1245" s="1" t="str">
        <f>("1401090134")</f>
        <v>1401090134</v>
      </c>
    </row>
    <row r="1246" spans="1:10" x14ac:dyDescent="0.45">
      <c r="A1246" s="2" t="str">
        <f t="shared" si="19"/>
        <v>ティエラフットボールクラブＵ－１２_16</v>
      </c>
      <c r="B1246" s="1" t="s">
        <v>8459</v>
      </c>
      <c r="C1246" s="1" t="str">
        <f>("16")</f>
        <v>16</v>
      </c>
      <c r="D1246" s="1" t="s">
        <v>207</v>
      </c>
      <c r="E1246" s="1" t="s">
        <v>9702</v>
      </c>
      <c r="F1246" s="1" t="s">
        <v>9703</v>
      </c>
      <c r="G1246" s="1">
        <v>4</v>
      </c>
      <c r="H1246" s="1" t="s">
        <v>229</v>
      </c>
      <c r="I1246" s="1" t="str">
        <f>("1307180143")</f>
        <v>1307180143</v>
      </c>
    </row>
    <row r="1247" spans="1:10" x14ac:dyDescent="0.45">
      <c r="A1247" s="2" t="str">
        <f t="shared" si="19"/>
        <v>スマイス日出_1</v>
      </c>
      <c r="B1247" s="1" t="s">
        <v>5013</v>
      </c>
      <c r="C1247" s="1" t="str">
        <f>("1")</f>
        <v>1</v>
      </c>
      <c r="D1247" s="1" t="s">
        <v>207</v>
      </c>
      <c r="E1247" s="1" t="s">
        <v>6772</v>
      </c>
      <c r="F1247" s="1" t="s">
        <v>6773</v>
      </c>
      <c r="G1247" s="1">
        <v>6</v>
      </c>
      <c r="H1247" s="1" t="s">
        <v>229</v>
      </c>
      <c r="I1247" s="1" t="str">
        <f>("1111090219")</f>
        <v>1111090219</v>
      </c>
    </row>
    <row r="1248" spans="1:10" x14ac:dyDescent="0.45">
      <c r="A1248" s="2" t="str">
        <f t="shared" si="19"/>
        <v>スマイス日出_2</v>
      </c>
      <c r="B1248" s="1" t="s">
        <v>5013</v>
      </c>
      <c r="C1248" s="1" t="str">
        <f>("2")</f>
        <v>2</v>
      </c>
      <c r="D1248" s="1" t="s">
        <v>209</v>
      </c>
      <c r="E1248" s="1" t="s">
        <v>9704</v>
      </c>
      <c r="F1248" s="1" t="s">
        <v>9705</v>
      </c>
      <c r="G1248" s="1">
        <v>6</v>
      </c>
      <c r="H1248" s="1" t="s">
        <v>229</v>
      </c>
      <c r="I1248" s="1" t="str">
        <f>("1108110285")</f>
        <v>1108110285</v>
      </c>
    </row>
    <row r="1249" spans="1:10" x14ac:dyDescent="0.45">
      <c r="A1249" s="2" t="str">
        <f t="shared" si="19"/>
        <v>スマイス日出_3</v>
      </c>
      <c r="B1249" s="1" t="s">
        <v>5013</v>
      </c>
      <c r="C1249" s="1" t="str">
        <f>("3")</f>
        <v>3</v>
      </c>
      <c r="D1249" s="1" t="s">
        <v>210</v>
      </c>
      <c r="E1249" s="1" t="s">
        <v>6760</v>
      </c>
      <c r="F1249" s="1" t="s">
        <v>6761</v>
      </c>
      <c r="G1249" s="1">
        <v>6</v>
      </c>
      <c r="H1249" s="1" t="s">
        <v>229</v>
      </c>
      <c r="I1249" s="1" t="str">
        <f>("1108300211")</f>
        <v>1108300211</v>
      </c>
    </row>
    <row r="1250" spans="1:10" x14ac:dyDescent="0.45">
      <c r="A1250" s="2" t="str">
        <f t="shared" si="19"/>
        <v>スマイス日出_4</v>
      </c>
      <c r="B1250" s="1" t="s">
        <v>5013</v>
      </c>
      <c r="C1250" s="1" t="str">
        <f>("4")</f>
        <v>4</v>
      </c>
      <c r="D1250" s="1" t="s">
        <v>208</v>
      </c>
      <c r="E1250" s="1" t="s">
        <v>9706</v>
      </c>
      <c r="F1250" s="1" t="s">
        <v>9707</v>
      </c>
      <c r="G1250" s="1">
        <v>5</v>
      </c>
      <c r="H1250" s="1" t="s">
        <v>231</v>
      </c>
      <c r="I1250" s="1" t="str">
        <f>("1211250158")</f>
        <v>1211250158</v>
      </c>
    </row>
    <row r="1251" spans="1:10" x14ac:dyDescent="0.45">
      <c r="A1251" s="2" t="str">
        <f t="shared" si="19"/>
        <v>スマイス日出_5</v>
      </c>
      <c r="B1251" s="1" t="s">
        <v>5013</v>
      </c>
      <c r="C1251" s="1" t="str">
        <f>("5")</f>
        <v>5</v>
      </c>
      <c r="D1251" s="1" t="s">
        <v>210</v>
      </c>
      <c r="E1251" s="1" t="s">
        <v>9708</v>
      </c>
      <c r="F1251" s="1" t="s">
        <v>9708</v>
      </c>
      <c r="G1251" s="1">
        <v>6</v>
      </c>
      <c r="H1251" s="1" t="s">
        <v>229</v>
      </c>
      <c r="I1251" s="1" t="str">
        <f>("1201040214")</f>
        <v>1201040214</v>
      </c>
    </row>
    <row r="1252" spans="1:10" x14ac:dyDescent="0.45">
      <c r="A1252" s="2" t="str">
        <f t="shared" si="19"/>
        <v>スマイス日出_6</v>
      </c>
      <c r="B1252" s="1" t="s">
        <v>5013</v>
      </c>
      <c r="C1252" s="1" t="str">
        <f>("6")</f>
        <v>6</v>
      </c>
      <c r="D1252" s="1" t="s">
        <v>210</v>
      </c>
      <c r="E1252" s="1" t="s">
        <v>6770</v>
      </c>
      <c r="F1252" s="1" t="s">
        <v>6771</v>
      </c>
      <c r="G1252" s="1">
        <v>6</v>
      </c>
      <c r="H1252" s="1" t="s">
        <v>229</v>
      </c>
      <c r="I1252" s="1" t="str">
        <f>("1111270142")</f>
        <v>1111270142</v>
      </c>
    </row>
    <row r="1253" spans="1:10" x14ac:dyDescent="0.45">
      <c r="A1253" s="2" t="str">
        <f t="shared" si="19"/>
        <v>スマイス日出_7</v>
      </c>
      <c r="B1253" s="1" t="s">
        <v>5013</v>
      </c>
      <c r="C1253" s="1" t="str">
        <f>("7")</f>
        <v>7</v>
      </c>
      <c r="D1253" s="1" t="s">
        <v>209</v>
      </c>
      <c r="E1253" s="1" t="s">
        <v>6766</v>
      </c>
      <c r="F1253" s="1" t="s">
        <v>6767</v>
      </c>
      <c r="G1253" s="1">
        <v>6</v>
      </c>
      <c r="H1253" s="1" t="s">
        <v>229</v>
      </c>
      <c r="I1253" s="1" t="str">
        <f>("1108170216")</f>
        <v>1108170216</v>
      </c>
    </row>
    <row r="1254" spans="1:10" x14ac:dyDescent="0.45">
      <c r="A1254" s="2" t="str">
        <f t="shared" si="19"/>
        <v>スマイス日出_8</v>
      </c>
      <c r="B1254" s="1" t="s">
        <v>5013</v>
      </c>
      <c r="C1254" s="1" t="str">
        <f>("8")</f>
        <v>8</v>
      </c>
      <c r="D1254" s="1" t="s">
        <v>208</v>
      </c>
      <c r="E1254" s="1" t="s">
        <v>6764</v>
      </c>
      <c r="F1254" s="1" t="s">
        <v>6765</v>
      </c>
      <c r="G1254" s="1">
        <v>6</v>
      </c>
      <c r="H1254" s="1" t="s">
        <v>229</v>
      </c>
      <c r="I1254" s="1" t="str">
        <f>("1201030143")</f>
        <v>1201030143</v>
      </c>
    </row>
    <row r="1255" spans="1:10" x14ac:dyDescent="0.45">
      <c r="A1255" s="2" t="str">
        <f t="shared" si="19"/>
        <v>スマイス日出_9</v>
      </c>
      <c r="B1255" s="1" t="s">
        <v>5013</v>
      </c>
      <c r="C1255" s="1" t="str">
        <f>("9")</f>
        <v>9</v>
      </c>
      <c r="D1255" s="1" t="s">
        <v>209</v>
      </c>
      <c r="E1255" s="1" t="s">
        <v>9709</v>
      </c>
      <c r="F1255" s="1" t="s">
        <v>9710</v>
      </c>
      <c r="G1255" s="1">
        <v>6</v>
      </c>
      <c r="H1255" s="1" t="s">
        <v>229</v>
      </c>
      <c r="I1255" s="1" t="str">
        <f>("1203190161")</f>
        <v>1203190161</v>
      </c>
    </row>
    <row r="1256" spans="1:10" x14ac:dyDescent="0.45">
      <c r="A1256" s="2" t="str">
        <f t="shared" si="19"/>
        <v>スマイス日出_10</v>
      </c>
      <c r="B1256" s="1" t="s">
        <v>5013</v>
      </c>
      <c r="C1256" s="1" t="str">
        <f>("10")</f>
        <v>10</v>
      </c>
      <c r="D1256" s="1" t="s">
        <v>208</v>
      </c>
      <c r="E1256" s="1" t="s">
        <v>6762</v>
      </c>
      <c r="F1256" s="1" t="s">
        <v>6763</v>
      </c>
      <c r="G1256" s="1">
        <v>6</v>
      </c>
      <c r="H1256" s="1" t="s">
        <v>229</v>
      </c>
      <c r="I1256" s="1" t="str">
        <f>("1105080158")</f>
        <v>1105080158</v>
      </c>
      <c r="J1256" s="1" t="s">
        <v>1858</v>
      </c>
    </row>
    <row r="1257" spans="1:10" x14ac:dyDescent="0.45">
      <c r="A1257" s="2" t="str">
        <f t="shared" si="19"/>
        <v>スマイス日出_11</v>
      </c>
      <c r="B1257" s="1" t="s">
        <v>5013</v>
      </c>
      <c r="C1257" s="1" t="str">
        <f>("11")</f>
        <v>11</v>
      </c>
      <c r="D1257" s="1" t="s">
        <v>209</v>
      </c>
      <c r="E1257" s="1" t="s">
        <v>6768</v>
      </c>
      <c r="F1257" s="1" t="s">
        <v>6769</v>
      </c>
      <c r="G1257" s="1">
        <v>6</v>
      </c>
      <c r="H1257" s="1" t="s">
        <v>229</v>
      </c>
      <c r="I1257" s="1" t="str">
        <f>("1104260270")</f>
        <v>1104260270</v>
      </c>
    </row>
    <row r="1258" spans="1:10" x14ac:dyDescent="0.45">
      <c r="A1258" s="2" t="str">
        <f t="shared" si="19"/>
        <v>スマイス日出_12</v>
      </c>
      <c r="B1258" s="1" t="s">
        <v>5013</v>
      </c>
      <c r="C1258" s="1" t="str">
        <f>("12")</f>
        <v>12</v>
      </c>
      <c r="D1258" s="1" t="s">
        <v>210</v>
      </c>
      <c r="E1258" s="1" t="s">
        <v>9711</v>
      </c>
      <c r="F1258" s="1" t="s">
        <v>9712</v>
      </c>
      <c r="G1258" s="1">
        <v>4</v>
      </c>
      <c r="H1258" s="1" t="s">
        <v>229</v>
      </c>
      <c r="I1258" s="1" t="str">
        <f>("1309150093")</f>
        <v>1309150093</v>
      </c>
    </row>
    <row r="1259" spans="1:10" x14ac:dyDescent="0.45">
      <c r="A1259" s="2" t="str">
        <f t="shared" si="19"/>
        <v>スマイス日出_13</v>
      </c>
      <c r="B1259" s="1" t="s">
        <v>5013</v>
      </c>
      <c r="C1259" s="1" t="str">
        <f>("13")</f>
        <v>13</v>
      </c>
      <c r="D1259" s="1" t="s">
        <v>209</v>
      </c>
      <c r="E1259" s="1" t="s">
        <v>9713</v>
      </c>
      <c r="F1259" s="1" t="s">
        <v>9714</v>
      </c>
      <c r="G1259" s="1">
        <v>4</v>
      </c>
      <c r="H1259" s="1" t="s">
        <v>229</v>
      </c>
      <c r="I1259" s="1" t="str">
        <f>("1310070110")</f>
        <v>1310070110</v>
      </c>
    </row>
    <row r="1260" spans="1:10" x14ac:dyDescent="0.45">
      <c r="A1260" s="2" t="str">
        <f t="shared" si="19"/>
        <v>スマイス日出_14</v>
      </c>
      <c r="B1260" s="1" t="s">
        <v>5013</v>
      </c>
      <c r="C1260" s="1" t="str">
        <f>("14")</f>
        <v>14</v>
      </c>
      <c r="D1260" s="1" t="s">
        <v>208</v>
      </c>
      <c r="E1260" s="1" t="s">
        <v>9715</v>
      </c>
      <c r="F1260" s="1" t="s">
        <v>9716</v>
      </c>
      <c r="G1260" s="1">
        <v>4</v>
      </c>
      <c r="H1260" s="1" t="s">
        <v>229</v>
      </c>
      <c r="I1260" s="1" t="str">
        <f>("1401150101")</f>
        <v>1401150101</v>
      </c>
    </row>
    <row r="1261" spans="1:10" x14ac:dyDescent="0.45">
      <c r="A1261" s="2" t="str">
        <f t="shared" si="19"/>
        <v>スマイス日出_15</v>
      </c>
      <c r="B1261" s="1" t="s">
        <v>5013</v>
      </c>
      <c r="C1261" s="1" t="str">
        <f>("15")</f>
        <v>15</v>
      </c>
      <c r="D1261" s="1" t="s">
        <v>208</v>
      </c>
      <c r="E1261" s="1" t="s">
        <v>9717</v>
      </c>
      <c r="F1261" s="1" t="s">
        <v>3340</v>
      </c>
      <c r="G1261" s="1">
        <v>4</v>
      </c>
      <c r="H1261" s="1" t="s">
        <v>229</v>
      </c>
      <c r="I1261" s="1" t="str">
        <f>("1111210234")</f>
        <v>1111210234</v>
      </c>
    </row>
    <row r="1262" spans="1:10" x14ac:dyDescent="0.45">
      <c r="A1262" s="2" t="str">
        <f t="shared" si="19"/>
        <v>スマイス日出_16</v>
      </c>
      <c r="B1262" s="1" t="s">
        <v>5013</v>
      </c>
      <c r="C1262" s="1" t="str">
        <f>("16")</f>
        <v>16</v>
      </c>
      <c r="D1262" s="1" t="s">
        <v>207</v>
      </c>
      <c r="E1262" s="1" t="s">
        <v>9718</v>
      </c>
      <c r="F1262" s="1" t="s">
        <v>9719</v>
      </c>
      <c r="G1262" s="1">
        <v>5</v>
      </c>
      <c r="H1262" s="1" t="s">
        <v>229</v>
      </c>
      <c r="I1262" s="1" t="str">
        <f>("1207190200")</f>
        <v>1207190200</v>
      </c>
    </row>
    <row r="1263" spans="1:10" x14ac:dyDescent="0.45">
      <c r="A1263" s="2" t="str">
        <f t="shared" si="19"/>
        <v>ＦＣ　ＵＮＩＴＥ_1</v>
      </c>
      <c r="B1263" s="1" t="s">
        <v>5014</v>
      </c>
      <c r="C1263" s="1" t="str">
        <f>("1")</f>
        <v>1</v>
      </c>
      <c r="D1263" s="1" t="s">
        <v>207</v>
      </c>
      <c r="E1263" s="1" t="s">
        <v>6778</v>
      </c>
      <c r="F1263" s="1" t="s">
        <v>6779</v>
      </c>
      <c r="G1263" s="1">
        <v>6</v>
      </c>
      <c r="H1263" s="1" t="s">
        <v>229</v>
      </c>
      <c r="I1263" s="1" t="str">
        <f>("1106240192")</f>
        <v>1106240192</v>
      </c>
      <c r="J1263" s="1" t="s">
        <v>1858</v>
      </c>
    </row>
    <row r="1264" spans="1:10" x14ac:dyDescent="0.45">
      <c r="A1264" s="2" t="str">
        <f t="shared" si="19"/>
        <v>ＦＣ　ＵＮＩＴＥ_2</v>
      </c>
      <c r="B1264" s="1" t="s">
        <v>5014</v>
      </c>
      <c r="C1264" s="1" t="str">
        <f>("2")</f>
        <v>2</v>
      </c>
      <c r="D1264" s="1" t="s">
        <v>210</v>
      </c>
      <c r="E1264" s="1" t="s">
        <v>9720</v>
      </c>
      <c r="F1264" s="1" t="s">
        <v>9721</v>
      </c>
      <c r="G1264" s="1">
        <v>5</v>
      </c>
      <c r="H1264" s="1" t="s">
        <v>229</v>
      </c>
      <c r="I1264" s="1" t="str">
        <f>("1207240008")</f>
        <v>1207240008</v>
      </c>
    </row>
    <row r="1265" spans="1:9" x14ac:dyDescent="0.45">
      <c r="A1265" s="2" t="str">
        <f t="shared" si="19"/>
        <v>ＦＣ　ＵＮＩＴＥ_3</v>
      </c>
      <c r="B1265" s="1" t="s">
        <v>5014</v>
      </c>
      <c r="C1265" s="1" t="str">
        <f>("3")</f>
        <v>3</v>
      </c>
      <c r="D1265" s="1" t="s">
        <v>208</v>
      </c>
      <c r="E1265" s="1" t="s">
        <v>9722</v>
      </c>
      <c r="F1265" s="1" t="s">
        <v>9723</v>
      </c>
      <c r="G1265" s="1">
        <v>5</v>
      </c>
      <c r="H1265" s="1" t="s">
        <v>229</v>
      </c>
      <c r="I1265" s="1" t="str">
        <f>("1212270198")</f>
        <v>1212270198</v>
      </c>
    </row>
    <row r="1266" spans="1:9" x14ac:dyDescent="0.45">
      <c r="A1266" s="2" t="str">
        <f t="shared" si="19"/>
        <v>ＦＣ　ＵＮＩＴＥ_4</v>
      </c>
      <c r="B1266" s="1" t="s">
        <v>5014</v>
      </c>
      <c r="C1266" s="1" t="str">
        <f>("4")</f>
        <v>4</v>
      </c>
      <c r="D1266" s="1" t="s">
        <v>210</v>
      </c>
      <c r="E1266" s="1" t="s">
        <v>9724</v>
      </c>
      <c r="F1266" s="1" t="s">
        <v>9725</v>
      </c>
      <c r="G1266" s="1">
        <v>5</v>
      </c>
      <c r="H1266" s="1" t="s">
        <v>229</v>
      </c>
      <c r="I1266" s="1" t="str">
        <f>("1209190109")</f>
        <v>1209190109</v>
      </c>
    </row>
    <row r="1267" spans="1:9" x14ac:dyDescent="0.45">
      <c r="A1267" s="2" t="str">
        <f t="shared" si="19"/>
        <v>ＦＣ　ＵＮＩＴＥ_5</v>
      </c>
      <c r="B1267" s="1" t="s">
        <v>5014</v>
      </c>
      <c r="C1267" s="1" t="str">
        <f>("5")</f>
        <v>5</v>
      </c>
      <c r="D1267" s="1" t="s">
        <v>208</v>
      </c>
      <c r="E1267" s="1" t="s">
        <v>9726</v>
      </c>
      <c r="F1267" s="1" t="s">
        <v>9727</v>
      </c>
      <c r="G1267" s="1">
        <v>5</v>
      </c>
      <c r="H1267" s="1" t="s">
        <v>231</v>
      </c>
      <c r="I1267" s="1" t="str">
        <f>("1204270025")</f>
        <v>1204270025</v>
      </c>
    </row>
    <row r="1268" spans="1:9" x14ac:dyDescent="0.45">
      <c r="A1268" s="2" t="str">
        <f t="shared" si="19"/>
        <v>ＦＣ　ＵＮＩＴＥ_6</v>
      </c>
      <c r="B1268" s="1" t="s">
        <v>5014</v>
      </c>
      <c r="C1268" s="1" t="str">
        <f>("6")</f>
        <v>6</v>
      </c>
      <c r="D1268" s="1" t="s">
        <v>209</v>
      </c>
      <c r="E1268" s="1" t="s">
        <v>9728</v>
      </c>
      <c r="F1268" s="1" t="s">
        <v>9729</v>
      </c>
      <c r="G1268" s="1">
        <v>5</v>
      </c>
      <c r="H1268" s="1" t="s">
        <v>229</v>
      </c>
      <c r="I1268" s="1" t="str">
        <f>("1208160066")</f>
        <v>1208160066</v>
      </c>
    </row>
    <row r="1269" spans="1:9" x14ac:dyDescent="0.45">
      <c r="A1269" s="2" t="str">
        <f t="shared" si="19"/>
        <v>ＦＣ　ＵＮＩＴＥ_7</v>
      </c>
      <c r="B1269" s="1" t="s">
        <v>5014</v>
      </c>
      <c r="C1269" s="1" t="str">
        <f>("7")</f>
        <v>7</v>
      </c>
      <c r="D1269" s="1" t="s">
        <v>209</v>
      </c>
      <c r="E1269" s="1" t="s">
        <v>5695</v>
      </c>
      <c r="F1269" s="1" t="s">
        <v>5696</v>
      </c>
      <c r="G1269" s="1">
        <v>5</v>
      </c>
      <c r="H1269" s="1" t="s">
        <v>229</v>
      </c>
      <c r="I1269" s="1" t="str">
        <f>("1204080002")</f>
        <v>1204080002</v>
      </c>
    </row>
    <row r="1270" spans="1:9" x14ac:dyDescent="0.45">
      <c r="A1270" s="2" t="str">
        <f t="shared" si="19"/>
        <v>ＦＣ　ＵＮＩＴＥ_8</v>
      </c>
      <c r="B1270" s="1" t="s">
        <v>5014</v>
      </c>
      <c r="C1270" s="1" t="str">
        <f>("8")</f>
        <v>8</v>
      </c>
      <c r="D1270" s="1" t="s">
        <v>210</v>
      </c>
      <c r="E1270" s="1" t="s">
        <v>6774</v>
      </c>
      <c r="F1270" s="1" t="s">
        <v>6775</v>
      </c>
      <c r="G1270" s="1">
        <v>6</v>
      </c>
      <c r="H1270" s="1" t="s">
        <v>231</v>
      </c>
      <c r="I1270" s="1" t="str">
        <f>("1203260097")</f>
        <v>1203260097</v>
      </c>
    </row>
    <row r="1271" spans="1:9" x14ac:dyDescent="0.45">
      <c r="A1271" s="2" t="str">
        <f t="shared" si="19"/>
        <v>ＦＣ　ＵＮＩＴＥ_9</v>
      </c>
      <c r="B1271" s="1" t="s">
        <v>5014</v>
      </c>
      <c r="C1271" s="1" t="str">
        <f>("9")</f>
        <v>9</v>
      </c>
      <c r="D1271" s="1" t="s">
        <v>210</v>
      </c>
      <c r="E1271" s="1" t="s">
        <v>6776</v>
      </c>
      <c r="F1271" s="1" t="s">
        <v>6777</v>
      </c>
      <c r="G1271" s="1">
        <v>6</v>
      </c>
      <c r="H1271" s="1" t="s">
        <v>231</v>
      </c>
      <c r="I1271" s="1" t="str">
        <f>("1203260096")</f>
        <v>1203260096</v>
      </c>
    </row>
    <row r="1272" spans="1:9" x14ac:dyDescent="0.45">
      <c r="A1272" s="2" t="str">
        <f t="shared" si="19"/>
        <v>ＦＣ　ＵＮＩＴＥ_10</v>
      </c>
      <c r="B1272" s="1" t="s">
        <v>5014</v>
      </c>
      <c r="C1272" s="1" t="str">
        <f>("10")</f>
        <v>10</v>
      </c>
      <c r="D1272" s="1" t="s">
        <v>209</v>
      </c>
      <c r="E1272" s="1" t="s">
        <v>5693</v>
      </c>
      <c r="F1272" s="1" t="s">
        <v>5694</v>
      </c>
      <c r="G1272" s="1">
        <v>6</v>
      </c>
      <c r="H1272" s="1" t="s">
        <v>231</v>
      </c>
      <c r="I1272" s="1" t="str">
        <f>("1105290030")</f>
        <v>1105290030</v>
      </c>
    </row>
    <row r="1273" spans="1:9" x14ac:dyDescent="0.45">
      <c r="A1273" s="2" t="str">
        <f t="shared" si="19"/>
        <v>ＦＣ　ＵＮＩＴＥ_11</v>
      </c>
      <c r="B1273" s="1" t="s">
        <v>5014</v>
      </c>
      <c r="C1273" s="1" t="str">
        <f>("11")</f>
        <v>11</v>
      </c>
      <c r="D1273" s="1" t="s">
        <v>208</v>
      </c>
      <c r="E1273" s="1" t="s">
        <v>6780</v>
      </c>
      <c r="F1273" s="1" t="s">
        <v>6781</v>
      </c>
      <c r="G1273" s="1">
        <v>6</v>
      </c>
      <c r="H1273" s="1" t="s">
        <v>229</v>
      </c>
      <c r="I1273" s="1" t="str">
        <f>("1111250161")</f>
        <v>1111250161</v>
      </c>
    </row>
    <row r="1274" spans="1:9" x14ac:dyDescent="0.45">
      <c r="A1274" s="2" t="str">
        <f t="shared" si="19"/>
        <v>ＦＣ　ＵＮＩＴＥ_12</v>
      </c>
      <c r="B1274" s="1" t="s">
        <v>5014</v>
      </c>
      <c r="C1274" s="1" t="str">
        <f>("12")</f>
        <v>12</v>
      </c>
      <c r="D1274" s="1" t="s">
        <v>207</v>
      </c>
      <c r="E1274" s="1" t="s">
        <v>9730</v>
      </c>
      <c r="F1274" s="1" t="s">
        <v>9731</v>
      </c>
      <c r="G1274" s="1">
        <v>5</v>
      </c>
      <c r="H1274" s="1" t="s">
        <v>229</v>
      </c>
      <c r="I1274" s="1" t="str">
        <f>("1212100127")</f>
        <v>1212100127</v>
      </c>
    </row>
    <row r="1275" spans="1:9" x14ac:dyDescent="0.45">
      <c r="A1275" s="2" t="str">
        <f t="shared" si="19"/>
        <v>ＦＣ　ＵＮＩＴＥ_14</v>
      </c>
      <c r="B1275" s="1" t="s">
        <v>5014</v>
      </c>
      <c r="C1275" s="1" t="str">
        <f>("14")</f>
        <v>14</v>
      </c>
      <c r="D1275" s="1" t="s">
        <v>209</v>
      </c>
      <c r="E1275" s="1" t="s">
        <v>9732</v>
      </c>
      <c r="F1275" s="1" t="s">
        <v>9733</v>
      </c>
      <c r="G1275" s="1">
        <v>4</v>
      </c>
      <c r="H1275" s="1" t="s">
        <v>229</v>
      </c>
      <c r="I1275" s="1" t="str">
        <f>("1312010004")</f>
        <v>1312010004</v>
      </c>
    </row>
    <row r="1276" spans="1:9" x14ac:dyDescent="0.45">
      <c r="A1276" s="2" t="str">
        <f t="shared" si="19"/>
        <v>ＦＣ　ＵＮＩＴＥ_15</v>
      </c>
      <c r="B1276" s="1" t="s">
        <v>5014</v>
      </c>
      <c r="C1276" s="1" t="str">
        <f>("15")</f>
        <v>15</v>
      </c>
      <c r="D1276" s="1" t="s">
        <v>210</v>
      </c>
      <c r="E1276" s="1" t="s">
        <v>9734</v>
      </c>
      <c r="F1276" s="1" t="s">
        <v>9735</v>
      </c>
      <c r="G1276" s="1">
        <v>4</v>
      </c>
      <c r="H1276" s="1" t="s">
        <v>229</v>
      </c>
      <c r="I1276" s="1" t="str">
        <f>("1307040093")</f>
        <v>1307040093</v>
      </c>
    </row>
    <row r="1277" spans="1:9" x14ac:dyDescent="0.45">
      <c r="A1277" s="2" t="str">
        <f t="shared" si="19"/>
        <v>ＦＣ　ＵＮＩＴＥ_16</v>
      </c>
      <c r="B1277" s="1" t="s">
        <v>5014</v>
      </c>
      <c r="C1277" s="1" t="str">
        <f>("16")</f>
        <v>16</v>
      </c>
      <c r="D1277" s="1" t="s">
        <v>208</v>
      </c>
      <c r="E1277" s="1" t="s">
        <v>9736</v>
      </c>
      <c r="F1277" s="1" t="s">
        <v>9737</v>
      </c>
      <c r="G1277" s="1">
        <v>4</v>
      </c>
      <c r="H1277" s="1" t="s">
        <v>229</v>
      </c>
      <c r="I1277" s="1" t="str">
        <f>("1403070013")</f>
        <v>1403070013</v>
      </c>
    </row>
    <row r="1278" spans="1:9" x14ac:dyDescent="0.45">
      <c r="A1278" s="2" t="str">
        <f t="shared" si="19"/>
        <v>太陽スポーツクラブ大分西_3</v>
      </c>
      <c r="B1278" s="1" t="s">
        <v>3351</v>
      </c>
      <c r="C1278" s="1" t="str">
        <f>("3")</f>
        <v>3</v>
      </c>
      <c r="D1278" s="1" t="s">
        <v>208</v>
      </c>
      <c r="E1278" s="1" t="s">
        <v>6782</v>
      </c>
      <c r="F1278" s="1" t="s">
        <v>6783</v>
      </c>
      <c r="G1278" s="1">
        <v>6</v>
      </c>
      <c r="H1278" s="1" t="s">
        <v>229</v>
      </c>
      <c r="I1278" s="1" t="str">
        <f>("1110060108")</f>
        <v>1110060108</v>
      </c>
    </row>
    <row r="1279" spans="1:9" x14ac:dyDescent="0.45">
      <c r="A1279" s="2" t="str">
        <f t="shared" si="19"/>
        <v>太陽スポーツクラブ大分西_4</v>
      </c>
      <c r="B1279" s="1" t="s">
        <v>3351</v>
      </c>
      <c r="C1279" s="1" t="str">
        <f>("4")</f>
        <v>4</v>
      </c>
      <c r="D1279" s="1" t="s">
        <v>210</v>
      </c>
      <c r="E1279" s="1" t="s">
        <v>6784</v>
      </c>
      <c r="F1279" s="1" t="s">
        <v>6785</v>
      </c>
      <c r="G1279" s="1">
        <v>5</v>
      </c>
      <c r="H1279" s="1" t="s">
        <v>229</v>
      </c>
      <c r="I1279" s="1" t="str">
        <f>("1204120073")</f>
        <v>1204120073</v>
      </c>
    </row>
    <row r="1280" spans="1:9" x14ac:dyDescent="0.45">
      <c r="A1280" s="2" t="str">
        <f t="shared" si="19"/>
        <v>太陽スポーツクラブ大分西_5</v>
      </c>
      <c r="B1280" s="1" t="s">
        <v>3351</v>
      </c>
      <c r="C1280" s="1" t="str">
        <f>("5")</f>
        <v>5</v>
      </c>
      <c r="D1280" s="1" t="s">
        <v>208</v>
      </c>
      <c r="E1280" s="1" t="s">
        <v>6786</v>
      </c>
      <c r="F1280" s="1" t="s">
        <v>6787</v>
      </c>
      <c r="G1280" s="1">
        <v>6</v>
      </c>
      <c r="H1280" s="1" t="s">
        <v>229</v>
      </c>
      <c r="I1280" s="1" t="str">
        <f>("1108180092")</f>
        <v>1108180092</v>
      </c>
    </row>
    <row r="1281" spans="1:10" x14ac:dyDescent="0.45">
      <c r="A1281" s="2" t="str">
        <f t="shared" ref="A1281:A1344" si="20">CONCATENATE(B1281,"_",C1281)</f>
        <v>太陽スポーツクラブ大分西_6</v>
      </c>
      <c r="B1281" s="1" t="s">
        <v>3351</v>
      </c>
      <c r="C1281" s="1" t="str">
        <f>("6")</f>
        <v>6</v>
      </c>
      <c r="D1281" s="1" t="s">
        <v>209</v>
      </c>
      <c r="E1281" s="1" t="s">
        <v>9738</v>
      </c>
      <c r="F1281" s="1" t="s">
        <v>9739</v>
      </c>
      <c r="G1281" s="1">
        <v>5</v>
      </c>
      <c r="H1281" s="1" t="s">
        <v>229</v>
      </c>
      <c r="I1281" s="1" t="str">
        <f>("1207270077")</f>
        <v>1207270077</v>
      </c>
    </row>
    <row r="1282" spans="1:10" x14ac:dyDescent="0.45">
      <c r="A1282" s="2" t="str">
        <f t="shared" si="20"/>
        <v>太陽スポーツクラブ大分西_7</v>
      </c>
      <c r="B1282" s="1" t="s">
        <v>3351</v>
      </c>
      <c r="C1282" s="1" t="str">
        <f>("7")</f>
        <v>7</v>
      </c>
      <c r="D1282" s="1" t="s">
        <v>209</v>
      </c>
      <c r="E1282" s="1" t="s">
        <v>6788</v>
      </c>
      <c r="F1282" s="1" t="s">
        <v>6789</v>
      </c>
      <c r="G1282" s="1">
        <v>6</v>
      </c>
      <c r="H1282" s="1" t="s">
        <v>229</v>
      </c>
      <c r="I1282" s="1" t="str">
        <f>("1110140079")</f>
        <v>1110140079</v>
      </c>
    </row>
    <row r="1283" spans="1:10" x14ac:dyDescent="0.45">
      <c r="A1283" s="2" t="str">
        <f t="shared" si="20"/>
        <v>太陽スポーツクラブ大分西_9</v>
      </c>
      <c r="B1283" s="1" t="s">
        <v>3351</v>
      </c>
      <c r="C1283" s="1" t="str">
        <f>("9")</f>
        <v>9</v>
      </c>
      <c r="D1283" s="1" t="s">
        <v>208</v>
      </c>
      <c r="E1283" s="1" t="s">
        <v>6796</v>
      </c>
      <c r="F1283" s="1" t="s">
        <v>6797</v>
      </c>
      <c r="G1283" s="1">
        <v>6</v>
      </c>
      <c r="H1283" s="1" t="s">
        <v>229</v>
      </c>
      <c r="I1283" s="1" t="str">
        <f>("1201310080")</f>
        <v>1201310080</v>
      </c>
    </row>
    <row r="1284" spans="1:10" x14ac:dyDescent="0.45">
      <c r="A1284" s="2" t="str">
        <f t="shared" si="20"/>
        <v>太陽スポーツクラブ大分西_10</v>
      </c>
      <c r="B1284" s="1" t="s">
        <v>3351</v>
      </c>
      <c r="C1284" s="1" t="str">
        <f>("10")</f>
        <v>10</v>
      </c>
      <c r="D1284" s="1" t="s">
        <v>207</v>
      </c>
      <c r="E1284" s="1" t="s">
        <v>6792</v>
      </c>
      <c r="F1284" s="1" t="s">
        <v>6793</v>
      </c>
      <c r="G1284" s="1">
        <v>6</v>
      </c>
      <c r="H1284" s="1" t="s">
        <v>229</v>
      </c>
      <c r="I1284" s="1" t="str">
        <f>("1111220106")</f>
        <v>1111220106</v>
      </c>
      <c r="J1284" s="1" t="s">
        <v>1858</v>
      </c>
    </row>
    <row r="1285" spans="1:10" x14ac:dyDescent="0.45">
      <c r="A1285" s="2" t="str">
        <f t="shared" si="20"/>
        <v>太陽スポーツクラブ大分西_11</v>
      </c>
      <c r="B1285" s="1" t="s">
        <v>3351</v>
      </c>
      <c r="C1285" s="1" t="str">
        <f>("11")</f>
        <v>11</v>
      </c>
      <c r="D1285" s="1" t="s">
        <v>208</v>
      </c>
      <c r="E1285" s="1" t="s">
        <v>6800</v>
      </c>
      <c r="F1285" s="1" t="s">
        <v>6801</v>
      </c>
      <c r="G1285" s="1">
        <v>6</v>
      </c>
      <c r="H1285" s="1" t="s">
        <v>229</v>
      </c>
      <c r="I1285" s="1" t="str">
        <f>("1203120135")</f>
        <v>1203120135</v>
      </c>
    </row>
    <row r="1286" spans="1:10" x14ac:dyDescent="0.45">
      <c r="A1286" s="2" t="str">
        <f t="shared" si="20"/>
        <v>太陽スポーツクラブ大分西_13</v>
      </c>
      <c r="B1286" s="1" t="s">
        <v>3351</v>
      </c>
      <c r="C1286" s="1" t="str">
        <f>("13")</f>
        <v>13</v>
      </c>
      <c r="D1286" s="1" t="s">
        <v>210</v>
      </c>
      <c r="E1286" s="1" t="s">
        <v>6790</v>
      </c>
      <c r="F1286" s="1" t="s">
        <v>6791</v>
      </c>
      <c r="G1286" s="1">
        <v>6</v>
      </c>
      <c r="H1286" s="1" t="s">
        <v>229</v>
      </c>
      <c r="I1286" s="1" t="str">
        <f>("1106210047")</f>
        <v>1106210047</v>
      </c>
    </row>
    <row r="1287" spans="1:10" x14ac:dyDescent="0.45">
      <c r="A1287" s="2" t="str">
        <f t="shared" si="20"/>
        <v>太陽スポーツクラブ大分西_14</v>
      </c>
      <c r="B1287" s="1" t="s">
        <v>3351</v>
      </c>
      <c r="C1287" s="1" t="str">
        <f>("14")</f>
        <v>14</v>
      </c>
      <c r="D1287" s="1" t="s">
        <v>209</v>
      </c>
      <c r="E1287" s="1" t="s">
        <v>9740</v>
      </c>
      <c r="F1287" s="1" t="s">
        <v>9741</v>
      </c>
      <c r="G1287" s="1">
        <v>5</v>
      </c>
      <c r="H1287" s="1" t="s">
        <v>229</v>
      </c>
      <c r="I1287" s="1" t="str">
        <f>("1207250084")</f>
        <v>1207250084</v>
      </c>
    </row>
    <row r="1288" spans="1:10" x14ac:dyDescent="0.45">
      <c r="A1288" s="2" t="str">
        <f t="shared" si="20"/>
        <v>太陽スポーツクラブ大分西_15</v>
      </c>
      <c r="B1288" s="1" t="s">
        <v>3351</v>
      </c>
      <c r="C1288" s="1" t="str">
        <f>("15")</f>
        <v>15</v>
      </c>
      <c r="D1288" s="1" t="s">
        <v>209</v>
      </c>
      <c r="E1288" s="1" t="s">
        <v>9742</v>
      </c>
      <c r="F1288" s="1" t="s">
        <v>9743</v>
      </c>
      <c r="G1288" s="1">
        <v>5</v>
      </c>
      <c r="H1288" s="1" t="s">
        <v>229</v>
      </c>
      <c r="I1288" s="1" t="str">
        <f>("1211120072")</f>
        <v>1211120072</v>
      </c>
    </row>
    <row r="1289" spans="1:10" x14ac:dyDescent="0.45">
      <c r="A1289" s="2" t="str">
        <f t="shared" si="20"/>
        <v>太陽スポーツクラブ大分西_16</v>
      </c>
      <c r="B1289" s="1" t="s">
        <v>3351</v>
      </c>
      <c r="C1289" s="1" t="str">
        <f>("16")</f>
        <v>16</v>
      </c>
      <c r="D1289" s="1" t="s">
        <v>207</v>
      </c>
      <c r="E1289" s="1" t="s">
        <v>9744</v>
      </c>
      <c r="F1289" s="1" t="s">
        <v>9745</v>
      </c>
      <c r="G1289" s="1">
        <v>5</v>
      </c>
      <c r="H1289" s="1" t="s">
        <v>229</v>
      </c>
      <c r="I1289" s="1" t="str">
        <f>("1210020072")</f>
        <v>1210020072</v>
      </c>
    </row>
    <row r="1290" spans="1:10" x14ac:dyDescent="0.45">
      <c r="A1290" s="2" t="str">
        <f t="shared" si="20"/>
        <v>太陽スポーツクラブ大分西_17</v>
      </c>
      <c r="B1290" s="1" t="s">
        <v>3351</v>
      </c>
      <c r="C1290" s="1" t="str">
        <f>("17")</f>
        <v>17</v>
      </c>
      <c r="D1290" s="1" t="s">
        <v>209</v>
      </c>
      <c r="E1290" s="1" t="s">
        <v>6794</v>
      </c>
      <c r="F1290" s="1" t="s">
        <v>6795</v>
      </c>
      <c r="G1290" s="1">
        <v>6</v>
      </c>
      <c r="H1290" s="1" t="s">
        <v>229</v>
      </c>
      <c r="I1290" s="1" t="str">
        <f>("1106300198")</f>
        <v>1106300198</v>
      </c>
    </row>
    <row r="1291" spans="1:10" x14ac:dyDescent="0.45">
      <c r="A1291" s="2" t="str">
        <f t="shared" si="20"/>
        <v>太陽スポーツクラブ大分西_18</v>
      </c>
      <c r="B1291" s="1" t="s">
        <v>3351</v>
      </c>
      <c r="C1291" s="1" t="str">
        <f>("18")</f>
        <v>18</v>
      </c>
      <c r="D1291" s="1" t="s">
        <v>208</v>
      </c>
      <c r="E1291" s="1" t="s">
        <v>9746</v>
      </c>
      <c r="F1291" s="1" t="s">
        <v>9747</v>
      </c>
      <c r="G1291" s="1">
        <v>5</v>
      </c>
      <c r="H1291" s="1" t="s">
        <v>229</v>
      </c>
      <c r="I1291" s="1" t="str">
        <f>("1207260075")</f>
        <v>1207260075</v>
      </c>
    </row>
    <row r="1292" spans="1:10" x14ac:dyDescent="0.45">
      <c r="A1292" s="2" t="str">
        <f t="shared" si="20"/>
        <v>太陽スポーツクラブ大分西_20</v>
      </c>
      <c r="B1292" s="1" t="s">
        <v>3351</v>
      </c>
      <c r="C1292" s="1" t="str">
        <f>("20")</f>
        <v>20</v>
      </c>
      <c r="D1292" s="1" t="s">
        <v>209</v>
      </c>
      <c r="E1292" s="1" t="s">
        <v>5019</v>
      </c>
      <c r="F1292" s="1" t="s">
        <v>5020</v>
      </c>
      <c r="G1292" s="1">
        <v>6</v>
      </c>
      <c r="H1292" s="1" t="s">
        <v>229</v>
      </c>
      <c r="I1292" s="1" t="str">
        <f>("1112150060")</f>
        <v>1112150060</v>
      </c>
    </row>
    <row r="1293" spans="1:10" x14ac:dyDescent="0.45">
      <c r="A1293" s="2" t="str">
        <f t="shared" si="20"/>
        <v>太陽スポーツクラブ大分西_22</v>
      </c>
      <c r="B1293" s="1" t="s">
        <v>3351</v>
      </c>
      <c r="C1293" s="1" t="str">
        <f>("22")</f>
        <v>22</v>
      </c>
      <c r="D1293" s="1" t="s">
        <v>209</v>
      </c>
      <c r="E1293" s="1" t="s">
        <v>9748</v>
      </c>
      <c r="F1293" s="1" t="s">
        <v>9749</v>
      </c>
      <c r="G1293" s="1">
        <v>4</v>
      </c>
      <c r="H1293" s="1" t="s">
        <v>229</v>
      </c>
      <c r="I1293" s="1" t="str">
        <f>("1308090035")</f>
        <v>1308090035</v>
      </c>
    </row>
    <row r="1294" spans="1:10" x14ac:dyDescent="0.45">
      <c r="A1294" s="2" t="str">
        <f t="shared" si="20"/>
        <v>横瀬西ＦＣ．ＲｏｓａＣｌａｒｏ_1</v>
      </c>
      <c r="B1294" s="1" t="s">
        <v>3978</v>
      </c>
      <c r="C1294" s="1" t="str">
        <f>("1")</f>
        <v>1</v>
      </c>
      <c r="D1294" s="1" t="s">
        <v>207</v>
      </c>
      <c r="E1294" s="1" t="s">
        <v>5701</v>
      </c>
      <c r="F1294" s="1" t="s">
        <v>5702</v>
      </c>
      <c r="G1294" s="1">
        <v>6</v>
      </c>
      <c r="H1294" s="1" t="s">
        <v>229</v>
      </c>
      <c r="I1294" s="1" t="str">
        <f>("1112110017")</f>
        <v>1112110017</v>
      </c>
    </row>
    <row r="1295" spans="1:10" x14ac:dyDescent="0.45">
      <c r="A1295" s="2" t="str">
        <f t="shared" si="20"/>
        <v>横瀬西ＦＣ．ＲｏｓａＣｌａｒｏ_2</v>
      </c>
      <c r="B1295" s="1" t="s">
        <v>3978</v>
      </c>
      <c r="C1295" s="1" t="str">
        <f>("2")</f>
        <v>2</v>
      </c>
      <c r="D1295" s="1" t="s">
        <v>208</v>
      </c>
      <c r="E1295" s="1" t="s">
        <v>6808</v>
      </c>
      <c r="F1295" s="1" t="s">
        <v>6809</v>
      </c>
      <c r="G1295" s="1">
        <v>3</v>
      </c>
      <c r="H1295" s="1" t="s">
        <v>231</v>
      </c>
      <c r="I1295" s="1" t="str">
        <f>("1305150020")</f>
        <v>1305150020</v>
      </c>
    </row>
    <row r="1296" spans="1:10" x14ac:dyDescent="0.45">
      <c r="A1296" s="2" t="str">
        <f t="shared" si="20"/>
        <v>横瀬西ＦＣ．ＲｏｓａＣｌａｒｏ_3</v>
      </c>
      <c r="B1296" s="1" t="s">
        <v>3978</v>
      </c>
      <c r="C1296" s="1" t="str">
        <f>("3")</f>
        <v>3</v>
      </c>
      <c r="D1296" s="1" t="s">
        <v>209</v>
      </c>
      <c r="E1296" s="1" t="s">
        <v>9750</v>
      </c>
      <c r="F1296" s="1" t="s">
        <v>9751</v>
      </c>
      <c r="G1296" s="1">
        <v>4</v>
      </c>
      <c r="H1296" s="1" t="s">
        <v>229</v>
      </c>
      <c r="I1296" s="1" t="str">
        <f>("1401100007")</f>
        <v>1401100007</v>
      </c>
    </row>
    <row r="1297" spans="1:10" x14ac:dyDescent="0.45">
      <c r="A1297" s="2" t="str">
        <f t="shared" si="20"/>
        <v>横瀬西ＦＣ．ＲｏｓａＣｌａｒｏ_4</v>
      </c>
      <c r="B1297" s="1" t="s">
        <v>3978</v>
      </c>
      <c r="C1297" s="1" t="str">
        <f>("4")</f>
        <v>4</v>
      </c>
      <c r="D1297" s="1" t="s">
        <v>208</v>
      </c>
      <c r="E1297" s="1" t="s">
        <v>6802</v>
      </c>
      <c r="F1297" s="1" t="s">
        <v>6803</v>
      </c>
      <c r="G1297" s="1">
        <v>5</v>
      </c>
      <c r="H1297" s="1" t="s">
        <v>231</v>
      </c>
      <c r="I1297" s="1" t="str">
        <f>("1210030176")</f>
        <v>1210030176</v>
      </c>
    </row>
    <row r="1298" spans="1:10" x14ac:dyDescent="0.45">
      <c r="A1298" s="2" t="str">
        <f t="shared" si="20"/>
        <v>横瀬西ＦＣ．ＲｏｓａＣｌａｒｏ_5</v>
      </c>
      <c r="B1298" s="1" t="s">
        <v>3978</v>
      </c>
      <c r="C1298" s="1" t="str">
        <f>("5")</f>
        <v>5</v>
      </c>
      <c r="D1298" s="1" t="s">
        <v>210</v>
      </c>
      <c r="E1298" s="1" t="s">
        <v>9752</v>
      </c>
      <c r="F1298" s="1" t="s">
        <v>9753</v>
      </c>
      <c r="G1298" s="1">
        <v>6</v>
      </c>
      <c r="H1298" s="1" t="s">
        <v>231</v>
      </c>
      <c r="I1298" s="1" t="str">
        <f>("1201180112")</f>
        <v>1201180112</v>
      </c>
    </row>
    <row r="1299" spans="1:10" x14ac:dyDescent="0.45">
      <c r="A1299" s="2" t="str">
        <f t="shared" si="20"/>
        <v>横瀬西ＦＣ．ＲｏｓａＣｌａｒｏ_6</v>
      </c>
      <c r="B1299" s="1" t="s">
        <v>3978</v>
      </c>
      <c r="C1299" s="1" t="str">
        <f>("6")</f>
        <v>6</v>
      </c>
      <c r="D1299" s="1" t="s">
        <v>207</v>
      </c>
      <c r="E1299" s="1" t="s">
        <v>6806</v>
      </c>
      <c r="F1299" s="1" t="s">
        <v>6807</v>
      </c>
      <c r="G1299" s="1">
        <v>3</v>
      </c>
      <c r="H1299" s="1" t="s">
        <v>229</v>
      </c>
      <c r="I1299" s="1" t="str">
        <f>("1309130017")</f>
        <v>1309130017</v>
      </c>
    </row>
    <row r="1300" spans="1:10" x14ac:dyDescent="0.45">
      <c r="A1300" s="2" t="str">
        <f t="shared" si="20"/>
        <v>横瀬西ＦＣ．ＲｏｓａＣｌａｒｏ_7</v>
      </c>
      <c r="B1300" s="1" t="s">
        <v>3978</v>
      </c>
      <c r="C1300" s="1" t="str">
        <f>("7")</f>
        <v>7</v>
      </c>
      <c r="D1300" s="1" t="s">
        <v>208</v>
      </c>
      <c r="E1300" s="1" t="s">
        <v>5716</v>
      </c>
      <c r="F1300" s="1" t="s">
        <v>5717</v>
      </c>
      <c r="G1300" s="1">
        <v>6</v>
      </c>
      <c r="H1300" s="1" t="s">
        <v>229</v>
      </c>
      <c r="I1300" s="1" t="str">
        <f>("1107070119")</f>
        <v>1107070119</v>
      </c>
    </row>
    <row r="1301" spans="1:10" x14ac:dyDescent="0.45">
      <c r="A1301" s="2" t="str">
        <f t="shared" si="20"/>
        <v>横瀬西ＦＣ．ＲｏｓａＣｌａｒｏ_8</v>
      </c>
      <c r="B1301" s="1" t="s">
        <v>3978</v>
      </c>
      <c r="C1301" s="1" t="str">
        <f>("8")</f>
        <v>8</v>
      </c>
      <c r="D1301" s="1" t="s">
        <v>209</v>
      </c>
      <c r="E1301" s="1" t="s">
        <v>5718</v>
      </c>
      <c r="F1301" s="1" t="s">
        <v>5719</v>
      </c>
      <c r="G1301" s="1">
        <v>6</v>
      </c>
      <c r="H1301" s="1" t="s">
        <v>229</v>
      </c>
      <c r="I1301" s="1" t="str">
        <f>("1202020158")</f>
        <v>1202020158</v>
      </c>
    </row>
    <row r="1302" spans="1:10" x14ac:dyDescent="0.45">
      <c r="A1302" s="2" t="str">
        <f t="shared" si="20"/>
        <v>横瀬西ＦＣ．ＲｏｓａＣｌａｒｏ_9</v>
      </c>
      <c r="B1302" s="1" t="s">
        <v>3978</v>
      </c>
      <c r="C1302" s="1" t="str">
        <f>("9")</f>
        <v>9</v>
      </c>
      <c r="D1302" s="1" t="s">
        <v>209</v>
      </c>
      <c r="E1302" s="1" t="s">
        <v>5705</v>
      </c>
      <c r="F1302" s="1" t="s">
        <v>5706</v>
      </c>
      <c r="G1302" s="1">
        <v>5</v>
      </c>
      <c r="H1302" s="1" t="s">
        <v>231</v>
      </c>
      <c r="I1302" s="1" t="str">
        <f>("1208080008")</f>
        <v>1208080008</v>
      </c>
    </row>
    <row r="1303" spans="1:10" x14ac:dyDescent="0.45">
      <c r="A1303" s="2" t="str">
        <f t="shared" si="20"/>
        <v>横瀬西ＦＣ．ＲｏｓａＣｌａｒｏ_10</v>
      </c>
      <c r="B1303" s="1" t="s">
        <v>3978</v>
      </c>
      <c r="C1303" s="1" t="str">
        <f>("10")</f>
        <v>10</v>
      </c>
      <c r="D1303" s="1" t="s">
        <v>209</v>
      </c>
      <c r="E1303" s="1" t="s">
        <v>5707</v>
      </c>
      <c r="F1303" s="1" t="s">
        <v>5708</v>
      </c>
      <c r="G1303" s="1">
        <v>6</v>
      </c>
      <c r="H1303" s="1" t="s">
        <v>231</v>
      </c>
      <c r="I1303" s="1" t="str">
        <f>("1112260042")</f>
        <v>1112260042</v>
      </c>
      <c r="J1303" s="1" t="s">
        <v>1858</v>
      </c>
    </row>
    <row r="1304" spans="1:10" x14ac:dyDescent="0.45">
      <c r="A1304" s="2" t="str">
        <f t="shared" si="20"/>
        <v>横瀬西ＦＣ．ＲｏｓａＣｌａｒｏ_11</v>
      </c>
      <c r="B1304" s="1" t="s">
        <v>3978</v>
      </c>
      <c r="C1304" s="1" t="str">
        <f>("11")</f>
        <v>11</v>
      </c>
      <c r="D1304" s="1" t="s">
        <v>210</v>
      </c>
      <c r="E1304" s="1" t="s">
        <v>6804</v>
      </c>
      <c r="F1304" s="1" t="s">
        <v>6805</v>
      </c>
      <c r="G1304" s="1">
        <v>3</v>
      </c>
      <c r="H1304" s="1" t="s">
        <v>229</v>
      </c>
      <c r="I1304" s="1" t="str">
        <f>("1310100022")</f>
        <v>1310100022</v>
      </c>
    </row>
    <row r="1305" spans="1:10" x14ac:dyDescent="0.45">
      <c r="A1305" s="2" t="str">
        <f t="shared" si="20"/>
        <v>横瀬西ＦＣ．ＲｏｓａＣｌａｒｏ_12</v>
      </c>
      <c r="B1305" s="1" t="s">
        <v>3978</v>
      </c>
      <c r="C1305" s="1" t="str">
        <f>("12")</f>
        <v>12</v>
      </c>
      <c r="D1305" s="1" t="s">
        <v>209</v>
      </c>
      <c r="E1305" s="1" t="s">
        <v>9754</v>
      </c>
      <c r="F1305" s="1" t="s">
        <v>9755</v>
      </c>
      <c r="G1305" s="1">
        <v>4</v>
      </c>
      <c r="H1305" s="1" t="s">
        <v>229</v>
      </c>
      <c r="I1305" s="1" t="str">
        <f>("1305100108")</f>
        <v>1305100108</v>
      </c>
    </row>
    <row r="1306" spans="1:10" x14ac:dyDescent="0.45">
      <c r="A1306" s="2" t="str">
        <f t="shared" si="20"/>
        <v>横瀬西ＦＣ．ＲｏｓａＣｌａｒｏ_13</v>
      </c>
      <c r="B1306" s="1" t="s">
        <v>3978</v>
      </c>
      <c r="C1306" s="1" t="str">
        <f>("13")</f>
        <v>13</v>
      </c>
      <c r="D1306" s="1" t="s">
        <v>209</v>
      </c>
      <c r="E1306" s="1" t="s">
        <v>9756</v>
      </c>
      <c r="F1306" s="1" t="s">
        <v>9757</v>
      </c>
      <c r="G1306" s="1">
        <v>3</v>
      </c>
      <c r="H1306" s="1" t="s">
        <v>229</v>
      </c>
      <c r="I1306" s="1" t="str">
        <f>("1304230160")</f>
        <v>1304230160</v>
      </c>
    </row>
    <row r="1307" spans="1:10" x14ac:dyDescent="0.45">
      <c r="A1307" s="2" t="str">
        <f t="shared" si="20"/>
        <v>豊川サッカークラブ_1</v>
      </c>
      <c r="B1307" s="1" t="s">
        <v>9758</v>
      </c>
      <c r="C1307" s="1" t="str">
        <f>("1")</f>
        <v>1</v>
      </c>
      <c r="D1307" s="1" t="s">
        <v>207</v>
      </c>
      <c r="E1307" s="1" t="s">
        <v>9759</v>
      </c>
      <c r="F1307" s="1" t="s">
        <v>9760</v>
      </c>
      <c r="G1307" s="1">
        <v>4</v>
      </c>
      <c r="H1307" s="1" t="s">
        <v>229</v>
      </c>
      <c r="I1307" s="1" t="str">
        <f>("1308210080")</f>
        <v>1308210080</v>
      </c>
      <c r="J1307" s="1" t="s">
        <v>1858</v>
      </c>
    </row>
    <row r="1308" spans="1:10" x14ac:dyDescent="0.45">
      <c r="A1308" s="2" t="str">
        <f t="shared" si="20"/>
        <v>豊川サッカークラブ_2</v>
      </c>
      <c r="B1308" s="1" t="s">
        <v>9758</v>
      </c>
      <c r="C1308" s="1" t="str">
        <f>("2")</f>
        <v>2</v>
      </c>
      <c r="D1308" s="1" t="s">
        <v>208</v>
      </c>
      <c r="E1308" s="1" t="s">
        <v>9761</v>
      </c>
      <c r="F1308" s="1" t="s">
        <v>9762</v>
      </c>
      <c r="G1308" s="1">
        <v>5</v>
      </c>
      <c r="H1308" s="1" t="s">
        <v>229</v>
      </c>
      <c r="I1308" s="1" t="str">
        <f>("1207200219")</f>
        <v>1207200219</v>
      </c>
    </row>
    <row r="1309" spans="1:10" x14ac:dyDescent="0.45">
      <c r="A1309" s="2" t="str">
        <f t="shared" si="20"/>
        <v>豊川サッカークラブ_3</v>
      </c>
      <c r="B1309" s="1" t="s">
        <v>9758</v>
      </c>
      <c r="C1309" s="1" t="str">
        <f>("3")</f>
        <v>3</v>
      </c>
      <c r="D1309" s="1" t="s">
        <v>208</v>
      </c>
      <c r="E1309" s="1" t="s">
        <v>9763</v>
      </c>
      <c r="F1309" s="1" t="s">
        <v>9764</v>
      </c>
      <c r="G1309" s="1">
        <v>4</v>
      </c>
      <c r="H1309" s="1" t="s">
        <v>229</v>
      </c>
      <c r="I1309" s="1" t="str">
        <f>("1307170154")</f>
        <v>1307170154</v>
      </c>
    </row>
    <row r="1310" spans="1:10" x14ac:dyDescent="0.45">
      <c r="A1310" s="2" t="str">
        <f t="shared" si="20"/>
        <v>豊川サッカークラブ_4</v>
      </c>
      <c r="B1310" s="1" t="s">
        <v>9758</v>
      </c>
      <c r="C1310" s="1" t="str">
        <f>("4")</f>
        <v>4</v>
      </c>
      <c r="D1310" s="1" t="s">
        <v>208</v>
      </c>
      <c r="E1310" s="1" t="s">
        <v>9765</v>
      </c>
      <c r="F1310" s="1" t="s">
        <v>9766</v>
      </c>
      <c r="G1310" s="1">
        <v>4</v>
      </c>
      <c r="H1310" s="1" t="s">
        <v>229</v>
      </c>
      <c r="I1310" s="1" t="str">
        <f>("1310090137")</f>
        <v>1310090137</v>
      </c>
    </row>
    <row r="1311" spans="1:10" x14ac:dyDescent="0.45">
      <c r="A1311" s="2" t="str">
        <f t="shared" si="20"/>
        <v>豊川サッカークラブ_5</v>
      </c>
      <c r="B1311" s="1" t="s">
        <v>9758</v>
      </c>
      <c r="C1311" s="1" t="str">
        <f>("5")</f>
        <v>5</v>
      </c>
      <c r="D1311" s="1" t="s">
        <v>208</v>
      </c>
      <c r="E1311" s="1" t="s">
        <v>9767</v>
      </c>
      <c r="F1311" s="1" t="s">
        <v>9768</v>
      </c>
      <c r="G1311" s="1">
        <v>5</v>
      </c>
      <c r="H1311" s="1" t="s">
        <v>229</v>
      </c>
      <c r="I1311" s="1" t="str">
        <f>("1208300175")</f>
        <v>1208300175</v>
      </c>
    </row>
    <row r="1312" spans="1:10" x14ac:dyDescent="0.45">
      <c r="A1312" s="2" t="str">
        <f t="shared" si="20"/>
        <v>豊川サッカークラブ_6</v>
      </c>
      <c r="B1312" s="1" t="s">
        <v>9758</v>
      </c>
      <c r="C1312" s="1" t="str">
        <f>("6")</f>
        <v>6</v>
      </c>
      <c r="D1312" s="1" t="s">
        <v>208</v>
      </c>
      <c r="E1312" s="1" t="s">
        <v>9769</v>
      </c>
      <c r="F1312" s="1" t="s">
        <v>9770</v>
      </c>
      <c r="G1312" s="1">
        <v>3</v>
      </c>
      <c r="H1312" s="1" t="s">
        <v>229</v>
      </c>
      <c r="I1312" s="1" t="str">
        <f>("1409020063")</f>
        <v>1409020063</v>
      </c>
    </row>
    <row r="1313" spans="1:10" x14ac:dyDescent="0.45">
      <c r="A1313" s="2" t="str">
        <f t="shared" si="20"/>
        <v>豊川サッカークラブ_7</v>
      </c>
      <c r="B1313" s="1" t="s">
        <v>9758</v>
      </c>
      <c r="C1313" s="1" t="str">
        <f>("7")</f>
        <v>7</v>
      </c>
      <c r="D1313" s="1" t="s">
        <v>210</v>
      </c>
      <c r="E1313" s="1" t="s">
        <v>9771</v>
      </c>
      <c r="F1313" s="1" t="s">
        <v>9772</v>
      </c>
      <c r="G1313" s="1" t="s">
        <v>9773</v>
      </c>
      <c r="H1313" s="1" t="s">
        <v>229</v>
      </c>
      <c r="I1313" s="1" t="str">
        <f>("1710250001")</f>
        <v>1710250001</v>
      </c>
    </row>
    <row r="1314" spans="1:10" x14ac:dyDescent="0.45">
      <c r="A1314" s="2" t="str">
        <f t="shared" si="20"/>
        <v>豊川サッカークラブ_8</v>
      </c>
      <c r="B1314" s="1" t="s">
        <v>9758</v>
      </c>
      <c r="C1314" s="1" t="str">
        <f>("8")</f>
        <v>8</v>
      </c>
      <c r="D1314" s="1" t="s">
        <v>210</v>
      </c>
      <c r="E1314" s="1" t="s">
        <v>9774</v>
      </c>
      <c r="F1314" s="1" t="s">
        <v>9775</v>
      </c>
      <c r="G1314" s="1">
        <v>2</v>
      </c>
      <c r="H1314" s="1" t="s">
        <v>229</v>
      </c>
      <c r="I1314" s="1" t="str">
        <f>("1509260014")</f>
        <v>1509260014</v>
      </c>
    </row>
    <row r="1315" spans="1:10" x14ac:dyDescent="0.45">
      <c r="A1315" s="2" t="str">
        <f t="shared" si="20"/>
        <v>豊川サッカークラブ_9</v>
      </c>
      <c r="B1315" s="1" t="s">
        <v>9758</v>
      </c>
      <c r="C1315" s="1" t="str">
        <f>("9")</f>
        <v>9</v>
      </c>
      <c r="D1315" s="1" t="s">
        <v>209</v>
      </c>
      <c r="E1315" s="1" t="s">
        <v>9776</v>
      </c>
      <c r="F1315" s="1" t="s">
        <v>9777</v>
      </c>
      <c r="G1315" s="1">
        <v>5</v>
      </c>
      <c r="H1315" s="1" t="s">
        <v>231</v>
      </c>
      <c r="I1315" s="1" t="str">
        <f>("1208160164")</f>
        <v>1208160164</v>
      </c>
    </row>
    <row r="1316" spans="1:10" x14ac:dyDescent="0.45">
      <c r="A1316" s="2" t="str">
        <f t="shared" si="20"/>
        <v>豊川サッカークラブ_10</v>
      </c>
      <c r="B1316" s="1" t="s">
        <v>9758</v>
      </c>
      <c r="C1316" s="1" t="str">
        <f>("10")</f>
        <v>10</v>
      </c>
      <c r="D1316" s="1" t="s">
        <v>209</v>
      </c>
      <c r="E1316" s="1" t="s">
        <v>9778</v>
      </c>
      <c r="F1316" s="1" t="s">
        <v>9779</v>
      </c>
      <c r="G1316" s="1">
        <v>5</v>
      </c>
      <c r="H1316" s="1" t="s">
        <v>231</v>
      </c>
      <c r="I1316" s="1" t="str">
        <f>("1211100078")</f>
        <v>1211100078</v>
      </c>
    </row>
    <row r="1317" spans="1:10" x14ac:dyDescent="0.45">
      <c r="A1317" s="2" t="str">
        <f t="shared" si="20"/>
        <v>豊川サッカークラブ_11</v>
      </c>
      <c r="B1317" s="1" t="s">
        <v>9758</v>
      </c>
      <c r="C1317" s="1" t="str">
        <f>("11")</f>
        <v>11</v>
      </c>
      <c r="D1317" s="1" t="s">
        <v>208</v>
      </c>
      <c r="E1317" s="1" t="s">
        <v>9780</v>
      </c>
      <c r="F1317" s="1" t="s">
        <v>9781</v>
      </c>
      <c r="G1317" s="1">
        <v>2</v>
      </c>
      <c r="H1317" s="1" t="s">
        <v>229</v>
      </c>
      <c r="I1317" s="1" t="str">
        <f>("1603030013")</f>
        <v>1603030013</v>
      </c>
    </row>
    <row r="1318" spans="1:10" x14ac:dyDescent="0.45">
      <c r="A1318" s="2" t="str">
        <f t="shared" si="20"/>
        <v>豊川サッカークラブ_12</v>
      </c>
      <c r="B1318" s="1" t="s">
        <v>9758</v>
      </c>
      <c r="C1318" s="1" t="str">
        <f>("12")</f>
        <v>12</v>
      </c>
      <c r="D1318" s="1" t="s">
        <v>207</v>
      </c>
      <c r="E1318" s="1" t="s">
        <v>9782</v>
      </c>
      <c r="F1318" s="1" t="s">
        <v>9783</v>
      </c>
      <c r="G1318" s="1">
        <v>1</v>
      </c>
      <c r="H1318" s="1" t="s">
        <v>229</v>
      </c>
      <c r="I1318" s="1" t="str">
        <f>("1606070003")</f>
        <v>1606070003</v>
      </c>
    </row>
    <row r="1319" spans="1:10" x14ac:dyDescent="0.45">
      <c r="A1319" s="2" t="str">
        <f t="shared" si="20"/>
        <v>豊川サッカークラブ_13</v>
      </c>
      <c r="B1319" s="1" t="s">
        <v>9758</v>
      </c>
      <c r="C1319" s="1" t="str">
        <f>("13")</f>
        <v>13</v>
      </c>
      <c r="D1319" s="1" t="s">
        <v>210</v>
      </c>
      <c r="E1319" s="1" t="s">
        <v>9784</v>
      </c>
      <c r="F1319" s="1" t="s">
        <v>9785</v>
      </c>
      <c r="G1319" s="1">
        <v>2</v>
      </c>
      <c r="H1319" s="1" t="s">
        <v>231</v>
      </c>
      <c r="I1319" s="1" t="str">
        <f>("1601190001")</f>
        <v>1601190001</v>
      </c>
    </row>
    <row r="1320" spans="1:10" x14ac:dyDescent="0.45">
      <c r="A1320" s="2" t="str">
        <f t="shared" si="20"/>
        <v>リノスフットボールクラブ　Ｕ－１２_1</v>
      </c>
      <c r="B1320" s="1" t="s">
        <v>3253</v>
      </c>
      <c r="C1320" s="1" t="str">
        <f>("1")</f>
        <v>1</v>
      </c>
      <c r="D1320" s="1" t="s">
        <v>207</v>
      </c>
      <c r="E1320" s="1" t="s">
        <v>6739</v>
      </c>
      <c r="F1320" s="1" t="s">
        <v>6740</v>
      </c>
      <c r="G1320" s="1">
        <v>6</v>
      </c>
      <c r="H1320" s="1" t="s">
        <v>229</v>
      </c>
      <c r="I1320" s="1" t="str">
        <f>("1105260183")</f>
        <v>1105260183</v>
      </c>
    </row>
    <row r="1321" spans="1:10" x14ac:dyDescent="0.45">
      <c r="A1321" s="2" t="str">
        <f t="shared" si="20"/>
        <v>リノスフットボールクラブ　Ｕ－１２_11</v>
      </c>
      <c r="B1321" s="1" t="s">
        <v>3253</v>
      </c>
      <c r="C1321" s="1" t="str">
        <f>("11")</f>
        <v>11</v>
      </c>
      <c r="D1321" s="1" t="s">
        <v>210</v>
      </c>
      <c r="E1321" s="1" t="s">
        <v>6815</v>
      </c>
      <c r="F1321" s="1" t="s">
        <v>6816</v>
      </c>
      <c r="G1321" s="1">
        <v>6</v>
      </c>
      <c r="H1321" s="1" t="s">
        <v>229</v>
      </c>
      <c r="I1321" s="1" t="str">
        <f>("1107200099")</f>
        <v>1107200099</v>
      </c>
    </row>
    <row r="1322" spans="1:10" x14ac:dyDescent="0.45">
      <c r="A1322" s="2" t="str">
        <f t="shared" si="20"/>
        <v>リノスフットボールクラブ　Ｕ－１２_20</v>
      </c>
      <c r="B1322" s="1" t="s">
        <v>3253</v>
      </c>
      <c r="C1322" s="1" t="str">
        <f>("20")</f>
        <v>20</v>
      </c>
      <c r="D1322" s="1" t="s">
        <v>209</v>
      </c>
      <c r="E1322" s="1" t="s">
        <v>6817</v>
      </c>
      <c r="F1322" s="1" t="s">
        <v>6818</v>
      </c>
      <c r="G1322" s="1">
        <v>5</v>
      </c>
      <c r="H1322" s="1" t="s">
        <v>229</v>
      </c>
      <c r="I1322" s="1" t="str">
        <f>("1207010033")</f>
        <v>1207010033</v>
      </c>
    </row>
    <row r="1323" spans="1:10" x14ac:dyDescent="0.45">
      <c r="A1323" s="2" t="str">
        <f t="shared" si="20"/>
        <v>リノスフットボールクラブ　Ｕ－１２_25</v>
      </c>
      <c r="B1323" s="1" t="s">
        <v>3253</v>
      </c>
      <c r="C1323" s="1" t="str">
        <f>("25")</f>
        <v>25</v>
      </c>
      <c r="D1323" s="1" t="s">
        <v>208</v>
      </c>
      <c r="E1323" s="1" t="s">
        <v>5736</v>
      </c>
      <c r="F1323" s="1" t="s">
        <v>5737</v>
      </c>
      <c r="G1323" s="1">
        <v>6</v>
      </c>
      <c r="H1323" s="1" t="s">
        <v>229</v>
      </c>
      <c r="I1323" s="1" t="str">
        <f>("1110110145")</f>
        <v>1110110145</v>
      </c>
      <c r="J1323" s="1" t="s">
        <v>1858</v>
      </c>
    </row>
    <row r="1324" spans="1:10" x14ac:dyDescent="0.45">
      <c r="A1324" s="2" t="str">
        <f t="shared" si="20"/>
        <v>リノスフットボールクラブ　Ｕ－１２_26</v>
      </c>
      <c r="B1324" s="1" t="s">
        <v>3253</v>
      </c>
      <c r="C1324" s="1" t="str">
        <f>("26")</f>
        <v>26</v>
      </c>
      <c r="D1324" s="1" t="s">
        <v>210</v>
      </c>
      <c r="E1324" s="1" t="s">
        <v>5732</v>
      </c>
      <c r="F1324" s="1" t="s">
        <v>5733</v>
      </c>
      <c r="G1324" s="1">
        <v>6</v>
      </c>
      <c r="H1324" s="1" t="s">
        <v>229</v>
      </c>
      <c r="I1324" s="1" t="str">
        <f>("1108280129")</f>
        <v>1108280129</v>
      </c>
    </row>
    <row r="1325" spans="1:10" x14ac:dyDescent="0.45">
      <c r="A1325" s="2" t="str">
        <f t="shared" si="20"/>
        <v>リノスフットボールクラブ　Ｕ－１２_36</v>
      </c>
      <c r="B1325" s="1" t="s">
        <v>3253</v>
      </c>
      <c r="C1325" s="1" t="str">
        <f>("36")</f>
        <v>36</v>
      </c>
      <c r="D1325" s="1" t="s">
        <v>210</v>
      </c>
      <c r="E1325" s="1" t="s">
        <v>9786</v>
      </c>
      <c r="F1325" s="1" t="s">
        <v>9787</v>
      </c>
      <c r="G1325" s="1">
        <v>5</v>
      </c>
      <c r="H1325" s="1" t="s">
        <v>229</v>
      </c>
      <c r="I1325" s="1" t="str">
        <f>("1210210111")</f>
        <v>1210210111</v>
      </c>
    </row>
    <row r="1326" spans="1:10" x14ac:dyDescent="0.45">
      <c r="A1326" s="2" t="str">
        <f t="shared" si="20"/>
        <v>リノスフットボールクラブ　Ｕ－１２_40</v>
      </c>
      <c r="B1326" s="1" t="s">
        <v>3253</v>
      </c>
      <c r="C1326" s="1" t="str">
        <f>("40")</f>
        <v>40</v>
      </c>
      <c r="D1326" s="1" t="s">
        <v>209</v>
      </c>
      <c r="E1326" s="1" t="s">
        <v>6819</v>
      </c>
      <c r="F1326" s="1" t="s">
        <v>6820</v>
      </c>
      <c r="G1326" s="1">
        <v>6</v>
      </c>
      <c r="H1326" s="1" t="s">
        <v>229</v>
      </c>
      <c r="I1326" s="1" t="str">
        <f>("1111220099")</f>
        <v>1111220099</v>
      </c>
    </row>
    <row r="1327" spans="1:10" x14ac:dyDescent="0.45">
      <c r="A1327" s="2" t="str">
        <f t="shared" si="20"/>
        <v>リノスフットボールクラブ　Ｕ－１２_41</v>
      </c>
      <c r="B1327" s="1" t="s">
        <v>3253</v>
      </c>
      <c r="C1327" s="1" t="str">
        <f>("41")</f>
        <v>41</v>
      </c>
      <c r="D1327" s="1" t="s">
        <v>208</v>
      </c>
      <c r="E1327" s="1" t="s">
        <v>9788</v>
      </c>
      <c r="F1327" s="1" t="s">
        <v>9789</v>
      </c>
      <c r="G1327" s="1">
        <v>5</v>
      </c>
      <c r="H1327" s="1" t="s">
        <v>229</v>
      </c>
      <c r="I1327" s="1" t="str">
        <f>("1212060167")</f>
        <v>1212060167</v>
      </c>
    </row>
    <row r="1328" spans="1:10" x14ac:dyDescent="0.45">
      <c r="A1328" s="2" t="str">
        <f t="shared" si="20"/>
        <v>リノスフットボールクラブ　Ｕ－１２_45</v>
      </c>
      <c r="B1328" s="1" t="s">
        <v>3253</v>
      </c>
      <c r="C1328" s="1" t="str">
        <f>("45")</f>
        <v>45</v>
      </c>
      <c r="D1328" s="1" t="s">
        <v>208</v>
      </c>
      <c r="E1328" s="1" t="s">
        <v>9790</v>
      </c>
      <c r="F1328" s="1" t="s">
        <v>9791</v>
      </c>
      <c r="G1328" s="1">
        <v>6</v>
      </c>
      <c r="H1328" s="1" t="s">
        <v>229</v>
      </c>
      <c r="I1328" s="1" t="str">
        <f>("1105270153")</f>
        <v>1105270153</v>
      </c>
    </row>
    <row r="1329" spans="1:10" x14ac:dyDescent="0.45">
      <c r="A1329" s="2" t="str">
        <f t="shared" si="20"/>
        <v>リノスフットボールクラブ　Ｕ－１２_46</v>
      </c>
      <c r="B1329" s="1" t="s">
        <v>3253</v>
      </c>
      <c r="C1329" s="1" t="str">
        <f>("46")</f>
        <v>46</v>
      </c>
      <c r="D1329" s="1" t="s">
        <v>210</v>
      </c>
      <c r="E1329" s="1" t="s">
        <v>9792</v>
      </c>
      <c r="F1329" s="1" t="s">
        <v>9793</v>
      </c>
      <c r="G1329" s="1">
        <v>6</v>
      </c>
      <c r="H1329" s="1" t="s">
        <v>229</v>
      </c>
      <c r="I1329" s="1" t="str">
        <f>("1201050041")</f>
        <v>1201050041</v>
      </c>
    </row>
    <row r="1330" spans="1:10" x14ac:dyDescent="0.45">
      <c r="A1330" s="2" t="str">
        <f t="shared" si="20"/>
        <v>リノスフットボールクラブ　Ｕ－１２_48</v>
      </c>
      <c r="B1330" s="1" t="s">
        <v>3253</v>
      </c>
      <c r="C1330" s="1" t="str">
        <f>("48")</f>
        <v>48</v>
      </c>
      <c r="D1330" s="1" t="s">
        <v>209</v>
      </c>
      <c r="E1330" s="1" t="s">
        <v>6821</v>
      </c>
      <c r="F1330" s="1" t="s">
        <v>6822</v>
      </c>
      <c r="G1330" s="1">
        <v>6</v>
      </c>
      <c r="H1330" s="1" t="s">
        <v>229</v>
      </c>
      <c r="I1330" s="1" t="str">
        <f>("1104050121")</f>
        <v>1104050121</v>
      </c>
    </row>
    <row r="1331" spans="1:10" x14ac:dyDescent="0.45">
      <c r="A1331" s="2" t="str">
        <f t="shared" si="20"/>
        <v>リノスフットボールクラブ　Ｕ－１２_52</v>
      </c>
      <c r="B1331" s="1" t="s">
        <v>3253</v>
      </c>
      <c r="C1331" s="1" t="str">
        <f>("52")</f>
        <v>52</v>
      </c>
      <c r="D1331" s="1" t="s">
        <v>208</v>
      </c>
      <c r="E1331" s="1" t="s">
        <v>6823</v>
      </c>
      <c r="F1331" s="1" t="s">
        <v>6824</v>
      </c>
      <c r="G1331" s="1">
        <v>5</v>
      </c>
      <c r="H1331" s="1" t="s">
        <v>229</v>
      </c>
      <c r="I1331" s="1" t="str">
        <f>("1205060043")</f>
        <v>1205060043</v>
      </c>
    </row>
    <row r="1332" spans="1:10" x14ac:dyDescent="0.45">
      <c r="A1332" s="2" t="str">
        <f t="shared" si="20"/>
        <v>リノスフットボールクラブ　Ｕ－１２_53</v>
      </c>
      <c r="B1332" s="1" t="s">
        <v>3253</v>
      </c>
      <c r="C1332" s="1" t="str">
        <f>("53")</f>
        <v>53</v>
      </c>
      <c r="D1332" s="1" t="s">
        <v>208</v>
      </c>
      <c r="E1332" s="1" t="s">
        <v>6724</v>
      </c>
      <c r="F1332" s="1" t="s">
        <v>5634</v>
      </c>
      <c r="G1332" s="1">
        <v>6</v>
      </c>
      <c r="H1332" s="1" t="s">
        <v>229</v>
      </c>
      <c r="I1332" s="1" t="str">
        <f>("1112210086")</f>
        <v>1112210086</v>
      </c>
    </row>
    <row r="1333" spans="1:10" x14ac:dyDescent="0.45">
      <c r="A1333" s="2" t="str">
        <f t="shared" si="20"/>
        <v>リノスフットボールクラブ　Ｕ－１２_56</v>
      </c>
      <c r="B1333" s="1" t="s">
        <v>3253</v>
      </c>
      <c r="C1333" s="1" t="str">
        <f>("56")</f>
        <v>56</v>
      </c>
      <c r="D1333" s="1" t="s">
        <v>208</v>
      </c>
      <c r="E1333" s="1" t="s">
        <v>9794</v>
      </c>
      <c r="F1333" s="1" t="s">
        <v>9795</v>
      </c>
      <c r="G1333" s="1">
        <v>5</v>
      </c>
      <c r="H1333" s="1" t="s">
        <v>229</v>
      </c>
      <c r="I1333" s="1" t="str">
        <f>("1212290148")</f>
        <v>1212290148</v>
      </c>
    </row>
    <row r="1334" spans="1:10" x14ac:dyDescent="0.45">
      <c r="A1334" s="2" t="str">
        <f t="shared" si="20"/>
        <v>朝日ＦＣ_1</v>
      </c>
      <c r="B1334" s="1" t="s">
        <v>5015</v>
      </c>
      <c r="C1334" s="1" t="str">
        <f>("1")</f>
        <v>1</v>
      </c>
      <c r="D1334" s="1" t="s">
        <v>207</v>
      </c>
      <c r="E1334" s="1" t="s">
        <v>9796</v>
      </c>
      <c r="F1334" s="1" t="s">
        <v>9797</v>
      </c>
      <c r="G1334" s="1">
        <v>5</v>
      </c>
      <c r="H1334" s="1" t="s">
        <v>229</v>
      </c>
      <c r="I1334" s="1" t="str">
        <f>("1210110150")</f>
        <v>1210110150</v>
      </c>
    </row>
    <row r="1335" spans="1:10" x14ac:dyDescent="0.45">
      <c r="A1335" s="2" t="str">
        <f t="shared" si="20"/>
        <v>朝日ＦＣ_2</v>
      </c>
      <c r="B1335" s="1" t="s">
        <v>5015</v>
      </c>
      <c r="C1335" s="1" t="str">
        <f>("2")</f>
        <v>2</v>
      </c>
      <c r="D1335" s="1" t="s">
        <v>208</v>
      </c>
      <c r="E1335" s="1" t="s">
        <v>9798</v>
      </c>
      <c r="F1335" s="1" t="s">
        <v>9799</v>
      </c>
      <c r="G1335" s="1">
        <v>5</v>
      </c>
      <c r="H1335" s="1" t="s">
        <v>229</v>
      </c>
      <c r="I1335" s="1" t="str">
        <f>("1205080161")</f>
        <v>1205080161</v>
      </c>
    </row>
    <row r="1336" spans="1:10" x14ac:dyDescent="0.45">
      <c r="A1336" s="2" t="str">
        <f t="shared" si="20"/>
        <v>朝日ＦＣ_3</v>
      </c>
      <c r="B1336" s="1" t="s">
        <v>5015</v>
      </c>
      <c r="C1336" s="1" t="str">
        <f>("3")</f>
        <v>3</v>
      </c>
      <c r="D1336" s="1" t="s">
        <v>208</v>
      </c>
      <c r="E1336" s="1" t="s">
        <v>6827</v>
      </c>
      <c r="F1336" s="1" t="s">
        <v>6828</v>
      </c>
      <c r="G1336" s="1">
        <v>6</v>
      </c>
      <c r="H1336" s="1" t="s">
        <v>229</v>
      </c>
      <c r="I1336" s="1" t="str">
        <f>("1106200111")</f>
        <v>1106200111</v>
      </c>
    </row>
    <row r="1337" spans="1:10" x14ac:dyDescent="0.45">
      <c r="A1337" s="2" t="str">
        <f t="shared" si="20"/>
        <v>朝日ＦＣ_4</v>
      </c>
      <c r="B1337" s="1" t="s">
        <v>5015</v>
      </c>
      <c r="C1337" s="1" t="str">
        <f>("4")</f>
        <v>4</v>
      </c>
      <c r="D1337" s="1" t="s">
        <v>209</v>
      </c>
      <c r="E1337" s="1" t="s">
        <v>9800</v>
      </c>
      <c r="F1337" s="1" t="s">
        <v>9801</v>
      </c>
      <c r="G1337" s="1">
        <v>4</v>
      </c>
      <c r="H1337" s="1" t="s">
        <v>231</v>
      </c>
      <c r="I1337" s="1" t="str">
        <f>("1310290151")</f>
        <v>1310290151</v>
      </c>
    </row>
    <row r="1338" spans="1:10" x14ac:dyDescent="0.45">
      <c r="A1338" s="2" t="str">
        <f t="shared" si="20"/>
        <v>朝日ＦＣ_5</v>
      </c>
      <c r="B1338" s="1" t="s">
        <v>5015</v>
      </c>
      <c r="C1338" s="1" t="str">
        <f>("5")</f>
        <v>5</v>
      </c>
      <c r="D1338" s="1" t="s">
        <v>209</v>
      </c>
      <c r="E1338" s="1" t="s">
        <v>9802</v>
      </c>
      <c r="F1338" s="1" t="s">
        <v>9803</v>
      </c>
      <c r="G1338" s="1">
        <v>5</v>
      </c>
      <c r="H1338" s="1" t="s">
        <v>229</v>
      </c>
      <c r="I1338" s="1" t="str">
        <f>("1301310113")</f>
        <v>1301310113</v>
      </c>
    </row>
    <row r="1339" spans="1:10" x14ac:dyDescent="0.45">
      <c r="A1339" s="2" t="str">
        <f t="shared" si="20"/>
        <v>朝日ＦＣ_6</v>
      </c>
      <c r="B1339" s="1" t="s">
        <v>5015</v>
      </c>
      <c r="C1339" s="1" t="str">
        <f>("6")</f>
        <v>6</v>
      </c>
      <c r="D1339" s="1" t="s">
        <v>209</v>
      </c>
      <c r="E1339" s="1" t="s">
        <v>6831</v>
      </c>
      <c r="F1339" s="1" t="s">
        <v>6832</v>
      </c>
      <c r="G1339" s="1">
        <v>6</v>
      </c>
      <c r="H1339" s="1" t="s">
        <v>231</v>
      </c>
      <c r="I1339" s="1" t="str">
        <f>("1109080133")</f>
        <v>1109080133</v>
      </c>
    </row>
    <row r="1340" spans="1:10" x14ac:dyDescent="0.45">
      <c r="A1340" s="2" t="str">
        <f t="shared" si="20"/>
        <v>朝日ＦＣ_7</v>
      </c>
      <c r="B1340" s="1" t="s">
        <v>5015</v>
      </c>
      <c r="C1340" s="1" t="str">
        <f>("7")</f>
        <v>7</v>
      </c>
      <c r="D1340" s="1" t="s">
        <v>208</v>
      </c>
      <c r="E1340" s="1" t="s">
        <v>6829</v>
      </c>
      <c r="F1340" s="1" t="s">
        <v>6830</v>
      </c>
      <c r="G1340" s="1">
        <v>6</v>
      </c>
      <c r="H1340" s="1" t="s">
        <v>229</v>
      </c>
      <c r="I1340" s="1" t="str">
        <f>("1202110074")</f>
        <v>1202110074</v>
      </c>
    </row>
    <row r="1341" spans="1:10" x14ac:dyDescent="0.45">
      <c r="A1341" s="2" t="str">
        <f t="shared" si="20"/>
        <v>朝日ＦＣ_8</v>
      </c>
      <c r="B1341" s="1" t="s">
        <v>5015</v>
      </c>
      <c r="C1341" s="1" t="str">
        <f>("8")</f>
        <v>8</v>
      </c>
      <c r="D1341" s="1" t="s">
        <v>209</v>
      </c>
      <c r="E1341" s="1" t="s">
        <v>6835</v>
      </c>
      <c r="F1341" s="1" t="s">
        <v>6836</v>
      </c>
      <c r="G1341" s="1">
        <v>5</v>
      </c>
      <c r="H1341" s="1" t="s">
        <v>229</v>
      </c>
      <c r="I1341" s="1" t="str">
        <f>("1211020056")</f>
        <v>1211020056</v>
      </c>
    </row>
    <row r="1342" spans="1:10" x14ac:dyDescent="0.45">
      <c r="A1342" s="2" t="str">
        <f t="shared" si="20"/>
        <v>朝日ＦＣ_9</v>
      </c>
      <c r="B1342" s="1" t="s">
        <v>5015</v>
      </c>
      <c r="C1342" s="1" t="str">
        <f>("9")</f>
        <v>9</v>
      </c>
      <c r="D1342" s="1" t="s">
        <v>208</v>
      </c>
      <c r="E1342" s="1" t="s">
        <v>5742</v>
      </c>
      <c r="F1342" s="1" t="s">
        <v>5743</v>
      </c>
      <c r="G1342" s="1">
        <v>6</v>
      </c>
      <c r="H1342" s="1" t="s">
        <v>229</v>
      </c>
      <c r="I1342" s="1" t="str">
        <f>("1109230109")</f>
        <v>1109230109</v>
      </c>
      <c r="J1342" s="1" t="s">
        <v>1858</v>
      </c>
    </row>
    <row r="1343" spans="1:10" x14ac:dyDescent="0.45">
      <c r="A1343" s="2" t="str">
        <f t="shared" si="20"/>
        <v>朝日ＦＣ_10</v>
      </c>
      <c r="B1343" s="1" t="s">
        <v>5015</v>
      </c>
      <c r="C1343" s="1" t="str">
        <f>("10")</f>
        <v>10</v>
      </c>
      <c r="D1343" s="1" t="s">
        <v>210</v>
      </c>
      <c r="E1343" s="1" t="s">
        <v>6833</v>
      </c>
      <c r="F1343" s="1" t="s">
        <v>6834</v>
      </c>
      <c r="G1343" s="1">
        <v>5</v>
      </c>
      <c r="H1343" s="1" t="s">
        <v>229</v>
      </c>
      <c r="I1343" s="1" t="str">
        <f>("1206060078")</f>
        <v>1206060078</v>
      </c>
    </row>
    <row r="1344" spans="1:10" x14ac:dyDescent="0.45">
      <c r="A1344" s="2" t="str">
        <f t="shared" si="20"/>
        <v>朝日ＦＣ_11</v>
      </c>
      <c r="B1344" s="1" t="s">
        <v>5015</v>
      </c>
      <c r="C1344" s="1" t="str">
        <f>("11")</f>
        <v>11</v>
      </c>
      <c r="D1344" s="1" t="s">
        <v>209</v>
      </c>
      <c r="E1344" s="1" t="s">
        <v>9804</v>
      </c>
      <c r="F1344" s="1" t="s">
        <v>9805</v>
      </c>
      <c r="G1344" s="1">
        <v>5</v>
      </c>
      <c r="H1344" s="1" t="s">
        <v>229</v>
      </c>
      <c r="I1344" s="1" t="str">
        <f>("1207090128")</f>
        <v>1207090128</v>
      </c>
    </row>
    <row r="1345" spans="1:10" x14ac:dyDescent="0.45">
      <c r="A1345" s="2" t="str">
        <f t="shared" ref="A1345:A1408" si="21">CONCATENATE(B1345,"_",C1345)</f>
        <v>朝日ＦＣ_12</v>
      </c>
      <c r="B1345" s="1" t="s">
        <v>5015</v>
      </c>
      <c r="C1345" s="1" t="str">
        <f>("12")</f>
        <v>12</v>
      </c>
      <c r="D1345" s="1" t="s">
        <v>209</v>
      </c>
      <c r="E1345" s="1" t="s">
        <v>9806</v>
      </c>
      <c r="F1345" s="1" t="s">
        <v>9807</v>
      </c>
      <c r="G1345" s="1">
        <v>5</v>
      </c>
      <c r="H1345" s="1" t="s">
        <v>229</v>
      </c>
      <c r="I1345" s="1" t="str">
        <f>("1211080122")</f>
        <v>1211080122</v>
      </c>
    </row>
    <row r="1346" spans="1:10" x14ac:dyDescent="0.45">
      <c r="A1346" s="2" t="str">
        <f t="shared" si="21"/>
        <v>朝日ＦＣ_15</v>
      </c>
      <c r="B1346" s="1" t="s">
        <v>5015</v>
      </c>
      <c r="C1346" s="1" t="str">
        <f>("15")</f>
        <v>15</v>
      </c>
      <c r="D1346" s="1" t="s">
        <v>208</v>
      </c>
      <c r="E1346" s="1" t="s">
        <v>9808</v>
      </c>
      <c r="F1346" s="1" t="s">
        <v>9809</v>
      </c>
      <c r="G1346" s="1">
        <v>5</v>
      </c>
      <c r="H1346" s="1" t="s">
        <v>229</v>
      </c>
      <c r="I1346" s="1" t="str">
        <f>("1302180044")</f>
        <v>1302180044</v>
      </c>
    </row>
    <row r="1347" spans="1:10" x14ac:dyDescent="0.45">
      <c r="A1347" s="2" t="str">
        <f t="shared" si="21"/>
        <v>スマイス　セレソン　スポーツクラブＡ_1</v>
      </c>
      <c r="B1347" s="1" t="s">
        <v>8460</v>
      </c>
      <c r="C1347" s="1" t="str">
        <f>("1")</f>
        <v>1</v>
      </c>
      <c r="D1347" s="1" t="s">
        <v>207</v>
      </c>
      <c r="E1347" s="1" t="s">
        <v>9810</v>
      </c>
      <c r="F1347" s="1" t="s">
        <v>9811</v>
      </c>
      <c r="G1347" s="1">
        <v>6</v>
      </c>
      <c r="H1347" s="1" t="s">
        <v>229</v>
      </c>
      <c r="I1347" s="1" t="str">
        <f>("1202150051")</f>
        <v>1202150051</v>
      </c>
    </row>
    <row r="1348" spans="1:10" x14ac:dyDescent="0.45">
      <c r="A1348" s="2" t="str">
        <f t="shared" si="21"/>
        <v>スマイス　セレソン　スポーツクラブＡ_2</v>
      </c>
      <c r="B1348" s="1" t="s">
        <v>8460</v>
      </c>
      <c r="C1348" s="1" t="str">
        <f>("2")</f>
        <v>2</v>
      </c>
      <c r="D1348" s="1" t="s">
        <v>208</v>
      </c>
      <c r="E1348" s="1" t="s">
        <v>9812</v>
      </c>
      <c r="F1348" s="1" t="s">
        <v>9813</v>
      </c>
      <c r="G1348" s="1">
        <v>5</v>
      </c>
      <c r="H1348" s="1" t="s">
        <v>229</v>
      </c>
      <c r="I1348" s="1" t="str">
        <f>("1301170011")</f>
        <v>1301170011</v>
      </c>
    </row>
    <row r="1349" spans="1:10" x14ac:dyDescent="0.45">
      <c r="A1349" s="2" t="str">
        <f t="shared" si="21"/>
        <v>スマイス　セレソン　スポーツクラブＡ_3</v>
      </c>
      <c r="B1349" s="1" t="s">
        <v>8460</v>
      </c>
      <c r="C1349" s="1" t="str">
        <f>("3")</f>
        <v>3</v>
      </c>
      <c r="D1349" s="1" t="s">
        <v>208</v>
      </c>
      <c r="E1349" s="1" t="s">
        <v>9814</v>
      </c>
      <c r="F1349" s="1" t="s">
        <v>9815</v>
      </c>
      <c r="G1349" s="1">
        <v>6</v>
      </c>
      <c r="H1349" s="1" t="s">
        <v>229</v>
      </c>
      <c r="I1349" s="1" t="str">
        <f>("1110140103")</f>
        <v>1110140103</v>
      </c>
    </row>
    <row r="1350" spans="1:10" x14ac:dyDescent="0.45">
      <c r="A1350" s="2" t="str">
        <f t="shared" si="21"/>
        <v>スマイス　セレソン　スポーツクラブＡ_4</v>
      </c>
      <c r="B1350" s="1" t="s">
        <v>8460</v>
      </c>
      <c r="C1350" s="1" t="str">
        <f>("4")</f>
        <v>4</v>
      </c>
      <c r="D1350" s="1" t="s">
        <v>208</v>
      </c>
      <c r="E1350" s="1" t="s">
        <v>9816</v>
      </c>
      <c r="F1350" s="1" t="s">
        <v>9817</v>
      </c>
      <c r="G1350" s="1">
        <v>6</v>
      </c>
      <c r="H1350" s="1" t="s">
        <v>229</v>
      </c>
      <c r="I1350" s="1" t="str">
        <f>("1109160054")</f>
        <v>1109160054</v>
      </c>
    </row>
    <row r="1351" spans="1:10" x14ac:dyDescent="0.45">
      <c r="A1351" s="2" t="str">
        <f t="shared" si="21"/>
        <v>スマイス　セレソン　スポーツクラブＡ_5</v>
      </c>
      <c r="B1351" s="1" t="s">
        <v>8460</v>
      </c>
      <c r="C1351" s="1" t="str">
        <f>("5")</f>
        <v>5</v>
      </c>
      <c r="D1351" s="1" t="s">
        <v>209</v>
      </c>
      <c r="E1351" s="1" t="s">
        <v>9818</v>
      </c>
      <c r="F1351" s="1" t="s">
        <v>9819</v>
      </c>
      <c r="G1351" s="1">
        <v>5</v>
      </c>
      <c r="H1351" s="1" t="s">
        <v>229</v>
      </c>
      <c r="I1351" s="1" t="str">
        <f>("1303050043")</f>
        <v>1303050043</v>
      </c>
    </row>
    <row r="1352" spans="1:10" x14ac:dyDescent="0.45">
      <c r="A1352" s="2" t="str">
        <f t="shared" si="21"/>
        <v>スマイス　セレソン　スポーツクラブＡ_6</v>
      </c>
      <c r="B1352" s="1" t="s">
        <v>8460</v>
      </c>
      <c r="C1352" s="1" t="str">
        <f>("6")</f>
        <v>6</v>
      </c>
      <c r="D1352" s="1" t="s">
        <v>209</v>
      </c>
      <c r="E1352" s="1" t="s">
        <v>6460</v>
      </c>
      <c r="F1352" s="1" t="s">
        <v>6461</v>
      </c>
      <c r="G1352" s="1">
        <v>6</v>
      </c>
      <c r="H1352" s="1" t="s">
        <v>229</v>
      </c>
      <c r="I1352" s="1" t="str">
        <f>("1111270040")</f>
        <v>1111270040</v>
      </c>
    </row>
    <row r="1353" spans="1:10" x14ac:dyDescent="0.45">
      <c r="A1353" s="2" t="str">
        <f t="shared" si="21"/>
        <v>スマイス　セレソン　スポーツクラブＡ_7</v>
      </c>
      <c r="B1353" s="1" t="s">
        <v>8460</v>
      </c>
      <c r="C1353" s="1" t="str">
        <f>("7")</f>
        <v>7</v>
      </c>
      <c r="D1353" s="1" t="s">
        <v>208</v>
      </c>
      <c r="E1353" s="1" t="s">
        <v>9820</v>
      </c>
      <c r="F1353" s="1" t="s">
        <v>3557</v>
      </c>
      <c r="G1353" s="1">
        <v>6</v>
      </c>
      <c r="H1353" s="1" t="s">
        <v>229</v>
      </c>
      <c r="I1353" s="1" t="str">
        <f>("1108190014")</f>
        <v>1108190014</v>
      </c>
    </row>
    <row r="1354" spans="1:10" x14ac:dyDescent="0.45">
      <c r="A1354" s="2" t="str">
        <f t="shared" si="21"/>
        <v>スマイス　セレソン　スポーツクラブＡ_8</v>
      </c>
      <c r="B1354" s="1" t="s">
        <v>8460</v>
      </c>
      <c r="C1354" s="1" t="str">
        <f>("8")</f>
        <v>8</v>
      </c>
      <c r="D1354" s="1" t="s">
        <v>209</v>
      </c>
      <c r="E1354" s="1" t="s">
        <v>6812</v>
      </c>
      <c r="F1354" s="1" t="s">
        <v>5122</v>
      </c>
      <c r="G1354" s="1">
        <v>6</v>
      </c>
      <c r="H1354" s="1" t="s">
        <v>229</v>
      </c>
      <c r="I1354" s="1" t="str">
        <f>("1112190103")</f>
        <v>1112190103</v>
      </c>
    </row>
    <row r="1355" spans="1:10" x14ac:dyDescent="0.45">
      <c r="A1355" s="2" t="str">
        <f t="shared" si="21"/>
        <v>スマイス　セレソン　スポーツクラブＡ_9</v>
      </c>
      <c r="B1355" s="1" t="s">
        <v>8460</v>
      </c>
      <c r="C1355" s="1" t="str">
        <f>("9")</f>
        <v>9</v>
      </c>
      <c r="D1355" s="1" t="s">
        <v>209</v>
      </c>
      <c r="E1355" s="1" t="s">
        <v>9821</v>
      </c>
      <c r="F1355" s="1" t="s">
        <v>9822</v>
      </c>
      <c r="G1355" s="1">
        <v>6</v>
      </c>
      <c r="H1355" s="1" t="s">
        <v>229</v>
      </c>
      <c r="I1355" s="1" t="str">
        <f>("1108080054")</f>
        <v>1108080054</v>
      </c>
    </row>
    <row r="1356" spans="1:10" x14ac:dyDescent="0.45">
      <c r="A1356" s="2" t="str">
        <f t="shared" si="21"/>
        <v>スマイス　セレソン　スポーツクラブＡ_10</v>
      </c>
      <c r="B1356" s="1" t="s">
        <v>8460</v>
      </c>
      <c r="C1356" s="1" t="str">
        <f>("10")</f>
        <v>10</v>
      </c>
      <c r="D1356" s="1" t="s">
        <v>210</v>
      </c>
      <c r="E1356" s="1" t="s">
        <v>9823</v>
      </c>
      <c r="F1356" s="1" t="s">
        <v>9824</v>
      </c>
      <c r="G1356" s="1">
        <v>6</v>
      </c>
      <c r="H1356" s="1" t="s">
        <v>229</v>
      </c>
      <c r="I1356" s="1" t="str">
        <f>("1108130039")</f>
        <v>1108130039</v>
      </c>
      <c r="J1356" s="1" t="s">
        <v>1858</v>
      </c>
    </row>
    <row r="1357" spans="1:10" x14ac:dyDescent="0.45">
      <c r="A1357" s="2" t="str">
        <f t="shared" si="21"/>
        <v>スマイス　セレソン　スポーツクラブＡ_11</v>
      </c>
      <c r="B1357" s="1" t="s">
        <v>8460</v>
      </c>
      <c r="C1357" s="1" t="str">
        <f>("11")</f>
        <v>11</v>
      </c>
      <c r="D1357" s="1" t="s">
        <v>209</v>
      </c>
      <c r="E1357" s="1" t="s">
        <v>9825</v>
      </c>
      <c r="F1357" s="1" t="s">
        <v>9826</v>
      </c>
      <c r="G1357" s="1">
        <v>6</v>
      </c>
      <c r="H1357" s="1" t="s">
        <v>229</v>
      </c>
      <c r="I1357" s="1" t="str">
        <f>("1110300036")</f>
        <v>1110300036</v>
      </c>
    </row>
    <row r="1358" spans="1:10" x14ac:dyDescent="0.45">
      <c r="A1358" s="2" t="str">
        <f t="shared" si="21"/>
        <v>スマイス　セレソン　スポーツクラブＡ_12</v>
      </c>
      <c r="B1358" s="1" t="s">
        <v>8460</v>
      </c>
      <c r="C1358" s="1" t="str">
        <f>("12")</f>
        <v>12</v>
      </c>
      <c r="D1358" s="1" t="s">
        <v>207</v>
      </c>
      <c r="E1358" s="1" t="s">
        <v>9827</v>
      </c>
      <c r="F1358" s="1" t="s">
        <v>9828</v>
      </c>
      <c r="G1358" s="1">
        <v>6</v>
      </c>
      <c r="H1358" s="1" t="s">
        <v>229</v>
      </c>
      <c r="I1358" s="1" t="str">
        <f>("1106280013")</f>
        <v>1106280013</v>
      </c>
    </row>
    <row r="1359" spans="1:10" x14ac:dyDescent="0.45">
      <c r="A1359" s="2" t="str">
        <f t="shared" si="21"/>
        <v>スマイス　セレソン　スポーツクラブＡ_13</v>
      </c>
      <c r="B1359" s="1" t="s">
        <v>8460</v>
      </c>
      <c r="C1359" s="1" t="str">
        <f>("13")</f>
        <v>13</v>
      </c>
      <c r="D1359" s="1" t="s">
        <v>209</v>
      </c>
      <c r="E1359" s="1" t="s">
        <v>5282</v>
      </c>
      <c r="F1359" s="1" t="s">
        <v>5283</v>
      </c>
      <c r="G1359" s="1">
        <v>5</v>
      </c>
      <c r="H1359" s="1" t="s">
        <v>229</v>
      </c>
      <c r="I1359" s="1" t="str">
        <f>("1210070022")</f>
        <v>1210070022</v>
      </c>
    </row>
    <row r="1360" spans="1:10" x14ac:dyDescent="0.45">
      <c r="A1360" s="2" t="str">
        <f t="shared" si="21"/>
        <v>スマイス　セレソン　スポーツクラブＡ_14</v>
      </c>
      <c r="B1360" s="1" t="s">
        <v>8460</v>
      </c>
      <c r="C1360" s="1" t="str">
        <f>("14")</f>
        <v>14</v>
      </c>
      <c r="D1360" s="1" t="s">
        <v>209</v>
      </c>
      <c r="E1360" s="1" t="s">
        <v>9829</v>
      </c>
      <c r="F1360" s="1" t="s">
        <v>9830</v>
      </c>
      <c r="G1360" s="1">
        <v>6</v>
      </c>
      <c r="H1360" s="1" t="s">
        <v>229</v>
      </c>
      <c r="I1360" s="1" t="str">
        <f>("1107160113")</f>
        <v>1107160113</v>
      </c>
    </row>
    <row r="1361" spans="1:10" x14ac:dyDescent="0.45">
      <c r="A1361" s="2" t="str">
        <f t="shared" si="21"/>
        <v>スマイス　セレソン　スポーツクラブＡ_15</v>
      </c>
      <c r="B1361" s="1" t="s">
        <v>8460</v>
      </c>
      <c r="C1361" s="1" t="str">
        <f>("15")</f>
        <v>15</v>
      </c>
      <c r="D1361" s="1" t="s">
        <v>208</v>
      </c>
      <c r="E1361" s="1" t="s">
        <v>9831</v>
      </c>
      <c r="F1361" s="1" t="s">
        <v>9832</v>
      </c>
      <c r="G1361" s="1">
        <v>5</v>
      </c>
      <c r="H1361" s="1" t="s">
        <v>229</v>
      </c>
      <c r="I1361" s="1" t="str">
        <f>("1209280186")</f>
        <v>1209280186</v>
      </c>
    </row>
    <row r="1362" spans="1:10" x14ac:dyDescent="0.45">
      <c r="A1362" s="2" t="str">
        <f t="shared" si="21"/>
        <v>スマイス　セレソン　スポーツクラブＡ_16</v>
      </c>
      <c r="B1362" s="1" t="s">
        <v>8460</v>
      </c>
      <c r="C1362" s="1" t="str">
        <f>("16")</f>
        <v>16</v>
      </c>
      <c r="D1362" s="1" t="s">
        <v>208</v>
      </c>
      <c r="E1362" s="1" t="s">
        <v>9833</v>
      </c>
      <c r="F1362" s="1" t="s">
        <v>9834</v>
      </c>
      <c r="G1362" s="1">
        <v>6</v>
      </c>
      <c r="H1362" s="1" t="s">
        <v>229</v>
      </c>
      <c r="I1362" s="1" t="str">
        <f>("1201040031")</f>
        <v>1201040031</v>
      </c>
    </row>
    <row r="1363" spans="1:10" x14ac:dyDescent="0.45">
      <c r="A1363" s="2" t="str">
        <f t="shared" si="21"/>
        <v>スマイス　セレソン　スポーツクラブＢ_1</v>
      </c>
      <c r="B1363" s="1" t="s">
        <v>9835</v>
      </c>
      <c r="C1363" s="1" t="str">
        <f>("1")</f>
        <v>1</v>
      </c>
      <c r="D1363" s="1" t="s">
        <v>208</v>
      </c>
      <c r="E1363" s="1" t="s">
        <v>9836</v>
      </c>
      <c r="F1363" s="1" t="s">
        <v>9837</v>
      </c>
      <c r="G1363" s="1">
        <v>6</v>
      </c>
      <c r="H1363" s="1" t="s">
        <v>229</v>
      </c>
      <c r="I1363" s="1" t="str">
        <f>("1109230101")</f>
        <v>1109230101</v>
      </c>
      <c r="J1363" s="1" t="s">
        <v>1858</v>
      </c>
    </row>
    <row r="1364" spans="1:10" x14ac:dyDescent="0.45">
      <c r="A1364" s="2" t="str">
        <f t="shared" si="21"/>
        <v>スマイス　セレソン　スポーツクラブＢ_2</v>
      </c>
      <c r="B1364" s="1" t="s">
        <v>9835</v>
      </c>
      <c r="C1364" s="1" t="str">
        <f>("2")</f>
        <v>2</v>
      </c>
      <c r="D1364" s="1" t="s">
        <v>210</v>
      </c>
      <c r="E1364" s="1" t="s">
        <v>9838</v>
      </c>
      <c r="F1364" s="1" t="s">
        <v>9839</v>
      </c>
      <c r="G1364" s="1">
        <v>6</v>
      </c>
      <c r="H1364" s="1" t="s">
        <v>229</v>
      </c>
      <c r="I1364" s="1" t="str">
        <f>("1203230093")</f>
        <v>1203230093</v>
      </c>
    </row>
    <row r="1365" spans="1:10" x14ac:dyDescent="0.45">
      <c r="A1365" s="2" t="str">
        <f t="shared" si="21"/>
        <v>スマイス　セレソン　スポーツクラブＢ_3</v>
      </c>
      <c r="B1365" s="1" t="s">
        <v>9835</v>
      </c>
      <c r="C1365" s="1" t="str">
        <f>("3")</f>
        <v>3</v>
      </c>
      <c r="D1365" s="1" t="s">
        <v>210</v>
      </c>
      <c r="E1365" s="1" t="s">
        <v>9840</v>
      </c>
      <c r="F1365" s="1" t="s">
        <v>9841</v>
      </c>
      <c r="G1365" s="1">
        <v>6</v>
      </c>
      <c r="H1365" s="1" t="s">
        <v>229</v>
      </c>
      <c r="I1365" s="1" t="str">
        <f>("1203090193")</f>
        <v>1203090193</v>
      </c>
    </row>
    <row r="1366" spans="1:10" x14ac:dyDescent="0.45">
      <c r="A1366" s="2" t="str">
        <f t="shared" si="21"/>
        <v>スマイス　セレソン　スポーツクラブＢ_4</v>
      </c>
      <c r="B1366" s="1" t="s">
        <v>9835</v>
      </c>
      <c r="C1366" s="1" t="str">
        <f>("4")</f>
        <v>4</v>
      </c>
      <c r="D1366" s="1" t="s">
        <v>209</v>
      </c>
      <c r="E1366" s="1" t="s">
        <v>9842</v>
      </c>
      <c r="F1366" s="1" t="s">
        <v>9843</v>
      </c>
      <c r="G1366" s="1">
        <v>6</v>
      </c>
      <c r="H1366" s="1" t="s">
        <v>229</v>
      </c>
      <c r="I1366" s="1" t="str">
        <f>("1202210005")</f>
        <v>1202210005</v>
      </c>
    </row>
    <row r="1367" spans="1:10" x14ac:dyDescent="0.45">
      <c r="A1367" s="2" t="str">
        <f t="shared" si="21"/>
        <v>スマイス　セレソン　スポーツクラブＢ_5</v>
      </c>
      <c r="B1367" s="1" t="s">
        <v>9835</v>
      </c>
      <c r="C1367" s="1" t="str">
        <f>("5")</f>
        <v>5</v>
      </c>
      <c r="D1367" s="1" t="s">
        <v>208</v>
      </c>
      <c r="E1367" s="1" t="s">
        <v>9844</v>
      </c>
      <c r="F1367" s="1" t="s">
        <v>9845</v>
      </c>
      <c r="G1367" s="1">
        <v>6</v>
      </c>
      <c r="H1367" s="1" t="s">
        <v>229</v>
      </c>
      <c r="I1367" s="1" t="str">
        <f>("1108120047")</f>
        <v>1108120047</v>
      </c>
    </row>
    <row r="1368" spans="1:10" x14ac:dyDescent="0.45">
      <c r="A1368" s="2" t="str">
        <f t="shared" si="21"/>
        <v>スマイス　セレソン　スポーツクラブＢ_6</v>
      </c>
      <c r="B1368" s="1" t="s">
        <v>9835</v>
      </c>
      <c r="C1368" s="1" t="str">
        <f>("6")</f>
        <v>6</v>
      </c>
      <c r="D1368" s="1" t="s">
        <v>208</v>
      </c>
      <c r="E1368" s="1" t="s">
        <v>9846</v>
      </c>
      <c r="F1368" s="1" t="s">
        <v>9847</v>
      </c>
      <c r="G1368" s="1">
        <v>5</v>
      </c>
      <c r="H1368" s="1" t="s">
        <v>229</v>
      </c>
      <c r="I1368" s="1" t="str">
        <f>("1205170192")</f>
        <v>1205170192</v>
      </c>
    </row>
    <row r="1369" spans="1:10" x14ac:dyDescent="0.45">
      <c r="A1369" s="2" t="str">
        <f t="shared" si="21"/>
        <v>スマイス　セレソン　スポーツクラブＢ_7</v>
      </c>
      <c r="B1369" s="1" t="s">
        <v>9835</v>
      </c>
      <c r="C1369" s="1" t="str">
        <f>("7")</f>
        <v>7</v>
      </c>
      <c r="D1369" s="1" t="s">
        <v>209</v>
      </c>
      <c r="E1369" s="1" t="s">
        <v>9848</v>
      </c>
      <c r="F1369" s="1" t="s">
        <v>9849</v>
      </c>
      <c r="G1369" s="1">
        <v>6</v>
      </c>
      <c r="H1369" s="1" t="s">
        <v>229</v>
      </c>
      <c r="I1369" s="1" t="str">
        <f>("1105040151")</f>
        <v>1105040151</v>
      </c>
    </row>
    <row r="1370" spans="1:10" x14ac:dyDescent="0.45">
      <c r="A1370" s="2" t="str">
        <f t="shared" si="21"/>
        <v>スマイス　セレソン　スポーツクラブＢ_8</v>
      </c>
      <c r="B1370" s="1" t="s">
        <v>9835</v>
      </c>
      <c r="C1370" s="1" t="str">
        <f>("8")</f>
        <v>8</v>
      </c>
      <c r="D1370" s="1" t="s">
        <v>209</v>
      </c>
      <c r="E1370" s="1" t="s">
        <v>9850</v>
      </c>
      <c r="F1370" s="1" t="s">
        <v>9851</v>
      </c>
      <c r="G1370" s="1">
        <v>5</v>
      </c>
      <c r="H1370" s="1" t="s">
        <v>229</v>
      </c>
      <c r="I1370" s="1" t="str">
        <f>("1302050010")</f>
        <v>1302050010</v>
      </c>
    </row>
    <row r="1371" spans="1:10" x14ac:dyDescent="0.45">
      <c r="A1371" s="2" t="str">
        <f t="shared" si="21"/>
        <v>スマイス　セレソン　スポーツクラブＢ_9</v>
      </c>
      <c r="B1371" s="1" t="s">
        <v>9835</v>
      </c>
      <c r="C1371" s="1" t="str">
        <f>("9")</f>
        <v>9</v>
      </c>
      <c r="D1371" s="1" t="s">
        <v>210</v>
      </c>
      <c r="E1371" s="1" t="s">
        <v>9852</v>
      </c>
      <c r="F1371" s="1" t="s">
        <v>9853</v>
      </c>
      <c r="G1371" s="1">
        <v>6</v>
      </c>
      <c r="H1371" s="1" t="s">
        <v>229</v>
      </c>
      <c r="I1371" s="1" t="str">
        <f>("1107070279")</f>
        <v>1107070279</v>
      </c>
    </row>
    <row r="1372" spans="1:10" x14ac:dyDescent="0.45">
      <c r="A1372" s="2" t="str">
        <f t="shared" si="21"/>
        <v>スマイス　セレソン　スポーツクラブＢ_10</v>
      </c>
      <c r="B1372" s="1" t="s">
        <v>9835</v>
      </c>
      <c r="C1372" s="1" t="str">
        <f>("10")</f>
        <v>10</v>
      </c>
      <c r="D1372" s="1" t="s">
        <v>209</v>
      </c>
      <c r="E1372" s="1" t="s">
        <v>9854</v>
      </c>
      <c r="F1372" s="1" t="s">
        <v>9855</v>
      </c>
      <c r="G1372" s="1">
        <v>6</v>
      </c>
      <c r="H1372" s="1" t="s">
        <v>229</v>
      </c>
      <c r="I1372" s="1" t="str">
        <f>("1201030004")</f>
        <v>1201030004</v>
      </c>
    </row>
    <row r="1373" spans="1:10" x14ac:dyDescent="0.45">
      <c r="A1373" s="2" t="str">
        <f t="shared" si="21"/>
        <v>スマイス　セレソン　スポーツクラブＢ_11</v>
      </c>
      <c r="B1373" s="1" t="s">
        <v>9835</v>
      </c>
      <c r="C1373" s="1" t="str">
        <f>("11")</f>
        <v>11</v>
      </c>
      <c r="D1373" s="1" t="s">
        <v>209</v>
      </c>
      <c r="E1373" s="1" t="s">
        <v>9856</v>
      </c>
      <c r="F1373" s="1" t="s">
        <v>9857</v>
      </c>
      <c r="G1373" s="1">
        <v>5</v>
      </c>
      <c r="H1373" s="1" t="s">
        <v>229</v>
      </c>
      <c r="I1373" s="1" t="str">
        <f>("1209070017")</f>
        <v>1209070017</v>
      </c>
    </row>
    <row r="1374" spans="1:10" x14ac:dyDescent="0.45">
      <c r="A1374" s="2" t="str">
        <f t="shared" si="21"/>
        <v>スマイス　セレソン　スポーツクラブＢ_12</v>
      </c>
      <c r="B1374" s="1" t="s">
        <v>9835</v>
      </c>
      <c r="C1374" s="1" t="str">
        <f>("12")</f>
        <v>12</v>
      </c>
      <c r="D1374" s="1" t="s">
        <v>207</v>
      </c>
      <c r="E1374" s="1" t="s">
        <v>9858</v>
      </c>
      <c r="F1374" s="1" t="s">
        <v>9859</v>
      </c>
      <c r="G1374" s="1">
        <v>5</v>
      </c>
      <c r="H1374" s="1" t="s">
        <v>229</v>
      </c>
      <c r="I1374" s="1" t="str">
        <f>("1207040190")</f>
        <v>1207040190</v>
      </c>
    </row>
    <row r="1375" spans="1:10" x14ac:dyDescent="0.45">
      <c r="A1375" s="2" t="str">
        <f t="shared" si="21"/>
        <v>スマイス　セレソン　スポーツクラブＢ_13</v>
      </c>
      <c r="B1375" s="1" t="s">
        <v>9835</v>
      </c>
      <c r="C1375" s="1" t="str">
        <f>("13")</f>
        <v>13</v>
      </c>
      <c r="D1375" s="1" t="s">
        <v>210</v>
      </c>
      <c r="E1375" s="1" t="s">
        <v>9860</v>
      </c>
      <c r="F1375" s="1" t="s">
        <v>9861</v>
      </c>
      <c r="G1375" s="1">
        <v>6</v>
      </c>
      <c r="H1375" s="1" t="s">
        <v>229</v>
      </c>
      <c r="I1375" s="1" t="str">
        <f>("1112270237")</f>
        <v>1112270237</v>
      </c>
    </row>
    <row r="1376" spans="1:10" x14ac:dyDescent="0.45">
      <c r="A1376" s="2" t="str">
        <f t="shared" si="21"/>
        <v>スマイス　セレソン　スポーツクラブＢ_14</v>
      </c>
      <c r="B1376" s="1" t="s">
        <v>9835</v>
      </c>
      <c r="C1376" s="1" t="str">
        <f>("14")</f>
        <v>14</v>
      </c>
      <c r="D1376" s="1" t="s">
        <v>209</v>
      </c>
      <c r="E1376" s="1" t="s">
        <v>9862</v>
      </c>
      <c r="F1376" s="1" t="s">
        <v>9863</v>
      </c>
      <c r="G1376" s="1">
        <v>5</v>
      </c>
      <c r="H1376" s="1" t="s">
        <v>229</v>
      </c>
      <c r="I1376" s="1" t="str">
        <f>("1205170191")</f>
        <v>1205170191</v>
      </c>
    </row>
    <row r="1377" spans="1:10" x14ac:dyDescent="0.45">
      <c r="A1377" s="2" t="str">
        <f t="shared" si="21"/>
        <v>スマイス　セレソン　スポーツクラブＢ_15</v>
      </c>
      <c r="B1377" s="1" t="s">
        <v>9835</v>
      </c>
      <c r="C1377" s="1" t="str">
        <f>("15")</f>
        <v>15</v>
      </c>
      <c r="D1377" s="1" t="s">
        <v>208</v>
      </c>
      <c r="E1377" s="1" t="s">
        <v>9864</v>
      </c>
      <c r="F1377" s="1" t="s">
        <v>5625</v>
      </c>
      <c r="G1377" s="1">
        <v>5</v>
      </c>
      <c r="H1377" s="1" t="s">
        <v>229</v>
      </c>
      <c r="I1377" s="1" t="str">
        <f>("1205240011")</f>
        <v>1205240011</v>
      </c>
    </row>
    <row r="1378" spans="1:10" x14ac:dyDescent="0.45">
      <c r="A1378" s="2" t="str">
        <f t="shared" si="21"/>
        <v>スマイス　セレソン　スポーツクラブＢ_16</v>
      </c>
      <c r="B1378" s="1" t="s">
        <v>9835</v>
      </c>
      <c r="C1378" s="1" t="str">
        <f>("16")</f>
        <v>16</v>
      </c>
      <c r="D1378" s="1" t="s">
        <v>207</v>
      </c>
      <c r="E1378" s="1" t="s">
        <v>9865</v>
      </c>
      <c r="F1378" s="1" t="s">
        <v>9866</v>
      </c>
      <c r="G1378" s="1">
        <v>6</v>
      </c>
      <c r="H1378" s="1" t="s">
        <v>229</v>
      </c>
      <c r="I1378" s="1" t="str">
        <f>("1107130137")</f>
        <v>1107130137</v>
      </c>
    </row>
    <row r="1379" spans="1:10" x14ac:dyDescent="0.45">
      <c r="A1379" s="2" t="str">
        <f t="shared" si="21"/>
        <v>ＦＣ　ＪＵＮＩＯＲＳ_1</v>
      </c>
      <c r="B1379" s="1" t="s">
        <v>9867</v>
      </c>
      <c r="C1379" s="1" t="str">
        <f>("1")</f>
        <v>1</v>
      </c>
      <c r="D1379" s="1" t="s">
        <v>207</v>
      </c>
      <c r="E1379" s="1" t="s">
        <v>9868</v>
      </c>
      <c r="F1379" s="1" t="s">
        <v>9869</v>
      </c>
      <c r="G1379" s="1">
        <v>6</v>
      </c>
      <c r="H1379" s="1" t="s">
        <v>229</v>
      </c>
      <c r="I1379" s="1" t="str">
        <f>("1111140212")</f>
        <v>1111140212</v>
      </c>
      <c r="J1379" s="1" t="s">
        <v>1858</v>
      </c>
    </row>
    <row r="1380" spans="1:10" x14ac:dyDescent="0.45">
      <c r="A1380" s="2" t="str">
        <f t="shared" si="21"/>
        <v>ＦＣ　ＪＵＮＩＯＲＳ_2</v>
      </c>
      <c r="B1380" s="1" t="s">
        <v>9867</v>
      </c>
      <c r="C1380" s="1" t="str">
        <f>("2")</f>
        <v>2</v>
      </c>
      <c r="D1380" s="1" t="s">
        <v>208</v>
      </c>
      <c r="E1380" s="1" t="s">
        <v>9870</v>
      </c>
      <c r="F1380" s="1" t="s">
        <v>9871</v>
      </c>
      <c r="G1380" s="1">
        <v>5</v>
      </c>
      <c r="H1380" s="1" t="s">
        <v>229</v>
      </c>
      <c r="I1380" s="1" t="str">
        <f>("1206270220")</f>
        <v>1206270220</v>
      </c>
    </row>
    <row r="1381" spans="1:10" x14ac:dyDescent="0.45">
      <c r="A1381" s="2" t="str">
        <f t="shared" si="21"/>
        <v>ＦＣ　ＪＵＮＩＯＲＳ_3</v>
      </c>
      <c r="B1381" s="1" t="s">
        <v>9867</v>
      </c>
      <c r="C1381" s="1" t="str">
        <f>("3")</f>
        <v>3</v>
      </c>
      <c r="D1381" s="1" t="s">
        <v>208</v>
      </c>
      <c r="E1381" s="1" t="s">
        <v>9872</v>
      </c>
      <c r="F1381" s="1" t="s">
        <v>9873</v>
      </c>
      <c r="G1381" s="1">
        <v>5</v>
      </c>
      <c r="H1381" s="1" t="s">
        <v>229</v>
      </c>
      <c r="I1381" s="1" t="str">
        <f>("1206040209")</f>
        <v>1206040209</v>
      </c>
    </row>
    <row r="1382" spans="1:10" x14ac:dyDescent="0.45">
      <c r="A1382" s="2" t="str">
        <f t="shared" si="21"/>
        <v>ＦＣ　ＪＵＮＩＯＲＳ_4</v>
      </c>
      <c r="B1382" s="1" t="s">
        <v>9867</v>
      </c>
      <c r="C1382" s="1" t="str">
        <f>("4")</f>
        <v>4</v>
      </c>
      <c r="D1382" s="1" t="s">
        <v>209</v>
      </c>
      <c r="E1382" s="1" t="s">
        <v>9874</v>
      </c>
      <c r="F1382" s="1" t="s">
        <v>9875</v>
      </c>
      <c r="G1382" s="1">
        <v>6</v>
      </c>
      <c r="H1382" s="1" t="s">
        <v>229</v>
      </c>
      <c r="I1382" s="1" t="str">
        <f>("1110260204")</f>
        <v>1110260204</v>
      </c>
    </row>
    <row r="1383" spans="1:10" x14ac:dyDescent="0.45">
      <c r="A1383" s="2" t="str">
        <f t="shared" si="21"/>
        <v>ＦＣ　ＪＵＮＩＯＲＳ_5</v>
      </c>
      <c r="B1383" s="1" t="s">
        <v>9867</v>
      </c>
      <c r="C1383" s="1" t="str">
        <f>("5")</f>
        <v>5</v>
      </c>
      <c r="D1383" s="1" t="s">
        <v>209</v>
      </c>
      <c r="E1383" s="1" t="s">
        <v>9876</v>
      </c>
      <c r="F1383" s="1" t="s">
        <v>9877</v>
      </c>
      <c r="G1383" s="1">
        <v>6</v>
      </c>
      <c r="H1383" s="1" t="s">
        <v>229</v>
      </c>
      <c r="I1383" s="1" t="str">
        <f>("1105120242")</f>
        <v>1105120242</v>
      </c>
    </row>
    <row r="1384" spans="1:10" x14ac:dyDescent="0.45">
      <c r="A1384" s="2" t="str">
        <f t="shared" si="21"/>
        <v>ＦＣ　ＪＵＮＩＯＲＳ_6</v>
      </c>
      <c r="B1384" s="1" t="s">
        <v>9867</v>
      </c>
      <c r="C1384" s="1" t="str">
        <f>("6")</f>
        <v>6</v>
      </c>
      <c r="D1384" s="1" t="s">
        <v>209</v>
      </c>
      <c r="E1384" s="1" t="s">
        <v>9878</v>
      </c>
      <c r="F1384" s="1" t="s">
        <v>9879</v>
      </c>
      <c r="G1384" s="1">
        <v>5</v>
      </c>
      <c r="H1384" s="1" t="s">
        <v>229</v>
      </c>
      <c r="I1384" s="1" t="str">
        <f>("1204230219")</f>
        <v>1204230219</v>
      </c>
    </row>
    <row r="1385" spans="1:10" x14ac:dyDescent="0.45">
      <c r="A1385" s="2" t="str">
        <f t="shared" si="21"/>
        <v>ＦＣ　ＪＵＮＩＯＲＳ_7</v>
      </c>
      <c r="B1385" s="1" t="s">
        <v>9867</v>
      </c>
      <c r="C1385" s="1" t="str">
        <f>("7")</f>
        <v>7</v>
      </c>
      <c r="D1385" s="1" t="s">
        <v>209</v>
      </c>
      <c r="E1385" s="1" t="s">
        <v>9880</v>
      </c>
      <c r="F1385" s="1" t="s">
        <v>9881</v>
      </c>
      <c r="G1385" s="1">
        <v>5</v>
      </c>
      <c r="H1385" s="1" t="s">
        <v>229</v>
      </c>
      <c r="I1385" s="1" t="str">
        <f>("1301230189")</f>
        <v>1301230189</v>
      </c>
    </row>
    <row r="1386" spans="1:10" x14ac:dyDescent="0.45">
      <c r="A1386" s="2" t="str">
        <f t="shared" si="21"/>
        <v>ＦＣ　ＪＵＮＩＯＲＳ_8</v>
      </c>
      <c r="B1386" s="1" t="s">
        <v>9867</v>
      </c>
      <c r="C1386" s="1" t="str">
        <f>("8")</f>
        <v>8</v>
      </c>
      <c r="D1386" s="1" t="s">
        <v>210</v>
      </c>
      <c r="E1386" s="1" t="s">
        <v>9882</v>
      </c>
      <c r="F1386" s="1" t="s">
        <v>9883</v>
      </c>
      <c r="G1386" s="1">
        <v>6</v>
      </c>
      <c r="H1386" s="1" t="s">
        <v>229</v>
      </c>
      <c r="I1386" s="1" t="str">
        <f>("1203210191")</f>
        <v>1203210191</v>
      </c>
    </row>
    <row r="1387" spans="1:10" x14ac:dyDescent="0.45">
      <c r="A1387" s="2" t="str">
        <f t="shared" si="21"/>
        <v>ＦＣ　ＪＵＮＩＯＲＳ_9</v>
      </c>
      <c r="B1387" s="1" t="s">
        <v>9867</v>
      </c>
      <c r="C1387" s="1" t="str">
        <f>("9")</f>
        <v>9</v>
      </c>
      <c r="D1387" s="1" t="s">
        <v>209</v>
      </c>
      <c r="E1387" s="1" t="s">
        <v>9884</v>
      </c>
      <c r="F1387" s="1" t="s">
        <v>9885</v>
      </c>
      <c r="G1387" s="1">
        <v>6</v>
      </c>
      <c r="H1387" s="1" t="s">
        <v>229</v>
      </c>
      <c r="I1387" s="1" t="str">
        <f>("1112030075")</f>
        <v>1112030075</v>
      </c>
    </row>
    <row r="1388" spans="1:10" x14ac:dyDescent="0.45">
      <c r="A1388" s="2" t="str">
        <f t="shared" si="21"/>
        <v>ＦＣ　ＪＵＮＩＯＲＳ_10</v>
      </c>
      <c r="B1388" s="1" t="s">
        <v>9867</v>
      </c>
      <c r="C1388" s="1" t="str">
        <f>("10")</f>
        <v>10</v>
      </c>
      <c r="D1388" s="1" t="s">
        <v>209</v>
      </c>
      <c r="E1388" s="1" t="s">
        <v>9886</v>
      </c>
      <c r="F1388" s="1" t="s">
        <v>9887</v>
      </c>
      <c r="G1388" s="1">
        <v>6</v>
      </c>
      <c r="H1388" s="1" t="s">
        <v>229</v>
      </c>
      <c r="I1388" s="1" t="str">
        <f>("1203060201")</f>
        <v>1203060201</v>
      </c>
    </row>
    <row r="1389" spans="1:10" x14ac:dyDescent="0.45">
      <c r="A1389" s="2" t="str">
        <f t="shared" si="21"/>
        <v>ＦＣ　ＪＵＮＩＯＲＳ_11</v>
      </c>
      <c r="B1389" s="1" t="s">
        <v>9867</v>
      </c>
      <c r="C1389" s="1" t="str">
        <f>("11")</f>
        <v>11</v>
      </c>
      <c r="D1389" s="1" t="s">
        <v>210</v>
      </c>
      <c r="E1389" s="1" t="s">
        <v>9888</v>
      </c>
      <c r="F1389" s="1" t="s">
        <v>9889</v>
      </c>
      <c r="G1389" s="1">
        <v>6</v>
      </c>
      <c r="H1389" s="1" t="s">
        <v>229</v>
      </c>
      <c r="I1389" s="1" t="str">
        <f>("1203170139")</f>
        <v>1203170139</v>
      </c>
    </row>
    <row r="1390" spans="1:10" x14ac:dyDescent="0.45">
      <c r="A1390" s="2" t="str">
        <f t="shared" si="21"/>
        <v>ＦＣ　ＪＵＮＩＯＲＳ_13</v>
      </c>
      <c r="B1390" s="1" t="s">
        <v>9867</v>
      </c>
      <c r="C1390" s="1" t="str">
        <f>("13")</f>
        <v>13</v>
      </c>
      <c r="D1390" s="1" t="s">
        <v>209</v>
      </c>
      <c r="E1390" s="1" t="s">
        <v>9890</v>
      </c>
      <c r="F1390" s="1" t="s">
        <v>9891</v>
      </c>
      <c r="G1390" s="1">
        <v>5</v>
      </c>
      <c r="H1390" s="1" t="s">
        <v>229</v>
      </c>
      <c r="I1390" s="1" t="str">
        <f>("1303250153")</f>
        <v>1303250153</v>
      </c>
    </row>
    <row r="1391" spans="1:10" x14ac:dyDescent="0.45">
      <c r="A1391" s="2" t="str">
        <f t="shared" si="21"/>
        <v>ＦＣ　ＪＵＮＩＯＲＳ_14</v>
      </c>
      <c r="B1391" s="1" t="s">
        <v>9867</v>
      </c>
      <c r="C1391" s="1" t="str">
        <f>("14")</f>
        <v>14</v>
      </c>
      <c r="D1391" s="1" t="s">
        <v>208</v>
      </c>
      <c r="E1391" s="1" t="s">
        <v>9892</v>
      </c>
      <c r="F1391" s="1" t="s">
        <v>9893</v>
      </c>
      <c r="G1391" s="1">
        <v>6</v>
      </c>
      <c r="H1391" s="1" t="s">
        <v>229</v>
      </c>
      <c r="I1391" s="1" t="str">
        <f>("1203240164")</f>
        <v>1203240164</v>
      </c>
    </row>
    <row r="1392" spans="1:10" x14ac:dyDescent="0.45">
      <c r="A1392" s="2" t="str">
        <f t="shared" si="21"/>
        <v>ＦＣ　ＪＵＮＩＯＲＳ_15</v>
      </c>
      <c r="B1392" s="1" t="s">
        <v>9867</v>
      </c>
      <c r="C1392" s="1" t="str">
        <f>("15")</f>
        <v>15</v>
      </c>
      <c r="D1392" s="1" t="s">
        <v>208</v>
      </c>
      <c r="E1392" s="1" t="s">
        <v>9894</v>
      </c>
      <c r="F1392" s="1" t="s">
        <v>9895</v>
      </c>
      <c r="G1392" s="1">
        <v>5</v>
      </c>
      <c r="H1392" s="1" t="s">
        <v>229</v>
      </c>
      <c r="I1392" s="1" t="str">
        <f>("1210140127")</f>
        <v>1210140127</v>
      </c>
    </row>
    <row r="1393" spans="1:10" x14ac:dyDescent="0.45">
      <c r="A1393" s="2" t="str">
        <f t="shared" si="21"/>
        <v>ＦＣ　ＪＵＮＩＯＲＳ_16</v>
      </c>
      <c r="B1393" s="1" t="s">
        <v>9867</v>
      </c>
      <c r="C1393" s="1" t="str">
        <f>("16")</f>
        <v>16</v>
      </c>
      <c r="D1393" s="1" t="s">
        <v>210</v>
      </c>
      <c r="E1393" s="1" t="s">
        <v>9896</v>
      </c>
      <c r="F1393" s="1" t="s">
        <v>9897</v>
      </c>
      <c r="G1393" s="1">
        <v>6</v>
      </c>
      <c r="H1393" s="1" t="s">
        <v>229</v>
      </c>
      <c r="I1393" s="1" t="str">
        <f>("1106140265")</f>
        <v>1106140265</v>
      </c>
    </row>
    <row r="1394" spans="1:10" x14ac:dyDescent="0.45">
      <c r="A1394" s="2" t="str">
        <f t="shared" si="21"/>
        <v>ＦＣ　ＪＵＮＩＯＲＳ_17</v>
      </c>
      <c r="B1394" s="1" t="s">
        <v>9867</v>
      </c>
      <c r="C1394" s="1" t="str">
        <f>("17")</f>
        <v>17</v>
      </c>
      <c r="D1394" s="1" t="s">
        <v>207</v>
      </c>
      <c r="E1394" s="1" t="s">
        <v>9898</v>
      </c>
      <c r="F1394" s="1" t="s">
        <v>9899</v>
      </c>
      <c r="G1394" s="1">
        <v>5</v>
      </c>
      <c r="H1394" s="1" t="s">
        <v>229</v>
      </c>
      <c r="I1394" s="1" t="str">
        <f>("1209260099")</f>
        <v>1209260099</v>
      </c>
    </row>
    <row r="1395" spans="1:10" x14ac:dyDescent="0.45">
      <c r="A1395" s="2" t="str">
        <f t="shared" si="21"/>
        <v>ＦＣ中津ジュニア_1</v>
      </c>
      <c r="B1395" s="1" t="s">
        <v>3374</v>
      </c>
      <c r="C1395" s="1" t="str">
        <f>("1")</f>
        <v>1</v>
      </c>
      <c r="D1395" s="1" t="s">
        <v>207</v>
      </c>
      <c r="E1395" s="1" t="s">
        <v>9900</v>
      </c>
      <c r="F1395" s="1" t="s">
        <v>9901</v>
      </c>
      <c r="G1395" s="1">
        <v>5</v>
      </c>
      <c r="H1395" s="1" t="s">
        <v>229</v>
      </c>
      <c r="I1395" s="1" t="str">
        <f>("1209200209")</f>
        <v>1209200209</v>
      </c>
    </row>
    <row r="1396" spans="1:10" x14ac:dyDescent="0.45">
      <c r="A1396" s="2" t="str">
        <f t="shared" si="21"/>
        <v>ＦＣ中津ジュニア_2</v>
      </c>
      <c r="B1396" s="1" t="s">
        <v>3374</v>
      </c>
      <c r="C1396" s="1" t="str">
        <f>("2")</f>
        <v>2</v>
      </c>
      <c r="D1396" s="1" t="s">
        <v>208</v>
      </c>
      <c r="E1396" s="1" t="s">
        <v>6839</v>
      </c>
      <c r="F1396" s="1" t="s">
        <v>6840</v>
      </c>
      <c r="G1396" s="1">
        <v>6</v>
      </c>
      <c r="H1396" s="1" t="s">
        <v>229</v>
      </c>
      <c r="I1396" s="1" t="str">
        <f>("1203070184")</f>
        <v>1203070184</v>
      </c>
    </row>
    <row r="1397" spans="1:10" x14ac:dyDescent="0.45">
      <c r="A1397" s="2" t="str">
        <f t="shared" si="21"/>
        <v>ＦＣ中津ジュニア_3</v>
      </c>
      <c r="B1397" s="1" t="s">
        <v>3374</v>
      </c>
      <c r="C1397" s="1" t="str">
        <f>("3")</f>
        <v>3</v>
      </c>
      <c r="D1397" s="1" t="s">
        <v>208</v>
      </c>
      <c r="E1397" s="1" t="s">
        <v>6843</v>
      </c>
      <c r="F1397" s="1" t="s">
        <v>6844</v>
      </c>
      <c r="G1397" s="1">
        <v>6</v>
      </c>
      <c r="H1397" s="1" t="s">
        <v>229</v>
      </c>
      <c r="I1397" s="1" t="str">
        <f>("1010040277")</f>
        <v>1010040277</v>
      </c>
    </row>
    <row r="1398" spans="1:10" x14ac:dyDescent="0.45">
      <c r="A1398" s="2" t="str">
        <f t="shared" si="21"/>
        <v>ＦＣ中津ジュニア_4</v>
      </c>
      <c r="B1398" s="1" t="s">
        <v>3374</v>
      </c>
      <c r="C1398" s="1" t="str">
        <f>("4")</f>
        <v>4</v>
      </c>
      <c r="D1398" s="1" t="s">
        <v>208</v>
      </c>
      <c r="E1398" s="1" t="s">
        <v>9902</v>
      </c>
      <c r="F1398" s="1" t="s">
        <v>9903</v>
      </c>
      <c r="G1398" s="1">
        <v>4</v>
      </c>
      <c r="H1398" s="1" t="s">
        <v>229</v>
      </c>
      <c r="I1398" s="1" t="str">
        <f>("1301170150")</f>
        <v>1301170150</v>
      </c>
    </row>
    <row r="1399" spans="1:10" x14ac:dyDescent="0.45">
      <c r="A1399" s="2" t="str">
        <f t="shared" si="21"/>
        <v>ＦＣ中津ジュニア_5</v>
      </c>
      <c r="B1399" s="1" t="s">
        <v>3374</v>
      </c>
      <c r="C1399" s="1" t="str">
        <f>("5")</f>
        <v>5</v>
      </c>
      <c r="D1399" s="1" t="s">
        <v>210</v>
      </c>
      <c r="E1399" s="1" t="s">
        <v>9904</v>
      </c>
      <c r="F1399" s="1" t="s">
        <v>9905</v>
      </c>
      <c r="G1399" s="1">
        <v>6</v>
      </c>
      <c r="H1399" s="1" t="s">
        <v>229</v>
      </c>
      <c r="I1399" s="1" t="str">
        <f>("1107070215")</f>
        <v>1107070215</v>
      </c>
    </row>
    <row r="1400" spans="1:10" x14ac:dyDescent="0.45">
      <c r="A1400" s="2" t="str">
        <f t="shared" si="21"/>
        <v>ＦＣ中津ジュニア_6</v>
      </c>
      <c r="B1400" s="1" t="s">
        <v>3374</v>
      </c>
      <c r="C1400" s="1" t="str">
        <f>("6")</f>
        <v>6</v>
      </c>
      <c r="D1400" s="1" t="s">
        <v>209</v>
      </c>
      <c r="E1400" s="1" t="s">
        <v>5997</v>
      </c>
      <c r="F1400" s="1" t="s">
        <v>5998</v>
      </c>
      <c r="G1400" s="1">
        <v>6</v>
      </c>
      <c r="H1400" s="1" t="s">
        <v>231</v>
      </c>
      <c r="I1400" s="1" t="str">
        <f>("1201220059")</f>
        <v>1201220059</v>
      </c>
    </row>
    <row r="1401" spans="1:10" x14ac:dyDescent="0.45">
      <c r="A1401" s="2" t="str">
        <f t="shared" si="21"/>
        <v>ＦＣ中津ジュニア_7</v>
      </c>
      <c r="B1401" s="1" t="s">
        <v>3374</v>
      </c>
      <c r="C1401" s="1" t="str">
        <f>("7")</f>
        <v>7</v>
      </c>
      <c r="D1401" s="1" t="s">
        <v>209</v>
      </c>
      <c r="E1401" s="1" t="s">
        <v>9906</v>
      </c>
      <c r="F1401" s="1" t="s">
        <v>9907</v>
      </c>
      <c r="G1401" s="1">
        <v>6</v>
      </c>
      <c r="H1401" s="1" t="s">
        <v>229</v>
      </c>
      <c r="I1401" s="1" t="str">
        <f>("1111240109")</f>
        <v>1111240109</v>
      </c>
    </row>
    <row r="1402" spans="1:10" x14ac:dyDescent="0.45">
      <c r="A1402" s="2" t="str">
        <f t="shared" si="21"/>
        <v>ＦＣ中津ジュニア_8</v>
      </c>
      <c r="B1402" s="1" t="s">
        <v>3374</v>
      </c>
      <c r="C1402" s="1" t="str">
        <f>("8")</f>
        <v>8</v>
      </c>
      <c r="D1402" s="1" t="s">
        <v>208</v>
      </c>
      <c r="E1402" s="1" t="s">
        <v>6841</v>
      </c>
      <c r="F1402" s="1" t="s">
        <v>6842</v>
      </c>
      <c r="G1402" s="1">
        <v>6</v>
      </c>
      <c r="H1402" s="1" t="s">
        <v>229</v>
      </c>
      <c r="I1402" s="1" t="str">
        <f>("1107290217")</f>
        <v>1107290217</v>
      </c>
    </row>
    <row r="1403" spans="1:10" x14ac:dyDescent="0.45">
      <c r="A1403" s="2" t="str">
        <f t="shared" si="21"/>
        <v>ＦＣ中津ジュニア_9</v>
      </c>
      <c r="B1403" s="1" t="s">
        <v>3374</v>
      </c>
      <c r="C1403" s="1" t="str">
        <f>("9")</f>
        <v>9</v>
      </c>
      <c r="D1403" s="1" t="s">
        <v>210</v>
      </c>
      <c r="E1403" s="1" t="s">
        <v>5162</v>
      </c>
      <c r="F1403" s="1" t="s">
        <v>5163</v>
      </c>
      <c r="G1403" s="1">
        <v>6</v>
      </c>
      <c r="H1403" s="1" t="s">
        <v>229</v>
      </c>
      <c r="I1403" s="1" t="str">
        <f>("1104190114")</f>
        <v>1104190114</v>
      </c>
    </row>
    <row r="1404" spans="1:10" x14ac:dyDescent="0.45">
      <c r="A1404" s="2" t="str">
        <f t="shared" si="21"/>
        <v>ＦＣ中津ジュニア_10</v>
      </c>
      <c r="B1404" s="1" t="s">
        <v>3374</v>
      </c>
      <c r="C1404" s="1" t="str">
        <f>("10")</f>
        <v>10</v>
      </c>
      <c r="D1404" s="1" t="s">
        <v>210</v>
      </c>
      <c r="E1404" s="1" t="s">
        <v>6837</v>
      </c>
      <c r="F1404" s="1" t="s">
        <v>6838</v>
      </c>
      <c r="G1404" s="1">
        <v>6</v>
      </c>
      <c r="H1404" s="1" t="s">
        <v>229</v>
      </c>
      <c r="I1404" s="1" t="str">
        <f>("1105100136")</f>
        <v>1105100136</v>
      </c>
      <c r="J1404" s="1" t="s">
        <v>1858</v>
      </c>
    </row>
    <row r="1405" spans="1:10" x14ac:dyDescent="0.45">
      <c r="A1405" s="2" t="str">
        <f t="shared" si="21"/>
        <v>ＦＣ中津ジュニア_11</v>
      </c>
      <c r="B1405" s="1" t="s">
        <v>3374</v>
      </c>
      <c r="C1405" s="1" t="str">
        <f>("11")</f>
        <v>11</v>
      </c>
      <c r="D1405" s="1" t="s">
        <v>210</v>
      </c>
      <c r="E1405" s="1" t="s">
        <v>9908</v>
      </c>
      <c r="F1405" s="1" t="s">
        <v>9909</v>
      </c>
      <c r="G1405" s="1">
        <v>5</v>
      </c>
      <c r="H1405" s="1" t="s">
        <v>229</v>
      </c>
      <c r="I1405" s="1" t="str">
        <f>("1211180111")</f>
        <v>1211180111</v>
      </c>
    </row>
    <row r="1406" spans="1:10" x14ac:dyDescent="0.45">
      <c r="A1406" s="2" t="str">
        <f t="shared" si="21"/>
        <v>ＦＣ中津ジュニア_13</v>
      </c>
      <c r="B1406" s="1" t="s">
        <v>3374</v>
      </c>
      <c r="C1406" s="1" t="str">
        <f>("13")</f>
        <v>13</v>
      </c>
      <c r="D1406" s="1" t="s">
        <v>209</v>
      </c>
      <c r="E1406" s="1" t="s">
        <v>9910</v>
      </c>
      <c r="F1406" s="1" t="s">
        <v>9911</v>
      </c>
      <c r="G1406" s="1">
        <v>5</v>
      </c>
      <c r="H1406" s="1" t="s">
        <v>229</v>
      </c>
      <c r="I1406" s="1" t="str">
        <f>("1207060201")</f>
        <v>1207060201</v>
      </c>
    </row>
    <row r="1407" spans="1:10" x14ac:dyDescent="0.45">
      <c r="A1407" s="2" t="str">
        <f t="shared" si="21"/>
        <v>ＦＣ中津ジュニア_14</v>
      </c>
      <c r="B1407" s="1" t="s">
        <v>3374</v>
      </c>
      <c r="C1407" s="1" t="str">
        <f>("14")</f>
        <v>14</v>
      </c>
      <c r="D1407" s="1" t="s">
        <v>209</v>
      </c>
      <c r="E1407" s="1" t="s">
        <v>9912</v>
      </c>
      <c r="F1407" s="1" t="s">
        <v>9913</v>
      </c>
      <c r="G1407" s="1">
        <v>5</v>
      </c>
      <c r="H1407" s="1" t="s">
        <v>229</v>
      </c>
      <c r="I1407" s="1" t="str">
        <f>("1208020185")</f>
        <v>1208020185</v>
      </c>
    </row>
    <row r="1408" spans="1:10" x14ac:dyDescent="0.45">
      <c r="A1408" s="2" t="str">
        <f t="shared" si="21"/>
        <v>ＦＣ中津ジュニア_15</v>
      </c>
      <c r="B1408" s="1" t="s">
        <v>3374</v>
      </c>
      <c r="C1408" s="1" t="str">
        <f>("15")</f>
        <v>15</v>
      </c>
      <c r="D1408" s="1" t="s">
        <v>210</v>
      </c>
      <c r="E1408" s="1" t="s">
        <v>9914</v>
      </c>
      <c r="F1408" s="1" t="s">
        <v>9915</v>
      </c>
      <c r="G1408" s="1">
        <v>5</v>
      </c>
      <c r="H1408" s="1" t="s">
        <v>229</v>
      </c>
      <c r="I1408" s="1" t="str">
        <f>("1302230104")</f>
        <v>1302230104</v>
      </c>
    </row>
    <row r="1409" spans="1:10" x14ac:dyDescent="0.45">
      <c r="A1409" s="2" t="str">
        <f t="shared" ref="A1409:A1472" si="22">CONCATENATE(B1409,"_",C1409)</f>
        <v>ＦＣ中津ジュニア_16</v>
      </c>
      <c r="B1409" s="1" t="s">
        <v>3374</v>
      </c>
      <c r="C1409" s="1" t="str">
        <f>("16")</f>
        <v>16</v>
      </c>
      <c r="D1409" s="1" t="s">
        <v>210</v>
      </c>
      <c r="E1409" s="1" t="s">
        <v>9916</v>
      </c>
      <c r="F1409" s="1" t="s">
        <v>9917</v>
      </c>
      <c r="G1409" s="1">
        <v>5</v>
      </c>
      <c r="H1409" s="1" t="s">
        <v>229</v>
      </c>
      <c r="I1409" s="1" t="str">
        <f>("1205060138")</f>
        <v>1205060138</v>
      </c>
    </row>
    <row r="1410" spans="1:10" x14ac:dyDescent="0.45">
      <c r="A1410" s="2" t="str">
        <f t="shared" si="22"/>
        <v>ＦＣリーベル_1</v>
      </c>
      <c r="B1410" s="1" t="s">
        <v>5016</v>
      </c>
      <c r="C1410" s="1" t="str">
        <f>("1")</f>
        <v>1</v>
      </c>
      <c r="D1410" s="1" t="s">
        <v>207</v>
      </c>
      <c r="E1410" s="1" t="s">
        <v>5762</v>
      </c>
      <c r="F1410" s="1" t="s">
        <v>5763</v>
      </c>
      <c r="G1410" s="1">
        <v>6</v>
      </c>
      <c r="H1410" s="1" t="s">
        <v>229</v>
      </c>
      <c r="I1410" s="1" t="str">
        <f>("1104150015")</f>
        <v>1104150015</v>
      </c>
    </row>
    <row r="1411" spans="1:10" x14ac:dyDescent="0.45">
      <c r="A1411" s="2" t="str">
        <f t="shared" si="22"/>
        <v>ＦＣリーベル_3</v>
      </c>
      <c r="B1411" s="1" t="s">
        <v>5016</v>
      </c>
      <c r="C1411" s="1" t="str">
        <f>("3")</f>
        <v>3</v>
      </c>
      <c r="D1411" s="1" t="s">
        <v>209</v>
      </c>
      <c r="E1411" s="1" t="s">
        <v>6847</v>
      </c>
      <c r="F1411" s="1" t="s">
        <v>6848</v>
      </c>
      <c r="G1411" s="1">
        <v>4</v>
      </c>
      <c r="H1411" s="1" t="s">
        <v>229</v>
      </c>
      <c r="I1411" s="1" t="str">
        <f>("1301140093")</f>
        <v>1301140093</v>
      </c>
    </row>
    <row r="1412" spans="1:10" x14ac:dyDescent="0.45">
      <c r="A1412" s="2" t="str">
        <f t="shared" si="22"/>
        <v>ＦＣリーベル_4</v>
      </c>
      <c r="B1412" s="1" t="s">
        <v>5016</v>
      </c>
      <c r="C1412" s="1" t="str">
        <f>("4")</f>
        <v>4</v>
      </c>
      <c r="D1412" s="1" t="s">
        <v>209</v>
      </c>
      <c r="E1412" s="1" t="s">
        <v>6849</v>
      </c>
      <c r="F1412" s="1" t="s">
        <v>6850</v>
      </c>
      <c r="G1412" s="1">
        <v>4</v>
      </c>
      <c r="H1412" s="1" t="s">
        <v>229</v>
      </c>
      <c r="I1412" s="1" t="str">
        <f>("1307030012")</f>
        <v>1307030012</v>
      </c>
    </row>
    <row r="1413" spans="1:10" x14ac:dyDescent="0.45">
      <c r="A1413" s="2" t="str">
        <f t="shared" si="22"/>
        <v>ＦＣリーベル_5</v>
      </c>
      <c r="B1413" s="1" t="s">
        <v>5016</v>
      </c>
      <c r="C1413" s="1" t="str">
        <f>("5")</f>
        <v>5</v>
      </c>
      <c r="D1413" s="1" t="s">
        <v>209</v>
      </c>
      <c r="E1413" s="1" t="s">
        <v>6851</v>
      </c>
      <c r="F1413" s="1" t="s">
        <v>6852</v>
      </c>
      <c r="G1413" s="1">
        <v>6</v>
      </c>
      <c r="H1413" s="1" t="s">
        <v>229</v>
      </c>
      <c r="I1413" s="1" t="str">
        <f>("1110160124")</f>
        <v>1110160124</v>
      </c>
    </row>
    <row r="1414" spans="1:10" x14ac:dyDescent="0.45">
      <c r="A1414" s="2" t="str">
        <f t="shared" si="22"/>
        <v>ＦＣリーベル_6</v>
      </c>
      <c r="B1414" s="1" t="s">
        <v>5016</v>
      </c>
      <c r="C1414" s="1" t="str">
        <f>("6")</f>
        <v>6</v>
      </c>
      <c r="D1414" s="1" t="s">
        <v>209</v>
      </c>
      <c r="E1414" s="1" t="s">
        <v>6845</v>
      </c>
      <c r="F1414" s="1" t="s">
        <v>6846</v>
      </c>
      <c r="G1414" s="1">
        <v>5</v>
      </c>
      <c r="H1414" s="1" t="s">
        <v>231</v>
      </c>
      <c r="I1414" s="1" t="str">
        <f>("1206280003")</f>
        <v>1206280003</v>
      </c>
    </row>
    <row r="1415" spans="1:10" x14ac:dyDescent="0.45">
      <c r="A1415" s="2" t="str">
        <f t="shared" si="22"/>
        <v>ＦＣリーベル_7</v>
      </c>
      <c r="B1415" s="1" t="s">
        <v>5016</v>
      </c>
      <c r="C1415" s="1" t="str">
        <f>("7")</f>
        <v>7</v>
      </c>
      <c r="D1415" s="1" t="s">
        <v>208</v>
      </c>
      <c r="E1415" s="1" t="s">
        <v>9918</v>
      </c>
      <c r="F1415" s="1" t="s">
        <v>9919</v>
      </c>
      <c r="G1415" s="1">
        <v>6</v>
      </c>
      <c r="H1415" s="1" t="s">
        <v>229</v>
      </c>
      <c r="I1415" s="1" t="str">
        <f>("1107190064")</f>
        <v>1107190064</v>
      </c>
    </row>
    <row r="1416" spans="1:10" x14ac:dyDescent="0.45">
      <c r="A1416" s="2" t="str">
        <f t="shared" si="22"/>
        <v>ＦＣリーベル_8</v>
      </c>
      <c r="B1416" s="1" t="s">
        <v>5016</v>
      </c>
      <c r="C1416" s="1" t="str">
        <f>("8")</f>
        <v>8</v>
      </c>
      <c r="D1416" s="1" t="s">
        <v>209</v>
      </c>
      <c r="E1416" s="1" t="s">
        <v>9920</v>
      </c>
      <c r="F1416" s="1" t="s">
        <v>9921</v>
      </c>
      <c r="G1416" s="1">
        <v>5</v>
      </c>
      <c r="H1416" s="1" t="s">
        <v>231</v>
      </c>
      <c r="I1416" s="1" t="str">
        <f>("1210250178")</f>
        <v>1210250178</v>
      </c>
    </row>
    <row r="1417" spans="1:10" x14ac:dyDescent="0.45">
      <c r="A1417" s="2" t="str">
        <f t="shared" si="22"/>
        <v>ＦＣリーベル_9</v>
      </c>
      <c r="B1417" s="1" t="s">
        <v>5016</v>
      </c>
      <c r="C1417" s="1" t="str">
        <f>("9")</f>
        <v>9</v>
      </c>
      <c r="D1417" s="1" t="s">
        <v>208</v>
      </c>
      <c r="E1417" s="1" t="s">
        <v>9922</v>
      </c>
      <c r="F1417" s="1" t="s">
        <v>8276</v>
      </c>
      <c r="G1417" s="1">
        <v>6</v>
      </c>
      <c r="H1417" s="1" t="s">
        <v>229</v>
      </c>
      <c r="I1417" s="1" t="str">
        <f>("1105110300")</f>
        <v>1105110300</v>
      </c>
    </row>
    <row r="1418" spans="1:10" x14ac:dyDescent="0.45">
      <c r="A1418" s="2" t="str">
        <f t="shared" si="22"/>
        <v>ＦＣリーベル_10</v>
      </c>
      <c r="B1418" s="1" t="s">
        <v>5016</v>
      </c>
      <c r="C1418" s="1" t="str">
        <f>("10")</f>
        <v>10</v>
      </c>
      <c r="D1418" s="1" t="s">
        <v>210</v>
      </c>
      <c r="E1418" s="1" t="s">
        <v>5768</v>
      </c>
      <c r="F1418" s="1" t="s">
        <v>5769</v>
      </c>
      <c r="G1418" s="1">
        <v>4</v>
      </c>
      <c r="H1418" s="1" t="s">
        <v>229</v>
      </c>
      <c r="I1418" s="1" t="str">
        <f>("1307220004")</f>
        <v>1307220004</v>
      </c>
    </row>
    <row r="1419" spans="1:10" x14ac:dyDescent="0.45">
      <c r="A1419" s="2" t="str">
        <f t="shared" si="22"/>
        <v>ＦＣリーベル_11</v>
      </c>
      <c r="B1419" s="1" t="s">
        <v>5016</v>
      </c>
      <c r="C1419" s="1" t="str">
        <f>("11")</f>
        <v>11</v>
      </c>
      <c r="D1419" s="1" t="s">
        <v>210</v>
      </c>
      <c r="E1419" s="1" t="s">
        <v>5766</v>
      </c>
      <c r="F1419" s="1" t="s">
        <v>5767</v>
      </c>
      <c r="G1419" s="1">
        <v>5</v>
      </c>
      <c r="H1419" s="1" t="s">
        <v>229</v>
      </c>
      <c r="I1419" s="1" t="str">
        <f>("1205160007")</f>
        <v>1205160007</v>
      </c>
    </row>
    <row r="1420" spans="1:10" x14ac:dyDescent="0.45">
      <c r="A1420" s="2" t="str">
        <f t="shared" si="22"/>
        <v>ＦＣリーベル_12</v>
      </c>
      <c r="B1420" s="1" t="s">
        <v>5016</v>
      </c>
      <c r="C1420" s="1" t="str">
        <f>("12")</f>
        <v>12</v>
      </c>
      <c r="D1420" s="1" t="s">
        <v>207</v>
      </c>
      <c r="E1420" s="1" t="s">
        <v>5764</v>
      </c>
      <c r="F1420" s="1" t="s">
        <v>5765</v>
      </c>
      <c r="G1420" s="1">
        <v>6</v>
      </c>
      <c r="H1420" s="1" t="s">
        <v>229</v>
      </c>
      <c r="I1420" s="1" t="str">
        <f>("1109030033")</f>
        <v>1109030033</v>
      </c>
    </row>
    <row r="1421" spans="1:10" x14ac:dyDescent="0.45">
      <c r="A1421" s="2" t="str">
        <f t="shared" si="22"/>
        <v>ＦＣリーベル_14</v>
      </c>
      <c r="B1421" s="1" t="s">
        <v>5016</v>
      </c>
      <c r="C1421" s="1" t="str">
        <f>("14")</f>
        <v>14</v>
      </c>
      <c r="D1421" s="1" t="s">
        <v>209</v>
      </c>
      <c r="E1421" s="1" t="s">
        <v>5758</v>
      </c>
      <c r="F1421" s="1" t="s">
        <v>5759</v>
      </c>
      <c r="G1421" s="1">
        <v>6</v>
      </c>
      <c r="H1421" s="1" t="s">
        <v>229</v>
      </c>
      <c r="I1421" s="1" t="str">
        <f>("1110110037")</f>
        <v>1110110037</v>
      </c>
      <c r="J1421" s="1" t="s">
        <v>1858</v>
      </c>
    </row>
    <row r="1422" spans="1:10" x14ac:dyDescent="0.45">
      <c r="A1422" s="2" t="str">
        <f t="shared" si="22"/>
        <v>ＦＣリーベル_15</v>
      </c>
      <c r="B1422" s="1" t="s">
        <v>5016</v>
      </c>
      <c r="C1422" s="1" t="str">
        <f>("15")</f>
        <v>15</v>
      </c>
      <c r="D1422" s="1" t="s">
        <v>210</v>
      </c>
      <c r="E1422" s="1" t="s">
        <v>5760</v>
      </c>
      <c r="F1422" s="1" t="s">
        <v>5761</v>
      </c>
      <c r="G1422" s="1">
        <v>6</v>
      </c>
      <c r="H1422" s="1" t="s">
        <v>229</v>
      </c>
      <c r="I1422" s="1" t="str">
        <f>("1104130153")</f>
        <v>1104130153</v>
      </c>
    </row>
    <row r="1423" spans="1:10" x14ac:dyDescent="0.45">
      <c r="A1423" s="2" t="str">
        <f t="shared" si="22"/>
        <v>ＦＣリーベル_21</v>
      </c>
      <c r="B1423" s="1" t="s">
        <v>5016</v>
      </c>
      <c r="C1423" s="1" t="str">
        <f>("21")</f>
        <v>21</v>
      </c>
      <c r="D1423" s="1" t="s">
        <v>207</v>
      </c>
      <c r="E1423" s="1" t="s">
        <v>9923</v>
      </c>
      <c r="F1423" s="1" t="s">
        <v>9924</v>
      </c>
      <c r="G1423" s="1">
        <v>3</v>
      </c>
      <c r="H1423" s="1" t="s">
        <v>229</v>
      </c>
      <c r="I1423" s="1" t="str">
        <f>("1405090036")</f>
        <v>1405090036</v>
      </c>
    </row>
    <row r="1424" spans="1:10" x14ac:dyDescent="0.45">
      <c r="A1424" s="2" t="str">
        <f t="shared" si="22"/>
        <v>ＦＣリーベル_30</v>
      </c>
      <c r="B1424" s="1" t="s">
        <v>5016</v>
      </c>
      <c r="C1424" s="1" t="str">
        <f>("30")</f>
        <v>30</v>
      </c>
      <c r="D1424" s="1" t="s">
        <v>209</v>
      </c>
      <c r="E1424" s="1" t="s">
        <v>9925</v>
      </c>
      <c r="F1424" s="1" t="s">
        <v>9926</v>
      </c>
      <c r="G1424" s="1">
        <v>6</v>
      </c>
      <c r="H1424" s="1" t="s">
        <v>231</v>
      </c>
      <c r="I1424" s="1" t="str">
        <f>("1104020192")</f>
        <v>1104020192</v>
      </c>
    </row>
    <row r="1425" spans="1:10" x14ac:dyDescent="0.45">
      <c r="A1425" s="2" t="str">
        <f t="shared" si="22"/>
        <v>如水ジュニアサッカークラブ_1</v>
      </c>
      <c r="B1425" s="1" t="s">
        <v>5017</v>
      </c>
      <c r="C1425" s="1" t="str">
        <f>("1")</f>
        <v>1</v>
      </c>
      <c r="D1425" s="1" t="s">
        <v>207</v>
      </c>
      <c r="E1425" s="1" t="s">
        <v>5776</v>
      </c>
      <c r="F1425" s="1" t="s">
        <v>5777</v>
      </c>
      <c r="G1425" s="1">
        <v>6</v>
      </c>
      <c r="H1425" s="1" t="s">
        <v>229</v>
      </c>
      <c r="I1425" s="1" t="str">
        <f>("1106110121")</f>
        <v>1106110121</v>
      </c>
    </row>
    <row r="1426" spans="1:10" x14ac:dyDescent="0.45">
      <c r="A1426" s="2" t="str">
        <f t="shared" si="22"/>
        <v>如水ジュニアサッカークラブ_2</v>
      </c>
      <c r="B1426" s="1" t="s">
        <v>5017</v>
      </c>
      <c r="C1426" s="1" t="str">
        <f>("2")</f>
        <v>2</v>
      </c>
      <c r="D1426" s="1" t="s">
        <v>208</v>
      </c>
      <c r="E1426" s="1" t="s">
        <v>6853</v>
      </c>
      <c r="F1426" s="1" t="s">
        <v>6854</v>
      </c>
      <c r="G1426" s="1">
        <v>6</v>
      </c>
      <c r="H1426" s="1" t="s">
        <v>229</v>
      </c>
      <c r="I1426" s="1" t="str">
        <f>("1108010127")</f>
        <v>1108010127</v>
      </c>
    </row>
    <row r="1427" spans="1:10" x14ac:dyDescent="0.45">
      <c r="A1427" s="2" t="str">
        <f t="shared" si="22"/>
        <v>如水ジュニアサッカークラブ_3</v>
      </c>
      <c r="B1427" s="1" t="s">
        <v>5017</v>
      </c>
      <c r="C1427" s="1" t="str">
        <f>("3")</f>
        <v>3</v>
      </c>
      <c r="D1427" s="1" t="s">
        <v>208</v>
      </c>
      <c r="E1427" s="1" t="s">
        <v>6855</v>
      </c>
      <c r="F1427" s="1" t="s">
        <v>6856</v>
      </c>
      <c r="G1427" s="1">
        <v>6</v>
      </c>
      <c r="H1427" s="1" t="s">
        <v>229</v>
      </c>
      <c r="I1427" s="1" t="str">
        <f>("1104190153")</f>
        <v>1104190153</v>
      </c>
    </row>
    <row r="1428" spans="1:10" x14ac:dyDescent="0.45">
      <c r="A1428" s="2" t="str">
        <f t="shared" si="22"/>
        <v>如水ジュニアサッカークラブ_5</v>
      </c>
      <c r="B1428" s="1" t="s">
        <v>5017</v>
      </c>
      <c r="C1428" s="1" t="str">
        <f>("5")</f>
        <v>5</v>
      </c>
      <c r="D1428" s="1" t="s">
        <v>208</v>
      </c>
      <c r="E1428" s="1" t="s">
        <v>6857</v>
      </c>
      <c r="F1428" s="1" t="s">
        <v>6858</v>
      </c>
      <c r="G1428" s="1">
        <v>6</v>
      </c>
      <c r="H1428" s="1" t="s">
        <v>229</v>
      </c>
      <c r="I1428" s="1" t="str">
        <f>("1106240133")</f>
        <v>1106240133</v>
      </c>
    </row>
    <row r="1429" spans="1:10" x14ac:dyDescent="0.45">
      <c r="A1429" s="2" t="str">
        <f t="shared" si="22"/>
        <v>如水ジュニアサッカークラブ_7</v>
      </c>
      <c r="B1429" s="1" t="s">
        <v>5017</v>
      </c>
      <c r="C1429" s="1" t="str">
        <f>("7")</f>
        <v>7</v>
      </c>
      <c r="D1429" s="1" t="s">
        <v>209</v>
      </c>
      <c r="E1429" s="1" t="s">
        <v>6859</v>
      </c>
      <c r="F1429" s="1" t="s">
        <v>6860</v>
      </c>
      <c r="G1429" s="1">
        <v>6</v>
      </c>
      <c r="H1429" s="1" t="s">
        <v>229</v>
      </c>
      <c r="I1429" s="1" t="str">
        <f>("1107150199")</f>
        <v>1107150199</v>
      </c>
    </row>
    <row r="1430" spans="1:10" x14ac:dyDescent="0.45">
      <c r="A1430" s="2" t="str">
        <f t="shared" si="22"/>
        <v>如水ジュニアサッカークラブ_8</v>
      </c>
      <c r="B1430" s="1" t="s">
        <v>5017</v>
      </c>
      <c r="C1430" s="1" t="str">
        <f>("8")</f>
        <v>8</v>
      </c>
      <c r="D1430" s="1" t="s">
        <v>208</v>
      </c>
      <c r="E1430" s="1" t="s">
        <v>6867</v>
      </c>
      <c r="F1430" s="1" t="s">
        <v>6868</v>
      </c>
      <c r="G1430" s="1">
        <v>5</v>
      </c>
      <c r="H1430" s="1" t="s">
        <v>229</v>
      </c>
      <c r="I1430" s="1" t="str">
        <f>("1302020037")</f>
        <v>1302020037</v>
      </c>
    </row>
    <row r="1431" spans="1:10" x14ac:dyDescent="0.45">
      <c r="A1431" s="2" t="str">
        <f t="shared" si="22"/>
        <v>如水ジュニアサッカークラブ_9</v>
      </c>
      <c r="B1431" s="1" t="s">
        <v>5017</v>
      </c>
      <c r="C1431" s="1" t="str">
        <f>("9")</f>
        <v>9</v>
      </c>
      <c r="D1431" s="1" t="s">
        <v>209</v>
      </c>
      <c r="E1431" s="1" t="s">
        <v>6863</v>
      </c>
      <c r="F1431" s="1" t="s">
        <v>6864</v>
      </c>
      <c r="G1431" s="1">
        <v>5</v>
      </c>
      <c r="H1431" s="1" t="s">
        <v>229</v>
      </c>
      <c r="I1431" s="1" t="str">
        <f>("1209220035")</f>
        <v>1209220035</v>
      </c>
    </row>
    <row r="1432" spans="1:10" x14ac:dyDescent="0.45">
      <c r="A1432" s="2" t="str">
        <f t="shared" si="22"/>
        <v>如水ジュニアサッカークラブ_10</v>
      </c>
      <c r="B1432" s="1" t="s">
        <v>5017</v>
      </c>
      <c r="C1432" s="1" t="str">
        <f>("10")</f>
        <v>10</v>
      </c>
      <c r="D1432" s="1" t="s">
        <v>209</v>
      </c>
      <c r="E1432" s="1" t="s">
        <v>5774</v>
      </c>
      <c r="F1432" s="1" t="s">
        <v>5775</v>
      </c>
      <c r="G1432" s="1">
        <v>6</v>
      </c>
      <c r="H1432" s="1" t="s">
        <v>229</v>
      </c>
      <c r="I1432" s="1" t="str">
        <f>("1108270102")</f>
        <v>1108270102</v>
      </c>
      <c r="J1432" s="1" t="s">
        <v>1858</v>
      </c>
    </row>
    <row r="1433" spans="1:10" x14ac:dyDescent="0.45">
      <c r="A1433" s="2" t="str">
        <f t="shared" si="22"/>
        <v>如水ジュニアサッカークラブ_11</v>
      </c>
      <c r="B1433" s="1" t="s">
        <v>5017</v>
      </c>
      <c r="C1433" s="1" t="str">
        <f>("11")</f>
        <v>11</v>
      </c>
      <c r="D1433" s="1" t="s">
        <v>210</v>
      </c>
      <c r="E1433" s="1" t="s">
        <v>5770</v>
      </c>
      <c r="F1433" s="1" t="s">
        <v>5771</v>
      </c>
      <c r="G1433" s="1">
        <v>6</v>
      </c>
      <c r="H1433" s="1" t="s">
        <v>229</v>
      </c>
      <c r="I1433" s="1" t="str">
        <f>("1105310148")</f>
        <v>1105310148</v>
      </c>
    </row>
    <row r="1434" spans="1:10" x14ac:dyDescent="0.45">
      <c r="A1434" s="2" t="str">
        <f t="shared" si="22"/>
        <v>如水ジュニアサッカークラブ_12</v>
      </c>
      <c r="B1434" s="1" t="s">
        <v>5017</v>
      </c>
      <c r="C1434" s="1" t="str">
        <f>("12")</f>
        <v>12</v>
      </c>
      <c r="D1434" s="1" t="s">
        <v>207</v>
      </c>
      <c r="E1434" s="1" t="s">
        <v>9927</v>
      </c>
      <c r="F1434" s="1" t="s">
        <v>9928</v>
      </c>
      <c r="G1434" s="1">
        <v>5</v>
      </c>
      <c r="H1434" s="1" t="s">
        <v>229</v>
      </c>
      <c r="I1434" s="1" t="str">
        <f>("1209080141")</f>
        <v>1209080141</v>
      </c>
    </row>
    <row r="1435" spans="1:10" x14ac:dyDescent="0.45">
      <c r="A1435" s="2" t="str">
        <f t="shared" si="22"/>
        <v>如水ジュニアサッカークラブ_13</v>
      </c>
      <c r="B1435" s="1" t="s">
        <v>5017</v>
      </c>
      <c r="C1435" s="1" t="str">
        <f>("13")</f>
        <v>13</v>
      </c>
      <c r="D1435" s="1" t="s">
        <v>208</v>
      </c>
      <c r="E1435" s="1" t="s">
        <v>5772</v>
      </c>
      <c r="F1435" s="1" t="s">
        <v>5773</v>
      </c>
      <c r="G1435" s="1">
        <v>6</v>
      </c>
      <c r="H1435" s="1" t="s">
        <v>229</v>
      </c>
      <c r="I1435" s="1" t="str">
        <f>("1112190108")</f>
        <v>1112190108</v>
      </c>
    </row>
    <row r="1436" spans="1:10" x14ac:dyDescent="0.45">
      <c r="A1436" s="2" t="str">
        <f t="shared" si="22"/>
        <v>如水ジュニアサッカークラブ_14</v>
      </c>
      <c r="B1436" s="1" t="s">
        <v>5017</v>
      </c>
      <c r="C1436" s="1" t="str">
        <f>("14")</f>
        <v>14</v>
      </c>
      <c r="D1436" s="1" t="s">
        <v>210</v>
      </c>
      <c r="E1436" s="1" t="s">
        <v>9929</v>
      </c>
      <c r="F1436" s="1" t="s">
        <v>9930</v>
      </c>
      <c r="G1436" s="1">
        <v>5</v>
      </c>
      <c r="H1436" s="1" t="s">
        <v>229</v>
      </c>
      <c r="I1436" s="1" t="str">
        <f>("1206230074")</f>
        <v>1206230074</v>
      </c>
    </row>
    <row r="1437" spans="1:10" x14ac:dyDescent="0.45">
      <c r="A1437" s="2" t="str">
        <f t="shared" si="22"/>
        <v>如水ジュニアサッカークラブ_15</v>
      </c>
      <c r="B1437" s="1" t="s">
        <v>5017</v>
      </c>
      <c r="C1437" s="1" t="str">
        <f>("15")</f>
        <v>15</v>
      </c>
      <c r="D1437" s="1" t="s">
        <v>210</v>
      </c>
      <c r="E1437" s="1" t="s">
        <v>9931</v>
      </c>
      <c r="F1437" s="1" t="s">
        <v>9932</v>
      </c>
      <c r="G1437" s="1">
        <v>5</v>
      </c>
      <c r="H1437" s="1" t="s">
        <v>229</v>
      </c>
      <c r="I1437" s="1" t="str">
        <f>("1210010066")</f>
        <v>1210010066</v>
      </c>
    </row>
    <row r="1438" spans="1:10" x14ac:dyDescent="0.45">
      <c r="A1438" s="2" t="str">
        <f t="shared" si="22"/>
        <v>如水ジュニアサッカークラブ_16</v>
      </c>
      <c r="B1438" s="1" t="s">
        <v>5017</v>
      </c>
      <c r="C1438" s="1" t="str">
        <f>("16")</f>
        <v>16</v>
      </c>
      <c r="D1438" s="1" t="s">
        <v>208</v>
      </c>
      <c r="E1438" s="1" t="s">
        <v>6865</v>
      </c>
      <c r="F1438" s="1" t="s">
        <v>6866</v>
      </c>
      <c r="G1438" s="1">
        <v>5</v>
      </c>
      <c r="H1438" s="1" t="s">
        <v>229</v>
      </c>
      <c r="I1438" s="1" t="str">
        <f>("1208030060")</f>
        <v>1208030060</v>
      </c>
    </row>
    <row r="1439" spans="1:10" x14ac:dyDescent="0.45">
      <c r="A1439" s="2" t="str">
        <f t="shared" si="22"/>
        <v>如水ジュニアサッカークラブ_17</v>
      </c>
      <c r="B1439" s="1" t="s">
        <v>5017</v>
      </c>
      <c r="C1439" s="1" t="str">
        <f>("17")</f>
        <v>17</v>
      </c>
      <c r="D1439" s="1" t="s">
        <v>208</v>
      </c>
      <c r="E1439" s="1" t="s">
        <v>9933</v>
      </c>
      <c r="F1439" s="1" t="s">
        <v>9934</v>
      </c>
      <c r="G1439" s="1">
        <v>5</v>
      </c>
      <c r="H1439" s="1" t="s">
        <v>229</v>
      </c>
      <c r="I1439" s="1" t="str">
        <f>("1208250039")</f>
        <v>1208250039</v>
      </c>
    </row>
    <row r="1440" spans="1:10" x14ac:dyDescent="0.45">
      <c r="A1440" s="2" t="str">
        <f t="shared" si="22"/>
        <v>如水ジュニアサッカークラブ_18</v>
      </c>
      <c r="B1440" s="1" t="s">
        <v>5017</v>
      </c>
      <c r="C1440" s="1" t="str">
        <f>("18")</f>
        <v>18</v>
      </c>
      <c r="D1440" s="1" t="s">
        <v>209</v>
      </c>
      <c r="E1440" s="1" t="s">
        <v>6861</v>
      </c>
      <c r="F1440" s="1" t="s">
        <v>6862</v>
      </c>
      <c r="G1440" s="1">
        <v>5</v>
      </c>
      <c r="H1440" s="1" t="s">
        <v>229</v>
      </c>
      <c r="I1440" s="1" t="str">
        <f>("1207140043")</f>
        <v>1207140043</v>
      </c>
    </row>
    <row r="1441" spans="1:10" x14ac:dyDescent="0.45">
      <c r="A1441" s="2" t="str">
        <f t="shared" si="22"/>
        <v>ＦＣ．ＲＥ．ＳＴＡＲＴ　_2</v>
      </c>
      <c r="B1441" s="1" t="s">
        <v>5018</v>
      </c>
      <c r="C1441" s="1" t="str">
        <f>("2")</f>
        <v>2</v>
      </c>
      <c r="D1441" s="1" t="s">
        <v>210</v>
      </c>
      <c r="E1441" s="1" t="s">
        <v>9935</v>
      </c>
      <c r="F1441" s="1" t="s">
        <v>9936</v>
      </c>
      <c r="G1441" s="1">
        <v>3</v>
      </c>
      <c r="H1441" s="1" t="s">
        <v>229</v>
      </c>
      <c r="I1441" s="1" t="str">
        <f>("1404220042")</f>
        <v>1404220042</v>
      </c>
    </row>
    <row r="1442" spans="1:10" x14ac:dyDescent="0.45">
      <c r="A1442" s="2" t="str">
        <f t="shared" si="22"/>
        <v>ＦＣ．ＲＥ．ＳＴＡＲＴ　_3</v>
      </c>
      <c r="B1442" s="1" t="s">
        <v>5018</v>
      </c>
      <c r="C1442" s="1" t="str">
        <f>("3")</f>
        <v>3</v>
      </c>
      <c r="D1442" s="1" t="s">
        <v>209</v>
      </c>
      <c r="E1442" s="1" t="s">
        <v>9937</v>
      </c>
      <c r="F1442" s="1" t="s">
        <v>9938</v>
      </c>
      <c r="G1442" s="1">
        <v>4</v>
      </c>
      <c r="H1442" s="1" t="s">
        <v>229</v>
      </c>
      <c r="I1442" s="1" t="str">
        <f>("1312110089")</f>
        <v>1312110089</v>
      </c>
    </row>
    <row r="1443" spans="1:10" x14ac:dyDescent="0.45">
      <c r="A1443" s="2" t="str">
        <f t="shared" si="22"/>
        <v>ＦＣ．ＲＥ．ＳＴＡＲＴ　_4</v>
      </c>
      <c r="B1443" s="1" t="s">
        <v>5018</v>
      </c>
      <c r="C1443" s="1" t="str">
        <f>("4")</f>
        <v>4</v>
      </c>
      <c r="D1443" s="1" t="s">
        <v>210</v>
      </c>
      <c r="E1443" s="1" t="s">
        <v>9939</v>
      </c>
      <c r="F1443" s="1" t="s">
        <v>9940</v>
      </c>
      <c r="G1443" s="1">
        <v>4</v>
      </c>
      <c r="H1443" s="1" t="s">
        <v>229</v>
      </c>
      <c r="I1443" s="1" t="str">
        <f>("1305200152")</f>
        <v>1305200152</v>
      </c>
    </row>
    <row r="1444" spans="1:10" x14ac:dyDescent="0.45">
      <c r="A1444" s="2" t="str">
        <f t="shared" si="22"/>
        <v>ＦＣ．ＲＥ．ＳＴＡＲＴ　_5</v>
      </c>
      <c r="B1444" s="1" t="s">
        <v>5018</v>
      </c>
      <c r="C1444" s="1" t="str">
        <f>("5")</f>
        <v>5</v>
      </c>
      <c r="D1444" s="1" t="s">
        <v>208</v>
      </c>
      <c r="E1444" s="1" t="s">
        <v>5784</v>
      </c>
      <c r="F1444" s="1" t="s">
        <v>5785</v>
      </c>
      <c r="G1444" s="1">
        <v>5</v>
      </c>
      <c r="H1444" s="1" t="s">
        <v>229</v>
      </c>
      <c r="I1444" s="1" t="str">
        <f>("1212040024")</f>
        <v>1212040024</v>
      </c>
    </row>
    <row r="1445" spans="1:10" x14ac:dyDescent="0.45">
      <c r="A1445" s="2" t="str">
        <f t="shared" si="22"/>
        <v>ＦＣ．ＲＥ．ＳＴＡＲＴ　_6</v>
      </c>
      <c r="B1445" s="1" t="s">
        <v>5018</v>
      </c>
      <c r="C1445" s="1" t="str">
        <f>("6")</f>
        <v>6</v>
      </c>
      <c r="D1445" s="1" t="s">
        <v>210</v>
      </c>
      <c r="E1445" s="1" t="s">
        <v>9941</v>
      </c>
      <c r="F1445" s="1" t="s">
        <v>9942</v>
      </c>
      <c r="G1445" s="1">
        <v>5</v>
      </c>
      <c r="H1445" s="1" t="s">
        <v>229</v>
      </c>
      <c r="I1445" s="1" t="str">
        <f>("1207110206")</f>
        <v>1207110206</v>
      </c>
    </row>
    <row r="1446" spans="1:10" x14ac:dyDescent="0.45">
      <c r="A1446" s="2" t="str">
        <f t="shared" si="22"/>
        <v>ＦＣ．ＲＥ．ＳＴＡＲＴ　_7</v>
      </c>
      <c r="B1446" s="1" t="s">
        <v>5018</v>
      </c>
      <c r="C1446" s="1" t="str">
        <f>("7")</f>
        <v>7</v>
      </c>
      <c r="D1446" s="1" t="s">
        <v>209</v>
      </c>
      <c r="E1446" s="1" t="s">
        <v>5790</v>
      </c>
      <c r="F1446" s="1" t="s">
        <v>5791</v>
      </c>
      <c r="G1446" s="1">
        <v>5</v>
      </c>
      <c r="H1446" s="1" t="s">
        <v>229</v>
      </c>
      <c r="I1446" s="1" t="str">
        <f>("1210100029")</f>
        <v>1210100029</v>
      </c>
    </row>
    <row r="1447" spans="1:10" x14ac:dyDescent="0.45">
      <c r="A1447" s="2" t="str">
        <f t="shared" si="22"/>
        <v>ＦＣ．ＲＥ．ＳＴＡＲＴ　_8</v>
      </c>
      <c r="B1447" s="1" t="s">
        <v>5018</v>
      </c>
      <c r="C1447" s="1" t="str">
        <f>("8")</f>
        <v>8</v>
      </c>
      <c r="D1447" s="1" t="s">
        <v>208</v>
      </c>
      <c r="E1447" s="1" t="s">
        <v>5782</v>
      </c>
      <c r="F1447" s="1" t="s">
        <v>5783</v>
      </c>
      <c r="G1447" s="1">
        <v>5</v>
      </c>
      <c r="H1447" s="1" t="s">
        <v>229</v>
      </c>
      <c r="I1447" s="1" t="str">
        <f>("1209140017")</f>
        <v>1209140017</v>
      </c>
    </row>
    <row r="1448" spans="1:10" x14ac:dyDescent="0.45">
      <c r="A1448" s="2" t="str">
        <f t="shared" si="22"/>
        <v>ＦＣ．ＲＥ．ＳＴＡＲＴ　_9</v>
      </c>
      <c r="B1448" s="1" t="s">
        <v>5018</v>
      </c>
      <c r="C1448" s="1" t="str">
        <f>("9")</f>
        <v>9</v>
      </c>
      <c r="D1448" s="1" t="s">
        <v>209</v>
      </c>
      <c r="E1448" s="1" t="s">
        <v>5786</v>
      </c>
      <c r="F1448" s="1" t="s">
        <v>5787</v>
      </c>
      <c r="G1448" s="1">
        <v>5</v>
      </c>
      <c r="H1448" s="1" t="s">
        <v>229</v>
      </c>
      <c r="I1448" s="1" t="str">
        <f>("1209150013")</f>
        <v>1209150013</v>
      </c>
    </row>
    <row r="1449" spans="1:10" x14ac:dyDescent="0.45">
      <c r="A1449" s="2" t="str">
        <f t="shared" si="22"/>
        <v>ＦＣ．ＲＥ．ＳＴＡＲＴ　_10</v>
      </c>
      <c r="B1449" s="1" t="s">
        <v>5018</v>
      </c>
      <c r="C1449" s="1" t="str">
        <f>("10")</f>
        <v>10</v>
      </c>
      <c r="D1449" s="1" t="s">
        <v>209</v>
      </c>
      <c r="E1449" s="1" t="s">
        <v>9943</v>
      </c>
      <c r="F1449" s="1" t="s">
        <v>9944</v>
      </c>
      <c r="G1449" s="1">
        <v>6</v>
      </c>
      <c r="H1449" s="1" t="s">
        <v>229</v>
      </c>
      <c r="I1449" s="1" t="str">
        <f>("1105020064")</f>
        <v>1105020064</v>
      </c>
    </row>
    <row r="1450" spans="1:10" x14ac:dyDescent="0.45">
      <c r="A1450" s="2" t="str">
        <f t="shared" si="22"/>
        <v>ＦＣ．ＲＥ．ＳＴＡＲＴ　_11</v>
      </c>
      <c r="B1450" s="1" t="s">
        <v>5018</v>
      </c>
      <c r="C1450" s="1" t="str">
        <f>("11")</f>
        <v>11</v>
      </c>
      <c r="D1450" s="1" t="s">
        <v>209</v>
      </c>
      <c r="E1450" s="1" t="s">
        <v>5059</v>
      </c>
      <c r="F1450" s="1" t="s">
        <v>5060</v>
      </c>
      <c r="G1450" s="1">
        <v>5</v>
      </c>
      <c r="H1450" s="1" t="s">
        <v>229</v>
      </c>
      <c r="I1450" s="1" t="str">
        <f>("1205290036")</f>
        <v>1205290036</v>
      </c>
    </row>
    <row r="1451" spans="1:10" x14ac:dyDescent="0.45">
      <c r="A1451" s="2" t="str">
        <f t="shared" si="22"/>
        <v>ＦＣ．ＲＥ．ＳＴＡＲＴ　_12</v>
      </c>
      <c r="B1451" s="1" t="s">
        <v>5018</v>
      </c>
      <c r="C1451" s="1" t="str">
        <f>("12")</f>
        <v>12</v>
      </c>
      <c r="D1451" s="1" t="s">
        <v>210</v>
      </c>
      <c r="E1451" s="1" t="s">
        <v>9945</v>
      </c>
      <c r="F1451" s="1" t="s">
        <v>9946</v>
      </c>
      <c r="G1451" s="1">
        <v>4</v>
      </c>
      <c r="H1451" s="1" t="s">
        <v>229</v>
      </c>
      <c r="I1451" s="1" t="str">
        <f>("1306140093")</f>
        <v>1306140093</v>
      </c>
    </row>
    <row r="1452" spans="1:10" x14ac:dyDescent="0.45">
      <c r="A1452" s="2" t="str">
        <f t="shared" si="22"/>
        <v>ＦＣ．ＲＥ．ＳＴＡＲＴ　_13</v>
      </c>
      <c r="B1452" s="1" t="s">
        <v>5018</v>
      </c>
      <c r="C1452" s="1" t="str">
        <f>("13")</f>
        <v>13</v>
      </c>
      <c r="D1452" s="1" t="s">
        <v>207</v>
      </c>
      <c r="E1452" s="1" t="s">
        <v>9947</v>
      </c>
      <c r="F1452" s="1" t="s">
        <v>9948</v>
      </c>
      <c r="G1452" s="1">
        <v>6</v>
      </c>
      <c r="H1452" s="1" t="s">
        <v>229</v>
      </c>
      <c r="I1452" s="1" t="str">
        <f>("1110300109")</f>
        <v>1110300109</v>
      </c>
      <c r="J1452" s="1" t="s">
        <v>1858</v>
      </c>
    </row>
    <row r="1453" spans="1:10" x14ac:dyDescent="0.45">
      <c r="A1453" s="2" t="str">
        <f t="shared" si="22"/>
        <v>ＦＣ．ＲＥ．ＳＴＡＲＴ　_14</v>
      </c>
      <c r="B1453" s="1" t="s">
        <v>5018</v>
      </c>
      <c r="C1453" s="1" t="str">
        <f>("14")</f>
        <v>14</v>
      </c>
      <c r="D1453" s="1" t="s">
        <v>210</v>
      </c>
      <c r="E1453" s="1" t="s">
        <v>9949</v>
      </c>
      <c r="F1453" s="1" t="s">
        <v>9950</v>
      </c>
      <c r="G1453" s="1">
        <v>2</v>
      </c>
      <c r="H1453" s="1" t="s">
        <v>229</v>
      </c>
      <c r="I1453" s="1" t="str">
        <f>("1505140012")</f>
        <v>1505140012</v>
      </c>
    </row>
    <row r="1454" spans="1:10" x14ac:dyDescent="0.45">
      <c r="A1454" s="2" t="str">
        <f t="shared" si="22"/>
        <v>ＦＣ．ＲＥ．ＳＴＡＲＴ　_15</v>
      </c>
      <c r="B1454" s="1" t="s">
        <v>5018</v>
      </c>
      <c r="C1454" s="1" t="str">
        <f>("15")</f>
        <v>15</v>
      </c>
      <c r="D1454" s="1" t="s">
        <v>207</v>
      </c>
      <c r="E1454" s="1" t="s">
        <v>6869</v>
      </c>
      <c r="F1454" s="1" t="s">
        <v>6870</v>
      </c>
      <c r="G1454" s="1">
        <v>5</v>
      </c>
      <c r="H1454" s="1" t="s">
        <v>229</v>
      </c>
      <c r="I1454" s="1" t="str">
        <f>("1211250074")</f>
        <v>1211250074</v>
      </c>
    </row>
    <row r="1455" spans="1:10" x14ac:dyDescent="0.45">
      <c r="A1455" s="2" t="str">
        <f t="shared" si="22"/>
        <v>彦陽ジュニアサッカークラブ_1</v>
      </c>
      <c r="B1455" s="1" t="s">
        <v>9951</v>
      </c>
      <c r="C1455" s="1" t="str">
        <f>("1")</f>
        <v>1</v>
      </c>
      <c r="D1455" s="1" t="s">
        <v>207</v>
      </c>
      <c r="E1455" s="1" t="s">
        <v>9952</v>
      </c>
      <c r="F1455" s="1" t="s">
        <v>9953</v>
      </c>
      <c r="G1455" s="1">
        <v>6</v>
      </c>
      <c r="H1455" s="1" t="s">
        <v>229</v>
      </c>
      <c r="I1455" s="1" t="str">
        <f>("1111020225")</f>
        <v>1111020225</v>
      </c>
    </row>
    <row r="1456" spans="1:10" x14ac:dyDescent="0.45">
      <c r="A1456" s="2" t="str">
        <f t="shared" si="22"/>
        <v>彦陽ジュニアサッカークラブ_2</v>
      </c>
      <c r="B1456" s="1" t="s">
        <v>9951</v>
      </c>
      <c r="C1456" s="1" t="str">
        <f>("2")</f>
        <v>2</v>
      </c>
      <c r="D1456" s="1" t="s">
        <v>209</v>
      </c>
      <c r="E1456" s="1" t="s">
        <v>9954</v>
      </c>
      <c r="F1456" s="1" t="s">
        <v>9955</v>
      </c>
      <c r="G1456" s="1">
        <v>4</v>
      </c>
      <c r="H1456" s="1" t="s">
        <v>229</v>
      </c>
      <c r="I1456" s="1" t="str">
        <f>("1302180185")</f>
        <v>1302180185</v>
      </c>
    </row>
    <row r="1457" spans="1:10" x14ac:dyDescent="0.45">
      <c r="A1457" s="2" t="str">
        <f t="shared" si="22"/>
        <v>彦陽ジュニアサッカークラブ_3</v>
      </c>
      <c r="B1457" s="1" t="s">
        <v>9951</v>
      </c>
      <c r="C1457" s="1" t="str">
        <f>("3")</f>
        <v>3</v>
      </c>
      <c r="D1457" s="1" t="s">
        <v>209</v>
      </c>
      <c r="E1457" s="1" t="s">
        <v>9956</v>
      </c>
      <c r="F1457" s="1" t="s">
        <v>9957</v>
      </c>
      <c r="G1457" s="1">
        <v>4</v>
      </c>
      <c r="H1457" s="1" t="s">
        <v>229</v>
      </c>
      <c r="I1457" s="1" t="str">
        <f>("1307090096")</f>
        <v>1307090096</v>
      </c>
    </row>
    <row r="1458" spans="1:10" x14ac:dyDescent="0.45">
      <c r="A1458" s="2" t="str">
        <f t="shared" si="22"/>
        <v>彦陽ジュニアサッカークラブ_4</v>
      </c>
      <c r="B1458" s="1" t="s">
        <v>9951</v>
      </c>
      <c r="C1458" s="1" t="str">
        <f>("4")</f>
        <v>4</v>
      </c>
      <c r="D1458" s="1" t="s">
        <v>209</v>
      </c>
      <c r="E1458" s="1" t="s">
        <v>9958</v>
      </c>
      <c r="F1458" s="1" t="s">
        <v>9959</v>
      </c>
      <c r="G1458" s="1">
        <v>4</v>
      </c>
      <c r="H1458" s="1" t="s">
        <v>229</v>
      </c>
      <c r="I1458" s="1" t="str">
        <f>("1308090097")</f>
        <v>1308090097</v>
      </c>
    </row>
    <row r="1459" spans="1:10" x14ac:dyDescent="0.45">
      <c r="A1459" s="2" t="str">
        <f t="shared" si="22"/>
        <v>彦陽ジュニアサッカークラブ_5</v>
      </c>
      <c r="B1459" s="1" t="s">
        <v>9951</v>
      </c>
      <c r="C1459" s="1" t="str">
        <f>("5")</f>
        <v>5</v>
      </c>
      <c r="D1459" s="1" t="s">
        <v>208</v>
      </c>
      <c r="E1459" s="1" t="s">
        <v>9960</v>
      </c>
      <c r="F1459" s="1" t="s">
        <v>9961</v>
      </c>
      <c r="G1459" s="1">
        <v>4</v>
      </c>
      <c r="H1459" s="1" t="s">
        <v>231</v>
      </c>
      <c r="I1459" s="1" t="str">
        <f>("1309050083")</f>
        <v>1309050083</v>
      </c>
    </row>
    <row r="1460" spans="1:10" x14ac:dyDescent="0.45">
      <c r="A1460" s="2" t="str">
        <f t="shared" si="22"/>
        <v>彦陽ジュニアサッカークラブ_6</v>
      </c>
      <c r="B1460" s="1" t="s">
        <v>9951</v>
      </c>
      <c r="C1460" s="1" t="str">
        <f>("6")</f>
        <v>6</v>
      </c>
      <c r="D1460" s="1" t="s">
        <v>208</v>
      </c>
      <c r="E1460" s="1" t="s">
        <v>9962</v>
      </c>
      <c r="F1460" s="1" t="s">
        <v>9963</v>
      </c>
      <c r="G1460" s="1">
        <v>5</v>
      </c>
      <c r="H1460" s="1" t="s">
        <v>229</v>
      </c>
      <c r="I1460" s="1" t="str">
        <f>("1207180191")</f>
        <v>1207180191</v>
      </c>
    </row>
    <row r="1461" spans="1:10" x14ac:dyDescent="0.45">
      <c r="A1461" s="2" t="str">
        <f t="shared" si="22"/>
        <v>彦陽ジュニアサッカークラブ_7</v>
      </c>
      <c r="B1461" s="1" t="s">
        <v>9951</v>
      </c>
      <c r="C1461" s="1" t="str">
        <f>("7")</f>
        <v>7</v>
      </c>
      <c r="D1461" s="1" t="s">
        <v>209</v>
      </c>
      <c r="E1461" s="1" t="s">
        <v>9964</v>
      </c>
      <c r="F1461" s="1" t="s">
        <v>9965</v>
      </c>
      <c r="G1461" s="1">
        <v>5</v>
      </c>
      <c r="H1461" s="1" t="s">
        <v>229</v>
      </c>
      <c r="I1461" s="1" t="str">
        <f>("1301250160")</f>
        <v>1301250160</v>
      </c>
    </row>
    <row r="1462" spans="1:10" x14ac:dyDescent="0.45">
      <c r="A1462" s="2" t="str">
        <f t="shared" si="22"/>
        <v>彦陽ジュニアサッカークラブ_8</v>
      </c>
      <c r="B1462" s="1" t="s">
        <v>9951</v>
      </c>
      <c r="C1462" s="1" t="str">
        <f>("8")</f>
        <v>8</v>
      </c>
      <c r="D1462" s="1" t="s">
        <v>208</v>
      </c>
      <c r="E1462" s="1" t="s">
        <v>9966</v>
      </c>
      <c r="F1462" s="1" t="s">
        <v>9967</v>
      </c>
      <c r="G1462" s="1">
        <v>5</v>
      </c>
      <c r="H1462" s="1" t="s">
        <v>229</v>
      </c>
      <c r="I1462" s="1" t="str">
        <f>("1302280123")</f>
        <v>1302280123</v>
      </c>
    </row>
    <row r="1463" spans="1:10" x14ac:dyDescent="0.45">
      <c r="A1463" s="2" t="str">
        <f t="shared" si="22"/>
        <v>彦陽ジュニアサッカークラブ_9</v>
      </c>
      <c r="B1463" s="1" t="s">
        <v>9951</v>
      </c>
      <c r="C1463" s="1" t="str">
        <f>("9")</f>
        <v>9</v>
      </c>
      <c r="D1463" s="1" t="s">
        <v>208</v>
      </c>
      <c r="E1463" s="1" t="s">
        <v>9968</v>
      </c>
      <c r="F1463" s="1" t="s">
        <v>9969</v>
      </c>
      <c r="G1463" s="1">
        <v>6</v>
      </c>
      <c r="H1463" s="1" t="s">
        <v>229</v>
      </c>
      <c r="I1463" s="1" t="str">
        <f>("1106270220")</f>
        <v>1106270220</v>
      </c>
    </row>
    <row r="1464" spans="1:10" x14ac:dyDescent="0.45">
      <c r="A1464" s="2" t="str">
        <f t="shared" si="22"/>
        <v>彦陽ジュニアサッカークラブ_10</v>
      </c>
      <c r="B1464" s="1" t="s">
        <v>9951</v>
      </c>
      <c r="C1464" s="1" t="str">
        <f>("10")</f>
        <v>10</v>
      </c>
      <c r="D1464" s="1" t="s">
        <v>210</v>
      </c>
      <c r="E1464" s="1" t="s">
        <v>9970</v>
      </c>
      <c r="F1464" s="1" t="s">
        <v>9971</v>
      </c>
      <c r="G1464" s="1">
        <v>6</v>
      </c>
      <c r="H1464" s="1" t="s">
        <v>229</v>
      </c>
      <c r="I1464" s="1" t="str">
        <f>("1111020226")</f>
        <v>1111020226</v>
      </c>
      <c r="J1464" s="1" t="s">
        <v>1858</v>
      </c>
    </row>
    <row r="1465" spans="1:10" x14ac:dyDescent="0.45">
      <c r="A1465" s="2" t="str">
        <f t="shared" si="22"/>
        <v>彦陽ジュニアサッカークラブ_11</v>
      </c>
      <c r="B1465" s="1" t="s">
        <v>9951</v>
      </c>
      <c r="C1465" s="1" t="str">
        <f>("11")</f>
        <v>11</v>
      </c>
      <c r="D1465" s="1" t="s">
        <v>209</v>
      </c>
      <c r="E1465" s="1" t="s">
        <v>9972</v>
      </c>
      <c r="F1465" s="1" t="s">
        <v>9973</v>
      </c>
      <c r="G1465" s="1">
        <v>4</v>
      </c>
      <c r="H1465" s="1" t="s">
        <v>229</v>
      </c>
      <c r="I1465" s="1" t="str">
        <f>("1207050234")</f>
        <v>1207050234</v>
      </c>
    </row>
    <row r="1466" spans="1:10" x14ac:dyDescent="0.45">
      <c r="A1466" s="2" t="str">
        <f t="shared" si="22"/>
        <v>彦陽ジュニアサッカークラブ_12</v>
      </c>
      <c r="B1466" s="1" t="s">
        <v>9951</v>
      </c>
      <c r="C1466" s="1" t="str">
        <f>("12")</f>
        <v>12</v>
      </c>
      <c r="D1466" s="1" t="s">
        <v>210</v>
      </c>
      <c r="E1466" s="1" t="s">
        <v>9974</v>
      </c>
      <c r="F1466" s="1" t="s">
        <v>9975</v>
      </c>
      <c r="G1466" s="1">
        <v>3</v>
      </c>
      <c r="H1466" s="1" t="s">
        <v>229</v>
      </c>
      <c r="I1466" s="1" t="str">
        <f>("1503060028")</f>
        <v>1503060028</v>
      </c>
    </row>
    <row r="1467" spans="1:10" x14ac:dyDescent="0.45">
      <c r="A1467" s="2" t="str">
        <f t="shared" si="22"/>
        <v>彦陽ジュニアサッカークラブ_13</v>
      </c>
      <c r="B1467" s="1" t="s">
        <v>9951</v>
      </c>
      <c r="C1467" s="1" t="str">
        <f>("13")</f>
        <v>13</v>
      </c>
      <c r="D1467" s="1" t="s">
        <v>210</v>
      </c>
      <c r="E1467" s="1" t="s">
        <v>9976</v>
      </c>
      <c r="F1467" s="1" t="s">
        <v>9977</v>
      </c>
      <c r="G1467" s="1">
        <v>3</v>
      </c>
      <c r="H1467" s="1" t="s">
        <v>229</v>
      </c>
      <c r="I1467" s="1" t="str">
        <f>("1411180025")</f>
        <v>1411180025</v>
      </c>
    </row>
    <row r="1468" spans="1:10" x14ac:dyDescent="0.45">
      <c r="A1468" s="2" t="str">
        <f t="shared" si="22"/>
        <v>彦陽ジュニアサッカークラブ_14</v>
      </c>
      <c r="B1468" s="1" t="s">
        <v>9951</v>
      </c>
      <c r="C1468" s="1" t="str">
        <f>("14")</f>
        <v>14</v>
      </c>
      <c r="D1468" s="1" t="s">
        <v>210</v>
      </c>
      <c r="E1468" s="1" t="s">
        <v>9978</v>
      </c>
      <c r="F1468" s="1" t="s">
        <v>9979</v>
      </c>
      <c r="G1468" s="1">
        <v>3</v>
      </c>
      <c r="H1468" s="1" t="s">
        <v>229</v>
      </c>
      <c r="I1468" s="1" t="str">
        <f>("1408130039")</f>
        <v>1408130039</v>
      </c>
    </row>
    <row r="1469" spans="1:10" x14ac:dyDescent="0.45">
      <c r="A1469" s="2" t="str">
        <f t="shared" si="22"/>
        <v>彦陽ジュニアサッカークラブ_15</v>
      </c>
      <c r="B1469" s="1" t="s">
        <v>9951</v>
      </c>
      <c r="C1469" s="1" t="str">
        <f>("15")</f>
        <v>15</v>
      </c>
      <c r="D1469" s="1" t="s">
        <v>210</v>
      </c>
      <c r="E1469" s="1" t="s">
        <v>9980</v>
      </c>
      <c r="F1469" s="1" t="s">
        <v>9981</v>
      </c>
      <c r="G1469" s="1">
        <v>3</v>
      </c>
      <c r="H1469" s="1" t="s">
        <v>229</v>
      </c>
      <c r="I1469" s="1" t="str">
        <f>("1405120030")</f>
        <v>1405120030</v>
      </c>
    </row>
    <row r="1470" spans="1:10" x14ac:dyDescent="0.45">
      <c r="A1470" s="2" t="str">
        <f t="shared" si="22"/>
        <v>彦陽ジュニアサッカークラブ_16</v>
      </c>
      <c r="B1470" s="1" t="s">
        <v>9951</v>
      </c>
      <c r="C1470" s="1" t="str">
        <f>("16")</f>
        <v>16</v>
      </c>
      <c r="D1470" s="1" t="s">
        <v>210</v>
      </c>
      <c r="E1470" s="1" t="s">
        <v>9982</v>
      </c>
      <c r="F1470" s="1" t="s">
        <v>9983</v>
      </c>
      <c r="G1470" s="1">
        <v>2</v>
      </c>
      <c r="H1470" s="1" t="s">
        <v>229</v>
      </c>
      <c r="I1470" s="1" t="str">
        <f>("1410210093")</f>
        <v>1410210093</v>
      </c>
    </row>
    <row r="1471" spans="1:10" x14ac:dyDescent="0.45">
      <c r="A1471" s="2" t="str">
        <f t="shared" si="22"/>
        <v>Ｄｉｖｅｒｔ．ＦＣ_1</v>
      </c>
      <c r="B1471" s="1" t="s">
        <v>9984</v>
      </c>
      <c r="C1471" s="1" t="str">
        <f>("1")</f>
        <v>1</v>
      </c>
      <c r="D1471" s="1" t="s">
        <v>207</v>
      </c>
      <c r="E1471" s="1" t="s">
        <v>9985</v>
      </c>
      <c r="F1471" s="1" t="s">
        <v>9986</v>
      </c>
      <c r="G1471" s="1">
        <v>6</v>
      </c>
      <c r="H1471" s="1" t="s">
        <v>229</v>
      </c>
      <c r="I1471" s="1" t="str">
        <f>("1203230087")</f>
        <v>1203230087</v>
      </c>
    </row>
    <row r="1472" spans="1:10" x14ac:dyDescent="0.45">
      <c r="A1472" s="2" t="str">
        <f t="shared" si="22"/>
        <v>Ｄｉｖｅｒｔ．ＦＣ_2</v>
      </c>
      <c r="B1472" s="1" t="s">
        <v>9984</v>
      </c>
      <c r="C1472" s="1" t="str">
        <f>("2")</f>
        <v>2</v>
      </c>
      <c r="D1472" s="1" t="s">
        <v>208</v>
      </c>
      <c r="E1472" s="1" t="s">
        <v>9987</v>
      </c>
      <c r="F1472" s="1" t="s">
        <v>9988</v>
      </c>
      <c r="G1472" s="1">
        <v>3</v>
      </c>
      <c r="H1472" s="1" t="s">
        <v>229</v>
      </c>
      <c r="I1472" s="1" t="str">
        <f>("1407020078")</f>
        <v>1407020078</v>
      </c>
    </row>
    <row r="1473" spans="1:10" x14ac:dyDescent="0.45">
      <c r="A1473" s="2" t="str">
        <f t="shared" ref="A1473:A1481" si="23">CONCATENATE(B1473,"_",C1473)</f>
        <v>Ｄｉｖｅｒｔ．ＦＣ_3</v>
      </c>
      <c r="B1473" s="1" t="s">
        <v>9984</v>
      </c>
      <c r="C1473" s="1" t="str">
        <f>("3")</f>
        <v>3</v>
      </c>
      <c r="D1473" s="1" t="s">
        <v>208</v>
      </c>
      <c r="E1473" s="1" t="s">
        <v>9989</v>
      </c>
      <c r="F1473" s="1" t="s">
        <v>9990</v>
      </c>
      <c r="G1473" s="1">
        <v>3</v>
      </c>
      <c r="H1473" s="1" t="s">
        <v>229</v>
      </c>
      <c r="I1473" s="1" t="str">
        <f>("1407250089")</f>
        <v>1407250089</v>
      </c>
    </row>
    <row r="1474" spans="1:10" x14ac:dyDescent="0.45">
      <c r="A1474" s="2" t="str">
        <f t="shared" si="23"/>
        <v>Ｄｉｖｅｒｔ．ＦＣ_4</v>
      </c>
      <c r="B1474" s="1" t="s">
        <v>9984</v>
      </c>
      <c r="C1474" s="1" t="str">
        <f>("4")</f>
        <v>4</v>
      </c>
      <c r="D1474" s="1" t="s">
        <v>208</v>
      </c>
      <c r="E1474" s="1" t="s">
        <v>9991</v>
      </c>
      <c r="F1474" s="1" t="s">
        <v>9992</v>
      </c>
      <c r="G1474" s="1">
        <v>5</v>
      </c>
      <c r="H1474" s="1" t="s">
        <v>229</v>
      </c>
      <c r="I1474" s="1" t="str">
        <f>("1212060009")</f>
        <v>1212060009</v>
      </c>
    </row>
    <row r="1475" spans="1:10" x14ac:dyDescent="0.45">
      <c r="A1475" s="2" t="str">
        <f t="shared" si="23"/>
        <v>Ｄｉｖｅｒｔ．ＦＣ_5</v>
      </c>
      <c r="B1475" s="1" t="s">
        <v>9984</v>
      </c>
      <c r="C1475" s="1" t="str">
        <f>("5")</f>
        <v>5</v>
      </c>
      <c r="D1475" s="1" t="s">
        <v>209</v>
      </c>
      <c r="E1475" s="1" t="s">
        <v>9993</v>
      </c>
      <c r="F1475" s="1" t="s">
        <v>9994</v>
      </c>
      <c r="G1475" s="1">
        <v>5</v>
      </c>
      <c r="H1475" s="1" t="s">
        <v>231</v>
      </c>
      <c r="I1475" s="1" t="str">
        <f>("1209140235")</f>
        <v>1209140235</v>
      </c>
    </row>
    <row r="1476" spans="1:10" x14ac:dyDescent="0.45">
      <c r="A1476" s="2" t="str">
        <f t="shared" si="23"/>
        <v>Ｄｉｖｅｒｔ．ＦＣ_6</v>
      </c>
      <c r="B1476" s="1" t="s">
        <v>9984</v>
      </c>
      <c r="C1476" s="1" t="str">
        <f>("6")</f>
        <v>6</v>
      </c>
      <c r="D1476" s="1" t="s">
        <v>209</v>
      </c>
      <c r="E1476" s="1" t="s">
        <v>9995</v>
      </c>
      <c r="F1476" s="1" t="s">
        <v>9996</v>
      </c>
      <c r="G1476" s="1">
        <v>6</v>
      </c>
      <c r="H1476" s="1" t="s">
        <v>229</v>
      </c>
      <c r="I1476" s="1" t="str">
        <f>("1109070275")</f>
        <v>1109070275</v>
      </c>
    </row>
    <row r="1477" spans="1:10" x14ac:dyDescent="0.45">
      <c r="A1477" s="2" t="str">
        <f t="shared" si="23"/>
        <v>Ｄｉｖｅｒｔ．ＦＣ_7</v>
      </c>
      <c r="B1477" s="1" t="s">
        <v>9984</v>
      </c>
      <c r="C1477" s="1" t="str">
        <f>("7")</f>
        <v>7</v>
      </c>
      <c r="D1477" s="1" t="s">
        <v>209</v>
      </c>
      <c r="E1477" s="1" t="s">
        <v>9997</v>
      </c>
      <c r="F1477" s="1" t="s">
        <v>9998</v>
      </c>
      <c r="G1477" s="1">
        <v>4</v>
      </c>
      <c r="H1477" s="1" t="s">
        <v>229</v>
      </c>
      <c r="I1477" s="1" t="str">
        <f>("1308180099")</f>
        <v>1308180099</v>
      </c>
    </row>
    <row r="1478" spans="1:10" x14ac:dyDescent="0.45">
      <c r="A1478" s="2" t="str">
        <f t="shared" si="23"/>
        <v>Ｄｉｖｅｒｔ．ＦＣ_8</v>
      </c>
      <c r="B1478" s="1" t="s">
        <v>9984</v>
      </c>
      <c r="C1478" s="1" t="str">
        <f>("8")</f>
        <v>8</v>
      </c>
      <c r="D1478" s="1" t="s">
        <v>208</v>
      </c>
      <c r="E1478" s="1" t="s">
        <v>9999</v>
      </c>
      <c r="F1478" s="1" t="s">
        <v>10000</v>
      </c>
      <c r="G1478" s="1">
        <v>4</v>
      </c>
      <c r="H1478" s="1" t="s">
        <v>229</v>
      </c>
      <c r="I1478" s="1" t="str">
        <f>("1401290001")</f>
        <v>1401290001</v>
      </c>
    </row>
    <row r="1479" spans="1:10" x14ac:dyDescent="0.45">
      <c r="A1479" s="2" t="str">
        <f t="shared" si="23"/>
        <v>Ｄｉｖｅｒｔ．ＦＣ_9</v>
      </c>
      <c r="B1479" s="1" t="s">
        <v>9984</v>
      </c>
      <c r="C1479" s="1" t="str">
        <f>("9")</f>
        <v>9</v>
      </c>
      <c r="D1479" s="1" t="s">
        <v>210</v>
      </c>
      <c r="E1479" s="1" t="s">
        <v>10001</v>
      </c>
      <c r="F1479" s="1" t="s">
        <v>10002</v>
      </c>
      <c r="G1479" s="1">
        <v>4</v>
      </c>
      <c r="H1479" s="1" t="s">
        <v>229</v>
      </c>
      <c r="I1479" s="1" t="str">
        <f>("1309070138")</f>
        <v>1309070138</v>
      </c>
    </row>
    <row r="1480" spans="1:10" x14ac:dyDescent="0.45">
      <c r="A1480" s="2" t="str">
        <f t="shared" si="23"/>
        <v>Ｄｉｖｅｒｔ．ＦＣ_10</v>
      </c>
      <c r="B1480" s="1" t="s">
        <v>9984</v>
      </c>
      <c r="C1480" s="1" t="str">
        <f>("10")</f>
        <v>10</v>
      </c>
      <c r="D1480" s="1" t="s">
        <v>208</v>
      </c>
      <c r="E1480" s="1" t="s">
        <v>10003</v>
      </c>
      <c r="F1480" s="1" t="s">
        <v>10004</v>
      </c>
      <c r="G1480" s="1">
        <v>6</v>
      </c>
      <c r="H1480" s="1" t="s">
        <v>229</v>
      </c>
      <c r="I1480" s="1" t="str">
        <f>("1110120141")</f>
        <v>1110120141</v>
      </c>
      <c r="J1480" s="1" t="s">
        <v>1858</v>
      </c>
    </row>
    <row r="1481" spans="1:10" x14ac:dyDescent="0.45">
      <c r="A1481" s="2" t="str">
        <f t="shared" si="23"/>
        <v>Ｄｉｖｅｒｔ．ＦＣ_111</v>
      </c>
      <c r="B1481" s="1" t="s">
        <v>9984</v>
      </c>
      <c r="C1481" s="1" t="str">
        <f>("111")</f>
        <v>111</v>
      </c>
      <c r="D1481" s="1" t="s">
        <v>210</v>
      </c>
      <c r="E1481" s="1" t="s">
        <v>10005</v>
      </c>
      <c r="F1481" s="1" t="s">
        <v>10006</v>
      </c>
      <c r="G1481" s="1">
        <v>2</v>
      </c>
      <c r="H1481" s="1" t="s">
        <v>229</v>
      </c>
      <c r="I1481" s="1" t="str">
        <f>("1510110016")</f>
        <v>1510110016</v>
      </c>
    </row>
  </sheetData>
  <phoneticPr fontId="5"/>
  <pageMargins left="0.7" right="0.7" top="0.75" bottom="0.75" header="0.3" footer="0.3"/>
  <pageSetup paperSize="9" orientation="portrait" horizontalDpi="4294967293"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L2704"/>
  <sheetViews>
    <sheetView topLeftCell="A499" zoomScale="70" zoomScaleNormal="70" workbookViewId="0">
      <selection activeCell="A513" sqref="A513"/>
    </sheetView>
  </sheetViews>
  <sheetFormatPr defaultColWidth="9" defaultRowHeight="13.25" x14ac:dyDescent="0.45"/>
  <cols>
    <col min="1" max="8" width="9.453125" style="1"/>
    <col min="9" max="9" width="9" style="5"/>
    <col min="10" max="10" width="10.31640625" style="5" bestFit="1" customWidth="1"/>
    <col min="11" max="11" width="9" style="5"/>
    <col min="12" max="12" width="15.36328125" style="5" bestFit="1" customWidth="1"/>
    <col min="13" max="16384" width="9" style="5"/>
  </cols>
  <sheetData>
    <row r="1" spans="1:12" x14ac:dyDescent="0.45">
      <c r="A1" s="1" t="s">
        <v>1551</v>
      </c>
      <c r="B1" s="1" t="s">
        <v>1550</v>
      </c>
      <c r="C1" s="1" t="s">
        <v>1549</v>
      </c>
      <c r="D1" s="1" t="s">
        <v>2119</v>
      </c>
      <c r="E1" s="1" t="s">
        <v>3915</v>
      </c>
      <c r="F1" s="1" t="s">
        <v>3916</v>
      </c>
      <c r="G1" s="1" t="s">
        <v>4982</v>
      </c>
      <c r="H1" s="1" t="s">
        <v>4984</v>
      </c>
      <c r="J1" s="5" t="s">
        <v>1548</v>
      </c>
      <c r="L1" s="5" t="s">
        <v>1547</v>
      </c>
    </row>
    <row r="2" spans="1:12" x14ac:dyDescent="0.45">
      <c r="A2" s="1" t="s">
        <v>1503</v>
      </c>
      <c r="B2" s="1" t="s">
        <v>1502</v>
      </c>
      <c r="C2" s="1" t="s">
        <v>1571</v>
      </c>
      <c r="D2" s="1" t="s">
        <v>2120</v>
      </c>
      <c r="E2" s="1" t="s">
        <v>3917</v>
      </c>
      <c r="F2" s="1" t="s">
        <v>3918</v>
      </c>
      <c r="G2" s="1" t="s">
        <v>4983</v>
      </c>
      <c r="J2" s="5" t="s">
        <v>1546</v>
      </c>
      <c r="L2" s="5" t="s">
        <v>1545</v>
      </c>
    </row>
    <row r="3" spans="1:12" x14ac:dyDescent="0.45">
      <c r="A3" s="1" t="s">
        <v>1540</v>
      </c>
      <c r="B3" s="1" t="s">
        <v>1539</v>
      </c>
      <c r="C3" s="1" t="s">
        <v>240</v>
      </c>
      <c r="D3" s="1" t="s">
        <v>2122</v>
      </c>
      <c r="E3" s="1" t="s">
        <v>3917</v>
      </c>
      <c r="F3" s="1" t="s">
        <v>3918</v>
      </c>
      <c r="G3" s="1" t="s">
        <v>4983</v>
      </c>
      <c r="J3" s="5" t="s">
        <v>1543</v>
      </c>
      <c r="L3" s="5" t="s">
        <v>1542</v>
      </c>
    </row>
    <row r="4" spans="1:12" x14ac:dyDescent="0.45">
      <c r="A4" s="1" t="s">
        <v>1537</v>
      </c>
      <c r="B4" s="1" t="s">
        <v>1536</v>
      </c>
      <c r="C4" s="1" t="s">
        <v>240</v>
      </c>
      <c r="D4" s="1" t="s">
        <v>2123</v>
      </c>
      <c r="E4" s="1" t="s">
        <v>3917</v>
      </c>
      <c r="F4" s="1" t="s">
        <v>3918</v>
      </c>
      <c r="G4" s="1" t="s">
        <v>4983</v>
      </c>
      <c r="L4" s="5" t="s">
        <v>1541</v>
      </c>
    </row>
    <row r="5" spans="1:12" x14ac:dyDescent="0.45">
      <c r="A5" s="1" t="s">
        <v>1430</v>
      </c>
      <c r="B5" s="1" t="s">
        <v>1429</v>
      </c>
      <c r="C5" s="1" t="s">
        <v>240</v>
      </c>
      <c r="D5" s="1" t="s">
        <v>2124</v>
      </c>
      <c r="E5" s="1" t="s">
        <v>3917</v>
      </c>
      <c r="F5" s="1" t="s">
        <v>3918</v>
      </c>
      <c r="G5" s="1" t="s">
        <v>4983</v>
      </c>
      <c r="L5" s="5" t="s">
        <v>1538</v>
      </c>
    </row>
    <row r="6" spans="1:12" x14ac:dyDescent="0.45">
      <c r="A6" s="1" t="s">
        <v>1534</v>
      </c>
      <c r="B6" s="1" t="s">
        <v>252</v>
      </c>
      <c r="C6" s="1" t="s">
        <v>240</v>
      </c>
      <c r="D6" s="1" t="s">
        <v>2125</v>
      </c>
      <c r="E6" s="1" t="s">
        <v>3917</v>
      </c>
      <c r="F6" s="1" t="s">
        <v>3918</v>
      </c>
      <c r="G6" s="1" t="s">
        <v>4983</v>
      </c>
      <c r="L6" s="5" t="s">
        <v>1535</v>
      </c>
    </row>
    <row r="7" spans="1:12" x14ac:dyDescent="0.45">
      <c r="A7" s="1" t="s">
        <v>1531</v>
      </c>
      <c r="B7" s="1" t="s">
        <v>251</v>
      </c>
      <c r="C7" s="1" t="s">
        <v>240</v>
      </c>
      <c r="D7" s="1" t="s">
        <v>2126</v>
      </c>
      <c r="E7" s="1" t="s">
        <v>3917</v>
      </c>
      <c r="F7" s="1" t="s">
        <v>3918</v>
      </c>
      <c r="G7" s="1" t="s">
        <v>4983</v>
      </c>
      <c r="L7" s="5" t="s">
        <v>1533</v>
      </c>
    </row>
    <row r="8" spans="1:12" x14ac:dyDescent="0.45">
      <c r="A8" s="1" t="s">
        <v>1529</v>
      </c>
      <c r="B8" s="1" t="s">
        <v>1528</v>
      </c>
      <c r="C8" s="1" t="s">
        <v>240</v>
      </c>
      <c r="D8" s="1" t="s">
        <v>2127</v>
      </c>
      <c r="E8" s="1" t="s">
        <v>3917</v>
      </c>
      <c r="F8" s="1" t="s">
        <v>3918</v>
      </c>
      <c r="G8" s="1" t="s">
        <v>4983</v>
      </c>
      <c r="L8" s="5" t="s">
        <v>1532</v>
      </c>
    </row>
    <row r="9" spans="1:12" x14ac:dyDescent="0.45">
      <c r="A9" s="1" t="s">
        <v>4159</v>
      </c>
      <c r="B9" s="1" t="s">
        <v>4160</v>
      </c>
      <c r="C9" s="1" t="s">
        <v>240</v>
      </c>
      <c r="D9" s="1" t="s">
        <v>4745</v>
      </c>
      <c r="E9" s="1" t="s">
        <v>3917</v>
      </c>
      <c r="F9" s="1" t="s">
        <v>3918</v>
      </c>
      <c r="G9" s="1" t="s">
        <v>4983</v>
      </c>
      <c r="L9" s="5" t="s">
        <v>1530</v>
      </c>
    </row>
    <row r="10" spans="1:12" x14ac:dyDescent="0.45">
      <c r="A10" s="1" t="s">
        <v>1521</v>
      </c>
      <c r="B10" s="1" t="s">
        <v>1520</v>
      </c>
      <c r="C10" s="1" t="s">
        <v>240</v>
      </c>
      <c r="D10" s="1" t="s">
        <v>2130</v>
      </c>
      <c r="E10" s="1" t="s">
        <v>3917</v>
      </c>
      <c r="F10" s="1" t="s">
        <v>3918</v>
      </c>
      <c r="G10" s="1" t="s">
        <v>4983</v>
      </c>
      <c r="L10" s="5" t="s">
        <v>1527</v>
      </c>
    </row>
    <row r="11" spans="1:12" x14ac:dyDescent="0.45">
      <c r="A11" s="1" t="s">
        <v>1308</v>
      </c>
      <c r="B11" s="1" t="s">
        <v>1307</v>
      </c>
      <c r="C11" s="1" t="s">
        <v>240</v>
      </c>
      <c r="D11" s="1" t="s">
        <v>2273</v>
      </c>
      <c r="E11" s="1" t="s">
        <v>3917</v>
      </c>
      <c r="F11" s="1" t="s">
        <v>3918</v>
      </c>
      <c r="G11" s="1" t="s">
        <v>4983</v>
      </c>
      <c r="L11" s="5" t="s">
        <v>1525</v>
      </c>
    </row>
    <row r="12" spans="1:12" x14ac:dyDescent="0.45">
      <c r="A12" s="1" t="s">
        <v>1584</v>
      </c>
      <c r="B12" s="1" t="s">
        <v>1585</v>
      </c>
      <c r="C12" s="1" t="s">
        <v>240</v>
      </c>
      <c r="D12" s="1" t="s">
        <v>2131</v>
      </c>
      <c r="E12" s="1" t="s">
        <v>3917</v>
      </c>
      <c r="F12" s="1" t="s">
        <v>3918</v>
      </c>
      <c r="G12" s="1" t="s">
        <v>4983</v>
      </c>
      <c r="L12" s="5" t="s">
        <v>1522</v>
      </c>
    </row>
    <row r="13" spans="1:12" x14ac:dyDescent="0.45">
      <c r="A13" s="1" t="s">
        <v>2300</v>
      </c>
      <c r="B13" s="1" t="s">
        <v>2301</v>
      </c>
      <c r="C13" s="1" t="s">
        <v>240</v>
      </c>
      <c r="D13" s="1" t="s">
        <v>2302</v>
      </c>
      <c r="E13" s="1" t="s">
        <v>3917</v>
      </c>
      <c r="F13" s="1" t="s">
        <v>3918</v>
      </c>
      <c r="G13" s="1" t="s">
        <v>4983</v>
      </c>
      <c r="L13" s="5" t="s">
        <v>1519</v>
      </c>
    </row>
    <row r="14" spans="1:12" x14ac:dyDescent="0.45">
      <c r="A14" s="1" t="s">
        <v>1514</v>
      </c>
      <c r="B14" s="1" t="s">
        <v>1513</v>
      </c>
      <c r="C14" s="1" t="s">
        <v>240</v>
      </c>
      <c r="D14" s="1" t="s">
        <v>2132</v>
      </c>
      <c r="E14" s="1" t="s">
        <v>3917</v>
      </c>
      <c r="F14" s="1" t="s">
        <v>3918</v>
      </c>
      <c r="G14" s="1" t="s">
        <v>4983</v>
      </c>
      <c r="L14" s="5" t="s">
        <v>1518</v>
      </c>
    </row>
    <row r="15" spans="1:12" x14ac:dyDescent="0.45">
      <c r="A15" s="1" t="s">
        <v>1512</v>
      </c>
      <c r="B15" s="1" t="s">
        <v>250</v>
      </c>
      <c r="C15" s="1" t="s">
        <v>240</v>
      </c>
      <c r="D15" s="1" t="s">
        <v>2133</v>
      </c>
      <c r="E15" s="1" t="s">
        <v>3917</v>
      </c>
      <c r="F15" s="1" t="s">
        <v>3918</v>
      </c>
      <c r="G15" s="1" t="s">
        <v>4983</v>
      </c>
      <c r="L15" s="5" t="s">
        <v>1517</v>
      </c>
    </row>
    <row r="16" spans="1:12" x14ac:dyDescent="0.45">
      <c r="A16" s="1" t="s">
        <v>2327</v>
      </c>
      <c r="B16" s="1" t="s">
        <v>2328</v>
      </c>
      <c r="C16" s="1" t="s">
        <v>240</v>
      </c>
      <c r="D16" s="1" t="s">
        <v>2329</v>
      </c>
      <c r="E16" s="1" t="s">
        <v>3917</v>
      </c>
      <c r="F16" s="1" t="s">
        <v>3918</v>
      </c>
      <c r="G16" s="1" t="s">
        <v>4983</v>
      </c>
      <c r="L16" s="5" t="s">
        <v>1516</v>
      </c>
    </row>
    <row r="17" spans="1:12" x14ac:dyDescent="0.45">
      <c r="A17" s="1" t="s">
        <v>1511</v>
      </c>
      <c r="B17" s="1" t="s">
        <v>1510</v>
      </c>
      <c r="C17" s="1" t="s">
        <v>240</v>
      </c>
      <c r="D17" s="1" t="s">
        <v>2134</v>
      </c>
      <c r="E17" s="1" t="s">
        <v>3917</v>
      </c>
      <c r="F17" s="1" t="s">
        <v>3918</v>
      </c>
      <c r="G17" s="1" t="s">
        <v>4983</v>
      </c>
      <c r="L17" s="5" t="s">
        <v>1515</v>
      </c>
    </row>
    <row r="18" spans="1:12" x14ac:dyDescent="0.45">
      <c r="A18" s="1" t="s">
        <v>1509</v>
      </c>
      <c r="B18" s="1" t="s">
        <v>249</v>
      </c>
      <c r="C18" s="1" t="s">
        <v>240</v>
      </c>
      <c r="D18" s="1" t="s">
        <v>2135</v>
      </c>
      <c r="E18" s="1" t="s">
        <v>3917</v>
      </c>
      <c r="F18" s="1" t="s">
        <v>3918</v>
      </c>
      <c r="G18" s="1" t="s">
        <v>4983</v>
      </c>
    </row>
    <row r="19" spans="1:12" x14ac:dyDescent="0.45">
      <c r="A19" s="1" t="s">
        <v>1508</v>
      </c>
      <c r="B19" s="1" t="s">
        <v>1507</v>
      </c>
      <c r="C19" s="1" t="s">
        <v>240</v>
      </c>
      <c r="D19" s="1" t="s">
        <v>2136</v>
      </c>
      <c r="E19" s="1" t="s">
        <v>3917</v>
      </c>
      <c r="F19" s="1" t="s">
        <v>3918</v>
      </c>
      <c r="G19" s="1" t="s">
        <v>4983</v>
      </c>
    </row>
    <row r="20" spans="1:12" x14ac:dyDescent="0.45">
      <c r="A20" s="1" t="s">
        <v>1506</v>
      </c>
      <c r="B20" s="1" t="s">
        <v>1505</v>
      </c>
      <c r="C20" s="1" t="s">
        <v>240</v>
      </c>
      <c r="D20" s="1" t="s">
        <v>2137</v>
      </c>
      <c r="E20" s="1" t="s">
        <v>3917</v>
      </c>
      <c r="F20" s="1" t="s">
        <v>3918</v>
      </c>
      <c r="G20" s="1" t="s">
        <v>4983</v>
      </c>
    </row>
    <row r="21" spans="1:12" x14ac:dyDescent="0.45">
      <c r="A21" s="1" t="s">
        <v>4011</v>
      </c>
      <c r="B21" s="1" t="s">
        <v>4012</v>
      </c>
      <c r="C21" s="1" t="s">
        <v>240</v>
      </c>
      <c r="D21" s="1" t="s">
        <v>4673</v>
      </c>
      <c r="E21" s="1" t="s">
        <v>3917</v>
      </c>
      <c r="F21" s="1" t="s">
        <v>3918</v>
      </c>
      <c r="G21" s="1" t="s">
        <v>4983</v>
      </c>
    </row>
    <row r="22" spans="1:12" x14ac:dyDescent="0.45">
      <c r="A22" s="1" t="s">
        <v>1501</v>
      </c>
      <c r="B22" s="1" t="s">
        <v>1500</v>
      </c>
      <c r="C22" s="1" t="s">
        <v>240</v>
      </c>
      <c r="D22" s="1" t="s">
        <v>2139</v>
      </c>
      <c r="E22" s="1" t="s">
        <v>3917</v>
      </c>
      <c r="F22" s="1" t="s">
        <v>3918</v>
      </c>
      <c r="G22" s="1" t="s">
        <v>4983</v>
      </c>
    </row>
    <row r="23" spans="1:12" x14ac:dyDescent="0.45">
      <c r="A23" s="1" t="s">
        <v>1499</v>
      </c>
      <c r="B23" s="1" t="s">
        <v>1498</v>
      </c>
      <c r="C23" s="1" t="s">
        <v>240</v>
      </c>
      <c r="D23" s="1" t="s">
        <v>2140</v>
      </c>
      <c r="E23" s="1" t="s">
        <v>3917</v>
      </c>
      <c r="F23" s="1" t="s">
        <v>3918</v>
      </c>
      <c r="G23" s="1" t="s">
        <v>4983</v>
      </c>
    </row>
    <row r="24" spans="1:12" x14ac:dyDescent="0.45">
      <c r="A24" s="1" t="s">
        <v>1166</v>
      </c>
      <c r="B24" s="1" t="s">
        <v>1165</v>
      </c>
      <c r="C24" s="1" t="s">
        <v>240</v>
      </c>
      <c r="D24" s="1" t="s">
        <v>2377</v>
      </c>
      <c r="E24" s="1" t="s">
        <v>3917</v>
      </c>
      <c r="F24" s="1" t="s">
        <v>3918</v>
      </c>
      <c r="G24" s="1" t="s">
        <v>4983</v>
      </c>
    </row>
    <row r="25" spans="1:12" x14ac:dyDescent="0.45">
      <c r="A25" s="1" t="s">
        <v>1497</v>
      </c>
      <c r="B25" s="1" t="s">
        <v>1496</v>
      </c>
      <c r="C25" s="1" t="s">
        <v>240</v>
      </c>
      <c r="D25" s="1" t="s">
        <v>2141</v>
      </c>
      <c r="E25" s="1" t="s">
        <v>3917</v>
      </c>
      <c r="F25" s="1" t="s">
        <v>3918</v>
      </c>
      <c r="G25" s="1" t="s">
        <v>4983</v>
      </c>
    </row>
    <row r="26" spans="1:12" x14ac:dyDescent="0.45">
      <c r="A26" s="1" t="s">
        <v>1141</v>
      </c>
      <c r="B26" s="1" t="s">
        <v>1140</v>
      </c>
      <c r="C26" s="1" t="s">
        <v>240</v>
      </c>
      <c r="D26" s="1" t="s">
        <v>2142</v>
      </c>
      <c r="E26" s="1" t="s">
        <v>3917</v>
      </c>
      <c r="F26" s="1" t="s">
        <v>3918</v>
      </c>
      <c r="G26" s="1" t="s">
        <v>4983</v>
      </c>
    </row>
    <row r="27" spans="1:12" x14ac:dyDescent="0.45">
      <c r="A27" s="1" t="s">
        <v>553</v>
      </c>
      <c r="B27" s="1" t="s">
        <v>4013</v>
      </c>
      <c r="C27" s="1" t="s">
        <v>240</v>
      </c>
      <c r="D27" s="1" t="s">
        <v>2143</v>
      </c>
      <c r="E27" s="1" t="s">
        <v>3917</v>
      </c>
      <c r="F27" s="1" t="s">
        <v>3918</v>
      </c>
      <c r="G27" s="1" t="s">
        <v>4983</v>
      </c>
    </row>
    <row r="28" spans="1:12" x14ac:dyDescent="0.45">
      <c r="A28" s="1" t="s">
        <v>1495</v>
      </c>
      <c r="B28" s="1" t="s">
        <v>1494</v>
      </c>
      <c r="C28" s="1" t="s">
        <v>240</v>
      </c>
      <c r="D28" s="1" t="s">
        <v>2144</v>
      </c>
      <c r="E28" s="1" t="s">
        <v>3917</v>
      </c>
      <c r="F28" s="1" t="s">
        <v>3918</v>
      </c>
      <c r="G28" s="1" t="s">
        <v>4983</v>
      </c>
    </row>
    <row r="29" spans="1:12" x14ac:dyDescent="0.45">
      <c r="A29" s="1" t="s">
        <v>1493</v>
      </c>
      <c r="B29" s="1" t="s">
        <v>1492</v>
      </c>
      <c r="C29" s="1" t="s">
        <v>240</v>
      </c>
      <c r="D29" s="1" t="s">
        <v>2145</v>
      </c>
      <c r="E29" s="1" t="s">
        <v>3917</v>
      </c>
      <c r="F29" s="1" t="s">
        <v>3918</v>
      </c>
      <c r="G29" s="1" t="s">
        <v>4983</v>
      </c>
    </row>
    <row r="30" spans="1:12" x14ac:dyDescent="0.45">
      <c r="A30" s="1" t="s">
        <v>1491</v>
      </c>
      <c r="B30" s="1" t="s">
        <v>1490</v>
      </c>
      <c r="C30" s="1" t="s">
        <v>240</v>
      </c>
      <c r="D30" s="1" t="s">
        <v>2146</v>
      </c>
      <c r="E30" s="1" t="s">
        <v>3917</v>
      </c>
      <c r="F30" s="1" t="s">
        <v>3918</v>
      </c>
      <c r="G30" s="1" t="s">
        <v>4983</v>
      </c>
    </row>
    <row r="31" spans="1:12" x14ac:dyDescent="0.45">
      <c r="A31" s="1" t="s">
        <v>1489</v>
      </c>
      <c r="B31" s="1" t="s">
        <v>246</v>
      </c>
      <c r="C31" s="1" t="s">
        <v>240</v>
      </c>
      <c r="D31" s="1" t="s">
        <v>2147</v>
      </c>
      <c r="E31" s="1" t="s">
        <v>3917</v>
      </c>
      <c r="F31" s="1" t="s">
        <v>3918</v>
      </c>
      <c r="G31" s="1" t="s">
        <v>4983</v>
      </c>
    </row>
    <row r="32" spans="1:12" x14ac:dyDescent="0.45">
      <c r="A32" s="1" t="s">
        <v>2442</v>
      </c>
      <c r="B32" s="1" t="s">
        <v>2443</v>
      </c>
      <c r="C32" s="1" t="s">
        <v>240</v>
      </c>
      <c r="D32" s="1" t="s">
        <v>2444</v>
      </c>
      <c r="E32" s="1" t="s">
        <v>3917</v>
      </c>
      <c r="F32" s="1" t="s">
        <v>3918</v>
      </c>
      <c r="G32" s="1" t="s">
        <v>4983</v>
      </c>
    </row>
    <row r="33" spans="1:8" x14ac:dyDescent="0.45">
      <c r="A33" s="1" t="s">
        <v>1488</v>
      </c>
      <c r="B33" s="1" t="s">
        <v>280</v>
      </c>
      <c r="C33" s="1" t="s">
        <v>240</v>
      </c>
      <c r="D33" s="1" t="s">
        <v>2148</v>
      </c>
      <c r="E33" s="1" t="s">
        <v>3917</v>
      </c>
      <c r="F33" s="1" t="s">
        <v>3918</v>
      </c>
      <c r="G33" s="1" t="s">
        <v>4983</v>
      </c>
    </row>
    <row r="34" spans="1:8" x14ac:dyDescent="0.45">
      <c r="A34" s="1" t="s">
        <v>1487</v>
      </c>
      <c r="B34" s="1" t="s">
        <v>1486</v>
      </c>
      <c r="C34" s="1" t="s">
        <v>240</v>
      </c>
      <c r="D34" s="1" t="s">
        <v>2149</v>
      </c>
      <c r="E34" s="1" t="s">
        <v>3917</v>
      </c>
      <c r="F34" s="1" t="s">
        <v>3918</v>
      </c>
      <c r="G34" s="1" t="s">
        <v>4983</v>
      </c>
    </row>
    <row r="35" spans="1:8" x14ac:dyDescent="0.45">
      <c r="A35" s="1" t="s">
        <v>1485</v>
      </c>
      <c r="B35" s="1" t="s">
        <v>1484</v>
      </c>
      <c r="C35" s="1" t="s">
        <v>240</v>
      </c>
      <c r="D35" s="1" t="s">
        <v>2150</v>
      </c>
      <c r="E35" s="1" t="s">
        <v>3917</v>
      </c>
      <c r="F35" s="1" t="s">
        <v>3918</v>
      </c>
      <c r="G35" s="1" t="s">
        <v>4983</v>
      </c>
    </row>
    <row r="36" spans="1:8" x14ac:dyDescent="0.45">
      <c r="A36" s="1" t="s">
        <v>1483</v>
      </c>
      <c r="B36" s="1" t="s">
        <v>1482</v>
      </c>
      <c r="C36" s="1" t="s">
        <v>240</v>
      </c>
      <c r="D36" s="1" t="s">
        <v>2151</v>
      </c>
      <c r="E36" s="1" t="s">
        <v>3919</v>
      </c>
      <c r="F36" s="1" t="s">
        <v>3918</v>
      </c>
      <c r="G36" s="1" t="s">
        <v>4983</v>
      </c>
    </row>
    <row r="37" spans="1:8" x14ac:dyDescent="0.45">
      <c r="A37" s="1" t="s">
        <v>1614</v>
      </c>
      <c r="B37" s="1" t="s">
        <v>6873</v>
      </c>
      <c r="C37" s="1" t="s">
        <v>240</v>
      </c>
      <c r="D37" s="1" t="s">
        <v>7951</v>
      </c>
      <c r="E37" s="1" t="s">
        <v>3917</v>
      </c>
      <c r="F37" s="1" t="s">
        <v>3918</v>
      </c>
      <c r="G37" s="1" t="s">
        <v>4983</v>
      </c>
    </row>
    <row r="38" spans="1:8" x14ac:dyDescent="0.45">
      <c r="A38" s="1" t="s">
        <v>1598</v>
      </c>
      <c r="B38" s="1" t="s">
        <v>1599</v>
      </c>
      <c r="C38" s="1" t="s">
        <v>240</v>
      </c>
      <c r="D38" s="1" t="s">
        <v>2481</v>
      </c>
      <c r="E38" s="1" t="s">
        <v>3917</v>
      </c>
      <c r="F38" s="1" t="s">
        <v>3918</v>
      </c>
      <c r="G38" s="1" t="s">
        <v>4983</v>
      </c>
    </row>
    <row r="39" spans="1:8" x14ac:dyDescent="0.45">
      <c r="A39" s="1" t="s">
        <v>428</v>
      </c>
      <c r="B39" s="1" t="s">
        <v>427</v>
      </c>
      <c r="C39" s="1" t="s">
        <v>240</v>
      </c>
      <c r="D39" s="1" t="s">
        <v>3073</v>
      </c>
      <c r="E39" s="1" t="s">
        <v>3919</v>
      </c>
      <c r="F39" s="1" t="s">
        <v>3918</v>
      </c>
      <c r="G39" s="1" t="s">
        <v>4983</v>
      </c>
      <c r="H39" s="1" t="s">
        <v>11836</v>
      </c>
    </row>
    <row r="40" spans="1:8" x14ac:dyDescent="0.45">
      <c r="A40" s="1" t="s">
        <v>1479</v>
      </c>
      <c r="B40" s="1" t="s">
        <v>243</v>
      </c>
      <c r="C40" s="1" t="s">
        <v>240</v>
      </c>
      <c r="D40" s="1" t="s">
        <v>2152</v>
      </c>
      <c r="E40" s="1" t="s">
        <v>3917</v>
      </c>
      <c r="F40" s="1" t="s">
        <v>3918</v>
      </c>
      <c r="G40" s="1" t="s">
        <v>4983</v>
      </c>
    </row>
    <row r="41" spans="1:8" x14ac:dyDescent="0.45">
      <c r="A41" s="1" t="s">
        <v>1478</v>
      </c>
      <c r="B41" s="1" t="s">
        <v>1477</v>
      </c>
      <c r="C41" s="1" t="s">
        <v>240</v>
      </c>
      <c r="D41" s="1" t="s">
        <v>2153</v>
      </c>
      <c r="E41" s="1" t="s">
        <v>3917</v>
      </c>
      <c r="F41" s="1" t="s">
        <v>3918</v>
      </c>
      <c r="G41" s="1" t="s">
        <v>4983</v>
      </c>
    </row>
    <row r="42" spans="1:8" x14ac:dyDescent="0.45">
      <c r="A42" s="1" t="s">
        <v>1476</v>
      </c>
      <c r="B42" s="1" t="s">
        <v>1475</v>
      </c>
      <c r="C42" s="1" t="s">
        <v>240</v>
      </c>
      <c r="D42" s="1" t="s">
        <v>2154</v>
      </c>
      <c r="E42" s="1" t="s">
        <v>3917</v>
      </c>
      <c r="F42" s="1" t="s">
        <v>3918</v>
      </c>
      <c r="G42" s="1" t="s">
        <v>4983</v>
      </c>
    </row>
    <row r="43" spans="1:8" x14ac:dyDescent="0.45">
      <c r="A43" s="1" t="s">
        <v>1474</v>
      </c>
      <c r="B43" s="1" t="s">
        <v>1473</v>
      </c>
      <c r="C43" s="1" t="s">
        <v>240</v>
      </c>
      <c r="D43" s="1" t="s">
        <v>2155</v>
      </c>
      <c r="E43" s="1" t="s">
        <v>3917</v>
      </c>
      <c r="F43" s="1" t="s">
        <v>3918</v>
      </c>
      <c r="G43" s="1" t="s">
        <v>4983</v>
      </c>
    </row>
    <row r="44" spans="1:8" x14ac:dyDescent="0.45">
      <c r="A44" s="1" t="s">
        <v>1472</v>
      </c>
      <c r="B44" s="1" t="s">
        <v>245</v>
      </c>
      <c r="C44" s="1" t="s">
        <v>240</v>
      </c>
      <c r="D44" s="1" t="s">
        <v>2156</v>
      </c>
      <c r="E44" s="1" t="s">
        <v>3919</v>
      </c>
      <c r="F44" s="1" t="s">
        <v>3918</v>
      </c>
      <c r="G44" s="1" t="s">
        <v>4983</v>
      </c>
    </row>
    <row r="45" spans="1:8" x14ac:dyDescent="0.45">
      <c r="A45" s="1" t="s">
        <v>2519</v>
      </c>
      <c r="B45" s="1" t="s">
        <v>2520</v>
      </c>
      <c r="C45" s="1" t="s">
        <v>240</v>
      </c>
      <c r="D45" s="1" t="s">
        <v>2521</v>
      </c>
      <c r="E45" s="1" t="s">
        <v>3917</v>
      </c>
      <c r="F45" s="1" t="s">
        <v>3918</v>
      </c>
      <c r="G45" s="1" t="s">
        <v>4983</v>
      </c>
    </row>
    <row r="46" spans="1:8" x14ac:dyDescent="0.45">
      <c r="A46" s="1" t="s">
        <v>1471</v>
      </c>
      <c r="B46" s="1" t="s">
        <v>1470</v>
      </c>
      <c r="C46" s="1" t="s">
        <v>240</v>
      </c>
      <c r="D46" s="1" t="s">
        <v>2157</v>
      </c>
      <c r="E46" s="1" t="s">
        <v>3917</v>
      </c>
      <c r="F46" s="1" t="s">
        <v>3918</v>
      </c>
      <c r="G46" s="1" t="s">
        <v>4983</v>
      </c>
    </row>
    <row r="47" spans="1:8" x14ac:dyDescent="0.45">
      <c r="A47" s="1" t="s">
        <v>1469</v>
      </c>
      <c r="B47" s="1" t="s">
        <v>1468</v>
      </c>
      <c r="C47" s="1" t="s">
        <v>240</v>
      </c>
      <c r="D47" s="1" t="s">
        <v>2158</v>
      </c>
      <c r="E47" s="1" t="s">
        <v>3917</v>
      </c>
      <c r="F47" s="1" t="s">
        <v>3918</v>
      </c>
      <c r="G47" s="1" t="s">
        <v>4983</v>
      </c>
    </row>
    <row r="48" spans="1:8" x14ac:dyDescent="0.45">
      <c r="A48" s="1" t="s">
        <v>1467</v>
      </c>
      <c r="B48" s="1" t="s">
        <v>1466</v>
      </c>
      <c r="C48" s="1" t="s">
        <v>240</v>
      </c>
      <c r="D48" s="1" t="s">
        <v>2159</v>
      </c>
      <c r="E48" s="1" t="s">
        <v>3917</v>
      </c>
      <c r="F48" s="1" t="s">
        <v>3918</v>
      </c>
      <c r="G48" s="1" t="s">
        <v>4983</v>
      </c>
    </row>
    <row r="49" spans="1:7" x14ac:dyDescent="0.45">
      <c r="A49" s="1" t="s">
        <v>929</v>
      </c>
      <c r="B49" s="1" t="s">
        <v>928</v>
      </c>
      <c r="C49" s="1" t="s">
        <v>240</v>
      </c>
      <c r="D49" s="1" t="s">
        <v>2557</v>
      </c>
      <c r="E49" s="1" t="s">
        <v>3917</v>
      </c>
      <c r="F49" s="1" t="s">
        <v>3918</v>
      </c>
      <c r="G49" s="1" t="s">
        <v>4983</v>
      </c>
    </row>
    <row r="50" spans="1:7" x14ac:dyDescent="0.45">
      <c r="A50" s="1" t="s">
        <v>910</v>
      </c>
      <c r="B50" s="1" t="s">
        <v>909</v>
      </c>
      <c r="C50" s="1" t="s">
        <v>240</v>
      </c>
      <c r="D50" s="1" t="s">
        <v>2160</v>
      </c>
      <c r="E50" s="1" t="s">
        <v>3917</v>
      </c>
      <c r="F50" s="1" t="s">
        <v>3918</v>
      </c>
      <c r="G50" s="1" t="s">
        <v>4983</v>
      </c>
    </row>
    <row r="51" spans="1:7" x14ac:dyDescent="0.45">
      <c r="A51" s="1" t="s">
        <v>1577</v>
      </c>
      <c r="B51" s="1" t="s">
        <v>4072</v>
      </c>
      <c r="C51" s="1" t="s">
        <v>240</v>
      </c>
      <c r="D51" s="1" t="s">
        <v>4703</v>
      </c>
      <c r="E51" s="1" t="s">
        <v>3917</v>
      </c>
      <c r="F51" s="1" t="s">
        <v>3918</v>
      </c>
      <c r="G51" s="1" t="s">
        <v>4983</v>
      </c>
    </row>
    <row r="52" spans="1:7" x14ac:dyDescent="0.45">
      <c r="A52" s="1" t="s">
        <v>1465</v>
      </c>
      <c r="B52" s="1" t="s">
        <v>1464</v>
      </c>
      <c r="C52" s="1" t="s">
        <v>240</v>
      </c>
      <c r="D52" s="1" t="s">
        <v>2161</v>
      </c>
      <c r="E52" s="1" t="s">
        <v>3917</v>
      </c>
      <c r="F52" s="1" t="s">
        <v>3918</v>
      </c>
      <c r="G52" s="1" t="s">
        <v>4983</v>
      </c>
    </row>
    <row r="53" spans="1:7" x14ac:dyDescent="0.45">
      <c r="A53" s="1" t="s">
        <v>1606</v>
      </c>
      <c r="B53" s="1" t="s">
        <v>1607</v>
      </c>
      <c r="C53" s="1" t="s">
        <v>237</v>
      </c>
      <c r="D53" s="1" t="s">
        <v>2591</v>
      </c>
      <c r="E53" s="1" t="s">
        <v>3917</v>
      </c>
      <c r="F53" s="1" t="s">
        <v>3918</v>
      </c>
      <c r="G53" s="1" t="s">
        <v>4983</v>
      </c>
    </row>
    <row r="54" spans="1:7" x14ac:dyDescent="0.45">
      <c r="A54" s="1" t="s">
        <v>4058</v>
      </c>
      <c r="B54" s="1" t="s">
        <v>10009</v>
      </c>
      <c r="C54" s="1" t="s">
        <v>237</v>
      </c>
      <c r="D54" s="1" t="s">
        <v>11279</v>
      </c>
      <c r="E54" s="1" t="s">
        <v>3919</v>
      </c>
      <c r="F54" s="1" t="s">
        <v>3918</v>
      </c>
      <c r="G54" s="1" t="s">
        <v>4983</v>
      </c>
    </row>
    <row r="55" spans="1:7" x14ac:dyDescent="0.45">
      <c r="A55" s="1" t="s">
        <v>889</v>
      </c>
      <c r="B55" s="1" t="s">
        <v>1572</v>
      </c>
      <c r="C55" s="1" t="s">
        <v>237</v>
      </c>
      <c r="D55" s="1" t="s">
        <v>2162</v>
      </c>
      <c r="E55" s="1" t="s">
        <v>3917</v>
      </c>
      <c r="F55" s="1" t="s">
        <v>3918</v>
      </c>
      <c r="G55" s="1" t="s">
        <v>4983</v>
      </c>
    </row>
    <row r="56" spans="1:7" x14ac:dyDescent="0.45">
      <c r="A56" s="1" t="s">
        <v>1544</v>
      </c>
      <c r="B56" s="1" t="s">
        <v>254</v>
      </c>
      <c r="C56" s="1" t="s">
        <v>237</v>
      </c>
      <c r="D56" s="1" t="s">
        <v>2121</v>
      </c>
      <c r="E56" s="1" t="s">
        <v>3917</v>
      </c>
      <c r="F56" s="1" t="s">
        <v>3918</v>
      </c>
      <c r="G56" s="1" t="s">
        <v>4983</v>
      </c>
    </row>
    <row r="57" spans="1:7" x14ac:dyDescent="0.45">
      <c r="A57" s="1" t="s">
        <v>1463</v>
      </c>
      <c r="B57" s="1" t="s">
        <v>1462</v>
      </c>
      <c r="C57" s="1" t="s">
        <v>237</v>
      </c>
      <c r="D57" s="1" t="s">
        <v>2163</v>
      </c>
      <c r="E57" s="1" t="s">
        <v>3917</v>
      </c>
      <c r="F57" s="1" t="s">
        <v>3918</v>
      </c>
      <c r="G57" s="1" t="s">
        <v>4983</v>
      </c>
    </row>
    <row r="58" spans="1:7" x14ac:dyDescent="0.45">
      <c r="A58" s="1" t="s">
        <v>1461</v>
      </c>
      <c r="B58" s="1" t="s">
        <v>274</v>
      </c>
      <c r="C58" s="1" t="s">
        <v>237</v>
      </c>
      <c r="D58" s="1" t="s">
        <v>2164</v>
      </c>
      <c r="E58" s="1" t="s">
        <v>3917</v>
      </c>
      <c r="F58" s="1" t="s">
        <v>3918</v>
      </c>
      <c r="G58" s="1" t="s">
        <v>4983</v>
      </c>
    </row>
    <row r="59" spans="1:7" x14ac:dyDescent="0.45">
      <c r="A59" s="1" t="s">
        <v>3421</v>
      </c>
      <c r="B59" s="1" t="s">
        <v>3422</v>
      </c>
      <c r="C59" s="1" t="s">
        <v>237</v>
      </c>
      <c r="D59" s="1" t="s">
        <v>3423</v>
      </c>
      <c r="E59" s="1" t="s">
        <v>3917</v>
      </c>
      <c r="F59" s="1" t="s">
        <v>3918</v>
      </c>
      <c r="G59" s="1" t="s">
        <v>4983</v>
      </c>
    </row>
    <row r="60" spans="1:7" x14ac:dyDescent="0.45">
      <c r="A60" s="1" t="s">
        <v>1460</v>
      </c>
      <c r="B60" s="1" t="s">
        <v>1459</v>
      </c>
      <c r="C60" s="1" t="s">
        <v>237</v>
      </c>
      <c r="D60" s="1" t="s">
        <v>2165</v>
      </c>
      <c r="E60" s="1" t="s">
        <v>3917</v>
      </c>
      <c r="F60" s="1" t="s">
        <v>3918</v>
      </c>
      <c r="G60" s="1" t="s">
        <v>4983</v>
      </c>
    </row>
    <row r="61" spans="1:7" x14ac:dyDescent="0.45">
      <c r="A61" s="1" t="s">
        <v>1458</v>
      </c>
      <c r="B61" s="1" t="s">
        <v>1457</v>
      </c>
      <c r="C61" s="1" t="s">
        <v>237</v>
      </c>
      <c r="D61" s="1" t="s">
        <v>2166</v>
      </c>
      <c r="E61" s="1" t="s">
        <v>3917</v>
      </c>
      <c r="F61" s="1" t="s">
        <v>3918</v>
      </c>
      <c r="G61" s="1" t="s">
        <v>4983</v>
      </c>
    </row>
    <row r="62" spans="1:7" x14ac:dyDescent="0.45">
      <c r="A62" s="1" t="s">
        <v>1456</v>
      </c>
      <c r="B62" s="1" t="s">
        <v>1455</v>
      </c>
      <c r="C62" s="1" t="s">
        <v>237</v>
      </c>
      <c r="D62" s="1" t="s">
        <v>2167</v>
      </c>
      <c r="E62" s="1" t="s">
        <v>3917</v>
      </c>
      <c r="F62" s="1" t="s">
        <v>3918</v>
      </c>
      <c r="G62" s="1" t="s">
        <v>4983</v>
      </c>
    </row>
    <row r="63" spans="1:7" x14ac:dyDescent="0.45">
      <c r="A63" s="1" t="s">
        <v>1454</v>
      </c>
      <c r="B63" s="1" t="s">
        <v>1453</v>
      </c>
      <c r="C63" s="1" t="s">
        <v>237</v>
      </c>
      <c r="D63" s="1" t="s">
        <v>2168</v>
      </c>
      <c r="E63" s="1" t="s">
        <v>3917</v>
      </c>
      <c r="F63" s="1" t="s">
        <v>3918</v>
      </c>
      <c r="G63" s="1" t="s">
        <v>4983</v>
      </c>
    </row>
    <row r="64" spans="1:7" x14ac:dyDescent="0.45">
      <c r="A64" s="1" t="s">
        <v>10010</v>
      </c>
      <c r="B64" s="1" t="s">
        <v>10011</v>
      </c>
      <c r="C64" s="1" t="s">
        <v>237</v>
      </c>
      <c r="D64" s="1" t="s">
        <v>11280</v>
      </c>
      <c r="E64" s="1" t="s">
        <v>3917</v>
      </c>
      <c r="F64" s="1" t="s">
        <v>3918</v>
      </c>
      <c r="G64" s="1" t="s">
        <v>4983</v>
      </c>
    </row>
    <row r="65" spans="1:7" x14ac:dyDescent="0.45">
      <c r="A65" s="1" t="s">
        <v>10012</v>
      </c>
      <c r="B65" s="1" t="s">
        <v>10013</v>
      </c>
      <c r="C65" s="1" t="s">
        <v>237</v>
      </c>
      <c r="D65" s="1" t="s">
        <v>11281</v>
      </c>
      <c r="E65" s="1" t="s">
        <v>3919</v>
      </c>
      <c r="F65" s="1" t="s">
        <v>3918</v>
      </c>
      <c r="G65" s="1" t="s">
        <v>4983</v>
      </c>
    </row>
    <row r="66" spans="1:7" x14ac:dyDescent="0.45">
      <c r="A66" s="1" t="s">
        <v>1452</v>
      </c>
      <c r="B66" s="1" t="s">
        <v>1451</v>
      </c>
      <c r="C66" s="1" t="s">
        <v>237</v>
      </c>
      <c r="D66" s="1" t="s">
        <v>2169</v>
      </c>
      <c r="E66" s="1" t="s">
        <v>3917</v>
      </c>
      <c r="F66" s="1" t="s">
        <v>3918</v>
      </c>
      <c r="G66" s="1" t="s">
        <v>4983</v>
      </c>
    </row>
    <row r="67" spans="1:7" x14ac:dyDescent="0.45">
      <c r="A67" s="1" t="s">
        <v>870</v>
      </c>
      <c r="B67" s="1" t="s">
        <v>869</v>
      </c>
      <c r="C67" s="1" t="s">
        <v>237</v>
      </c>
      <c r="D67" s="1" t="s">
        <v>2170</v>
      </c>
      <c r="E67" s="1" t="s">
        <v>3917</v>
      </c>
      <c r="F67" s="1" t="s">
        <v>3918</v>
      </c>
      <c r="G67" s="1" t="s">
        <v>4983</v>
      </c>
    </row>
    <row r="68" spans="1:7" x14ac:dyDescent="0.45">
      <c r="A68" s="1" t="s">
        <v>3427</v>
      </c>
      <c r="B68" s="1" t="s">
        <v>3428</v>
      </c>
      <c r="C68" s="1" t="s">
        <v>237</v>
      </c>
      <c r="D68" s="1" t="s">
        <v>3429</v>
      </c>
      <c r="E68" s="1" t="s">
        <v>3917</v>
      </c>
      <c r="F68" s="1" t="s">
        <v>3918</v>
      </c>
      <c r="G68" s="1" t="s">
        <v>4983</v>
      </c>
    </row>
    <row r="69" spans="1:7" x14ac:dyDescent="0.45">
      <c r="A69" s="1" t="s">
        <v>6940</v>
      </c>
      <c r="B69" s="1" t="s">
        <v>6941</v>
      </c>
      <c r="C69" s="1" t="s">
        <v>237</v>
      </c>
      <c r="D69" s="1" t="s">
        <v>7983</v>
      </c>
      <c r="E69" s="1" t="s">
        <v>3919</v>
      </c>
      <c r="F69" s="1" t="s">
        <v>3918</v>
      </c>
      <c r="G69" s="1" t="s">
        <v>4983</v>
      </c>
    </row>
    <row r="70" spans="1:7" x14ac:dyDescent="0.45">
      <c r="A70" s="1" t="s">
        <v>1615</v>
      </c>
      <c r="B70" s="1" t="s">
        <v>1616</v>
      </c>
      <c r="C70" s="1" t="s">
        <v>237</v>
      </c>
      <c r="D70" s="1" t="s">
        <v>2171</v>
      </c>
      <c r="E70" s="1" t="s">
        <v>3917</v>
      </c>
      <c r="F70" s="1" t="s">
        <v>3918</v>
      </c>
      <c r="G70" s="1" t="s">
        <v>4983</v>
      </c>
    </row>
    <row r="71" spans="1:7" x14ac:dyDescent="0.45">
      <c r="A71" s="1" t="s">
        <v>2602</v>
      </c>
      <c r="B71" s="1" t="s">
        <v>2603</v>
      </c>
      <c r="C71" s="1" t="s">
        <v>237</v>
      </c>
      <c r="D71" s="1" t="s">
        <v>2604</v>
      </c>
      <c r="E71" s="1" t="s">
        <v>3917</v>
      </c>
      <c r="F71" s="1" t="s">
        <v>3918</v>
      </c>
      <c r="G71" s="1" t="s">
        <v>4983</v>
      </c>
    </row>
    <row r="72" spans="1:7" x14ac:dyDescent="0.45">
      <c r="A72" s="1" t="s">
        <v>3433</v>
      </c>
      <c r="B72" s="1" t="s">
        <v>3434</v>
      </c>
      <c r="C72" s="1" t="s">
        <v>237</v>
      </c>
      <c r="D72" s="1" t="s">
        <v>3435</v>
      </c>
      <c r="E72" s="1" t="s">
        <v>3917</v>
      </c>
      <c r="F72" s="1" t="s">
        <v>3918</v>
      </c>
      <c r="G72" s="1" t="s">
        <v>4983</v>
      </c>
    </row>
    <row r="73" spans="1:7" x14ac:dyDescent="0.45">
      <c r="A73" s="1" t="s">
        <v>1450</v>
      </c>
      <c r="B73" s="1" t="s">
        <v>1449</v>
      </c>
      <c r="C73" s="1" t="s">
        <v>237</v>
      </c>
      <c r="D73" s="1" t="s">
        <v>2172</v>
      </c>
      <c r="E73" s="1" t="s">
        <v>3917</v>
      </c>
      <c r="F73" s="1" t="s">
        <v>3918</v>
      </c>
      <c r="G73" s="1" t="s">
        <v>4983</v>
      </c>
    </row>
    <row r="74" spans="1:7" x14ac:dyDescent="0.45">
      <c r="A74" s="1" t="s">
        <v>1448</v>
      </c>
      <c r="B74" s="1" t="s">
        <v>1447</v>
      </c>
      <c r="C74" s="1" t="s">
        <v>237</v>
      </c>
      <c r="D74" s="1" t="s">
        <v>2173</v>
      </c>
      <c r="E74" s="1" t="s">
        <v>3917</v>
      </c>
      <c r="F74" s="1" t="s">
        <v>3918</v>
      </c>
      <c r="G74" s="1" t="s">
        <v>4983</v>
      </c>
    </row>
    <row r="75" spans="1:7" x14ac:dyDescent="0.45">
      <c r="A75" s="1" t="s">
        <v>863</v>
      </c>
      <c r="B75" s="1" t="s">
        <v>862</v>
      </c>
      <c r="C75" s="1" t="s">
        <v>237</v>
      </c>
      <c r="D75" s="1" t="s">
        <v>2174</v>
      </c>
      <c r="E75" s="1" t="s">
        <v>3917</v>
      </c>
      <c r="F75" s="1" t="s">
        <v>3918</v>
      </c>
      <c r="G75" s="1" t="s">
        <v>4983</v>
      </c>
    </row>
    <row r="76" spans="1:7" x14ac:dyDescent="0.45">
      <c r="A76" s="1" t="s">
        <v>1573</v>
      </c>
      <c r="B76" s="1" t="s">
        <v>1574</v>
      </c>
      <c r="C76" s="1" t="s">
        <v>237</v>
      </c>
      <c r="D76" s="1" t="s">
        <v>2174</v>
      </c>
      <c r="E76" s="1" t="s">
        <v>3917</v>
      </c>
      <c r="F76" s="1" t="s">
        <v>3918</v>
      </c>
      <c r="G76" s="1" t="s">
        <v>4983</v>
      </c>
    </row>
    <row r="77" spans="1:7" x14ac:dyDescent="0.45">
      <c r="A77" s="1" t="s">
        <v>861</v>
      </c>
      <c r="B77" s="1" t="s">
        <v>860</v>
      </c>
      <c r="C77" s="1" t="s">
        <v>237</v>
      </c>
      <c r="D77" s="1" t="s">
        <v>2175</v>
      </c>
      <c r="E77" s="1" t="s">
        <v>3917</v>
      </c>
      <c r="F77" s="1" t="s">
        <v>3918</v>
      </c>
      <c r="G77" s="1" t="s">
        <v>4983</v>
      </c>
    </row>
    <row r="78" spans="1:7" x14ac:dyDescent="0.45">
      <c r="A78" s="1" t="s">
        <v>1446</v>
      </c>
      <c r="B78" s="1" t="s">
        <v>1445</v>
      </c>
      <c r="C78" s="1" t="s">
        <v>237</v>
      </c>
      <c r="D78" s="1" t="s">
        <v>2176</v>
      </c>
      <c r="E78" s="1" t="s">
        <v>3917</v>
      </c>
      <c r="F78" s="1" t="s">
        <v>3918</v>
      </c>
      <c r="G78" s="1" t="s">
        <v>4983</v>
      </c>
    </row>
    <row r="79" spans="1:7" x14ac:dyDescent="0.45">
      <c r="A79" s="1" t="s">
        <v>2177</v>
      </c>
      <c r="B79" s="1" t="s">
        <v>2178</v>
      </c>
      <c r="C79" s="1" t="s">
        <v>237</v>
      </c>
      <c r="D79" s="1" t="s">
        <v>2179</v>
      </c>
      <c r="E79" s="1" t="s">
        <v>3917</v>
      </c>
      <c r="F79" s="1" t="s">
        <v>3918</v>
      </c>
      <c r="G79" s="1" t="s">
        <v>4983</v>
      </c>
    </row>
    <row r="80" spans="1:7" x14ac:dyDescent="0.45">
      <c r="A80" s="1" t="s">
        <v>6964</v>
      </c>
      <c r="B80" s="1" t="s">
        <v>6965</v>
      </c>
      <c r="C80" s="1" t="s">
        <v>237</v>
      </c>
      <c r="D80" s="1" t="s">
        <v>6667</v>
      </c>
      <c r="E80" s="1" t="s">
        <v>3917</v>
      </c>
      <c r="F80" s="1" t="s">
        <v>3918</v>
      </c>
      <c r="G80" s="1" t="s">
        <v>4983</v>
      </c>
    </row>
    <row r="81" spans="1:7" x14ac:dyDescent="0.45">
      <c r="A81" s="1" t="s">
        <v>1444</v>
      </c>
      <c r="B81" s="1" t="s">
        <v>253</v>
      </c>
      <c r="C81" s="1" t="s">
        <v>237</v>
      </c>
      <c r="D81" s="1" t="s">
        <v>2180</v>
      </c>
      <c r="E81" s="1" t="s">
        <v>3917</v>
      </c>
      <c r="F81" s="1" t="s">
        <v>3918</v>
      </c>
      <c r="G81" s="1" t="s">
        <v>4983</v>
      </c>
    </row>
    <row r="82" spans="1:7" x14ac:dyDescent="0.45">
      <c r="A82" s="1" t="s">
        <v>6975</v>
      </c>
      <c r="B82" s="1" t="s">
        <v>6976</v>
      </c>
      <c r="C82" s="1" t="s">
        <v>237</v>
      </c>
      <c r="D82" s="1" t="s">
        <v>7997</v>
      </c>
      <c r="E82" s="1" t="s">
        <v>3917</v>
      </c>
      <c r="F82" s="1" t="s">
        <v>3918</v>
      </c>
      <c r="G82" s="1" t="s">
        <v>4983</v>
      </c>
    </row>
    <row r="83" spans="1:7" x14ac:dyDescent="0.45">
      <c r="A83" s="1" t="s">
        <v>1623</v>
      </c>
      <c r="B83" s="1" t="s">
        <v>1624</v>
      </c>
      <c r="C83" s="1" t="s">
        <v>237</v>
      </c>
      <c r="D83" s="1" t="s">
        <v>2616</v>
      </c>
      <c r="E83" s="1" t="s">
        <v>3917</v>
      </c>
      <c r="F83" s="1" t="s">
        <v>3918</v>
      </c>
      <c r="G83" s="1" t="s">
        <v>4983</v>
      </c>
    </row>
    <row r="84" spans="1:7" x14ac:dyDescent="0.45">
      <c r="A84" s="1" t="s">
        <v>853</v>
      </c>
      <c r="B84" s="1" t="s">
        <v>852</v>
      </c>
      <c r="C84" s="1" t="s">
        <v>237</v>
      </c>
      <c r="D84" s="1" t="s">
        <v>2181</v>
      </c>
      <c r="E84" s="1" t="s">
        <v>3917</v>
      </c>
      <c r="F84" s="1" t="s">
        <v>3918</v>
      </c>
      <c r="G84" s="1" t="s">
        <v>4983</v>
      </c>
    </row>
    <row r="85" spans="1:7" x14ac:dyDescent="0.45">
      <c r="A85" s="1" t="s">
        <v>1443</v>
      </c>
      <c r="B85" s="1" t="s">
        <v>1442</v>
      </c>
      <c r="C85" s="1" t="s">
        <v>237</v>
      </c>
      <c r="D85" s="1" t="s">
        <v>2182</v>
      </c>
      <c r="E85" s="1" t="s">
        <v>3917</v>
      </c>
      <c r="F85" s="1" t="s">
        <v>3918</v>
      </c>
      <c r="G85" s="1" t="s">
        <v>4983</v>
      </c>
    </row>
    <row r="86" spans="1:7" x14ac:dyDescent="0.45">
      <c r="A86" s="1" t="s">
        <v>1441</v>
      </c>
      <c r="B86" s="1" t="s">
        <v>1440</v>
      </c>
      <c r="C86" s="1" t="s">
        <v>237</v>
      </c>
      <c r="D86" s="1" t="s">
        <v>2183</v>
      </c>
      <c r="E86" s="1" t="s">
        <v>3917</v>
      </c>
      <c r="F86" s="1" t="s">
        <v>3918</v>
      </c>
      <c r="G86" s="1" t="s">
        <v>4983</v>
      </c>
    </row>
    <row r="87" spans="1:7" x14ac:dyDescent="0.45">
      <c r="A87" s="1" t="s">
        <v>1560</v>
      </c>
      <c r="B87" s="1" t="s">
        <v>1561</v>
      </c>
      <c r="C87" s="1" t="s">
        <v>237</v>
      </c>
      <c r="D87" s="1" t="s">
        <v>2184</v>
      </c>
      <c r="E87" s="1" t="s">
        <v>3917</v>
      </c>
      <c r="F87" s="1" t="s">
        <v>3918</v>
      </c>
      <c r="G87" s="1" t="s">
        <v>4983</v>
      </c>
    </row>
    <row r="88" spans="1:7" x14ac:dyDescent="0.45">
      <c r="A88" s="1" t="s">
        <v>1439</v>
      </c>
      <c r="B88" s="1" t="s">
        <v>1438</v>
      </c>
      <c r="C88" s="1" t="s">
        <v>237</v>
      </c>
      <c r="D88" s="1" t="s">
        <v>2185</v>
      </c>
      <c r="E88" s="1" t="s">
        <v>3917</v>
      </c>
      <c r="F88" s="1" t="s">
        <v>3918</v>
      </c>
      <c r="G88" s="1" t="s">
        <v>4983</v>
      </c>
    </row>
    <row r="89" spans="1:7" x14ac:dyDescent="0.45">
      <c r="A89" s="1" t="s">
        <v>1437</v>
      </c>
      <c r="B89" s="1" t="s">
        <v>1436</v>
      </c>
      <c r="C89" s="1" t="s">
        <v>237</v>
      </c>
      <c r="D89" s="1" t="s">
        <v>2186</v>
      </c>
      <c r="E89" s="1" t="s">
        <v>3917</v>
      </c>
      <c r="F89" s="1" t="s">
        <v>3918</v>
      </c>
      <c r="G89" s="1" t="s">
        <v>4983</v>
      </c>
    </row>
    <row r="90" spans="1:7" x14ac:dyDescent="0.45">
      <c r="A90" s="1" t="s">
        <v>6874</v>
      </c>
      <c r="B90" s="1" t="s">
        <v>6875</v>
      </c>
      <c r="C90" s="1" t="s">
        <v>237</v>
      </c>
      <c r="D90" s="1" t="s">
        <v>7952</v>
      </c>
      <c r="E90" s="1" t="s">
        <v>3917</v>
      </c>
      <c r="F90" s="1" t="s">
        <v>3918</v>
      </c>
      <c r="G90" s="1" t="s">
        <v>4983</v>
      </c>
    </row>
    <row r="91" spans="1:7" x14ac:dyDescent="0.45">
      <c r="A91" s="1" t="s">
        <v>1435</v>
      </c>
      <c r="B91" s="1" t="s">
        <v>1434</v>
      </c>
      <c r="C91" s="1" t="s">
        <v>237</v>
      </c>
      <c r="D91" s="1" t="s">
        <v>2187</v>
      </c>
      <c r="E91" s="1" t="s">
        <v>3917</v>
      </c>
      <c r="F91" s="1" t="s">
        <v>3918</v>
      </c>
      <c r="G91" s="1" t="s">
        <v>4983</v>
      </c>
    </row>
    <row r="92" spans="1:7" x14ac:dyDescent="0.45">
      <c r="A92" s="1" t="s">
        <v>1575</v>
      </c>
      <c r="B92" s="1" t="s">
        <v>1576</v>
      </c>
      <c r="C92" s="1" t="s">
        <v>237</v>
      </c>
      <c r="D92" s="1" t="s">
        <v>2188</v>
      </c>
      <c r="E92" s="1" t="s">
        <v>3917</v>
      </c>
      <c r="F92" s="1" t="s">
        <v>3918</v>
      </c>
      <c r="G92" s="1" t="s">
        <v>4983</v>
      </c>
    </row>
    <row r="93" spans="1:7" x14ac:dyDescent="0.45">
      <c r="A93" s="1" t="s">
        <v>1433</v>
      </c>
      <c r="B93" s="1" t="s">
        <v>289</v>
      </c>
      <c r="C93" s="1" t="s">
        <v>237</v>
      </c>
      <c r="D93" s="1" t="s">
        <v>2189</v>
      </c>
      <c r="E93" s="1" t="s">
        <v>3917</v>
      </c>
      <c r="F93" s="1" t="s">
        <v>3918</v>
      </c>
      <c r="G93" s="1" t="s">
        <v>4983</v>
      </c>
    </row>
    <row r="94" spans="1:7" x14ac:dyDescent="0.45">
      <c r="A94" s="1" t="s">
        <v>1432</v>
      </c>
      <c r="B94" s="1" t="s">
        <v>1431</v>
      </c>
      <c r="C94" s="1" t="s">
        <v>237</v>
      </c>
      <c r="D94" s="1" t="s">
        <v>2190</v>
      </c>
      <c r="E94" s="1" t="s">
        <v>3917</v>
      </c>
      <c r="F94" s="1" t="s">
        <v>3918</v>
      </c>
      <c r="G94" s="1" t="s">
        <v>4983</v>
      </c>
    </row>
    <row r="95" spans="1:7" x14ac:dyDescent="0.45">
      <c r="A95" s="1" t="s">
        <v>6876</v>
      </c>
      <c r="B95" s="1" t="s">
        <v>6877</v>
      </c>
      <c r="C95" s="1" t="s">
        <v>237</v>
      </c>
      <c r="D95" s="1" t="s">
        <v>7953</v>
      </c>
      <c r="E95" s="1" t="s">
        <v>3917</v>
      </c>
      <c r="F95" s="1" t="s">
        <v>3918</v>
      </c>
      <c r="G95" s="1" t="s">
        <v>4983</v>
      </c>
    </row>
    <row r="96" spans="1:7" x14ac:dyDescent="0.45">
      <c r="A96" s="1" t="s">
        <v>2628</v>
      </c>
      <c r="B96" s="1" t="s">
        <v>2629</v>
      </c>
      <c r="C96" s="1" t="s">
        <v>237</v>
      </c>
      <c r="D96" s="1" t="s">
        <v>2630</v>
      </c>
      <c r="E96" s="1" t="s">
        <v>3917</v>
      </c>
      <c r="F96" s="1" t="s">
        <v>3918</v>
      </c>
      <c r="G96" s="1" t="s">
        <v>4983</v>
      </c>
    </row>
    <row r="97" spans="1:7" x14ac:dyDescent="0.45">
      <c r="A97" s="1" t="s">
        <v>1428</v>
      </c>
      <c r="B97" s="1" t="s">
        <v>1427</v>
      </c>
      <c r="C97" s="1" t="s">
        <v>237</v>
      </c>
      <c r="D97" s="1" t="s">
        <v>2191</v>
      </c>
      <c r="E97" s="1" t="s">
        <v>3917</v>
      </c>
      <c r="F97" s="1" t="s">
        <v>3918</v>
      </c>
      <c r="G97" s="1" t="s">
        <v>4983</v>
      </c>
    </row>
    <row r="98" spans="1:7" x14ac:dyDescent="0.45">
      <c r="A98" s="1" t="s">
        <v>1634</v>
      </c>
      <c r="B98" s="1" t="s">
        <v>1635</v>
      </c>
      <c r="C98" s="1" t="s">
        <v>237</v>
      </c>
      <c r="D98" s="1" t="s">
        <v>2633</v>
      </c>
      <c r="E98" s="1" t="s">
        <v>3917</v>
      </c>
      <c r="F98" s="1" t="s">
        <v>3918</v>
      </c>
      <c r="G98" s="1" t="s">
        <v>4983</v>
      </c>
    </row>
    <row r="99" spans="1:7" x14ac:dyDescent="0.45">
      <c r="A99" s="1" t="s">
        <v>1426</v>
      </c>
      <c r="B99" s="1" t="s">
        <v>1425</v>
      </c>
      <c r="C99" s="1" t="s">
        <v>237</v>
      </c>
      <c r="D99" s="1" t="s">
        <v>2192</v>
      </c>
      <c r="E99" s="1" t="s">
        <v>3917</v>
      </c>
      <c r="F99" s="1" t="s">
        <v>3918</v>
      </c>
      <c r="G99" s="1" t="s">
        <v>4983</v>
      </c>
    </row>
    <row r="100" spans="1:7" x14ac:dyDescent="0.45">
      <c r="A100" s="1" t="s">
        <v>4101</v>
      </c>
      <c r="B100" s="1" t="s">
        <v>4102</v>
      </c>
      <c r="C100" s="1" t="s">
        <v>237</v>
      </c>
      <c r="D100" s="1" t="s">
        <v>4718</v>
      </c>
      <c r="E100" s="1" t="s">
        <v>3917</v>
      </c>
      <c r="F100" s="1" t="s">
        <v>3918</v>
      </c>
      <c r="G100" s="1" t="s">
        <v>4983</v>
      </c>
    </row>
    <row r="101" spans="1:7" x14ac:dyDescent="0.45">
      <c r="A101" s="1" t="s">
        <v>1424</v>
      </c>
      <c r="B101" s="1" t="s">
        <v>1423</v>
      </c>
      <c r="C101" s="1" t="s">
        <v>237</v>
      </c>
      <c r="D101" s="1" t="s">
        <v>2193</v>
      </c>
      <c r="E101" s="1" t="s">
        <v>3917</v>
      </c>
      <c r="F101" s="1" t="s">
        <v>3918</v>
      </c>
      <c r="G101" s="1" t="s">
        <v>4983</v>
      </c>
    </row>
    <row r="102" spans="1:7" x14ac:dyDescent="0.45">
      <c r="A102" s="1" t="s">
        <v>1422</v>
      </c>
      <c r="B102" s="1" t="s">
        <v>1421</v>
      </c>
      <c r="C102" s="1" t="s">
        <v>237</v>
      </c>
      <c r="D102" s="1" t="s">
        <v>2194</v>
      </c>
      <c r="E102" s="1" t="s">
        <v>3917</v>
      </c>
      <c r="F102" s="1" t="s">
        <v>3918</v>
      </c>
      <c r="G102" s="1" t="s">
        <v>4983</v>
      </c>
    </row>
    <row r="103" spans="1:7" x14ac:dyDescent="0.45">
      <c r="A103" s="1" t="s">
        <v>837</v>
      </c>
      <c r="B103" s="1" t="s">
        <v>836</v>
      </c>
      <c r="C103" s="1" t="s">
        <v>237</v>
      </c>
      <c r="D103" s="1" t="s">
        <v>2639</v>
      </c>
      <c r="E103" s="1" t="s">
        <v>3917</v>
      </c>
      <c r="F103" s="1" t="s">
        <v>3918</v>
      </c>
      <c r="G103" s="1" t="s">
        <v>4983</v>
      </c>
    </row>
    <row r="104" spans="1:7" x14ac:dyDescent="0.45">
      <c r="A104" s="1" t="s">
        <v>4014</v>
      </c>
      <c r="B104" s="1" t="s">
        <v>6878</v>
      </c>
      <c r="C104" s="1" t="s">
        <v>237</v>
      </c>
      <c r="D104" s="1" t="s">
        <v>4674</v>
      </c>
      <c r="E104" s="1" t="s">
        <v>3917</v>
      </c>
      <c r="F104" s="1" t="s">
        <v>3918</v>
      </c>
      <c r="G104" s="1" t="s">
        <v>4983</v>
      </c>
    </row>
    <row r="105" spans="1:7" x14ac:dyDescent="0.45">
      <c r="A105" s="1" t="s">
        <v>1420</v>
      </c>
      <c r="B105" s="1" t="s">
        <v>1419</v>
      </c>
      <c r="C105" s="1" t="s">
        <v>237</v>
      </c>
      <c r="D105" s="1" t="s">
        <v>2195</v>
      </c>
      <c r="E105" s="1" t="s">
        <v>3917</v>
      </c>
      <c r="F105" s="1" t="s">
        <v>3918</v>
      </c>
      <c r="G105" s="1" t="s">
        <v>4983</v>
      </c>
    </row>
    <row r="106" spans="1:7" x14ac:dyDescent="0.45">
      <c r="A106" s="1" t="s">
        <v>7004</v>
      </c>
      <c r="B106" s="1" t="s">
        <v>7005</v>
      </c>
      <c r="C106" s="1" t="s">
        <v>237</v>
      </c>
      <c r="D106" s="1" t="s">
        <v>8010</v>
      </c>
      <c r="E106" s="1" t="s">
        <v>3917</v>
      </c>
      <c r="F106" s="1" t="s">
        <v>3918</v>
      </c>
      <c r="G106" s="1" t="s">
        <v>4983</v>
      </c>
    </row>
    <row r="107" spans="1:7" x14ac:dyDescent="0.45">
      <c r="A107" s="1" t="s">
        <v>1418</v>
      </c>
      <c r="B107" s="1" t="s">
        <v>1417</v>
      </c>
      <c r="C107" s="1" t="s">
        <v>237</v>
      </c>
      <c r="D107" s="1" t="s">
        <v>2196</v>
      </c>
      <c r="E107" s="1" t="s">
        <v>3917</v>
      </c>
      <c r="F107" s="1" t="s">
        <v>3918</v>
      </c>
      <c r="G107" s="1" t="s">
        <v>4983</v>
      </c>
    </row>
    <row r="108" spans="1:7" x14ac:dyDescent="0.45">
      <c r="A108" s="1" t="s">
        <v>833</v>
      </c>
      <c r="B108" s="1" t="s">
        <v>832</v>
      </c>
      <c r="C108" s="1" t="s">
        <v>237</v>
      </c>
      <c r="D108" s="1" t="s">
        <v>2197</v>
      </c>
      <c r="E108" s="1" t="s">
        <v>3917</v>
      </c>
      <c r="F108" s="1" t="s">
        <v>3918</v>
      </c>
      <c r="G108" s="1" t="s">
        <v>4983</v>
      </c>
    </row>
    <row r="109" spans="1:7" x14ac:dyDescent="0.45">
      <c r="A109" s="1" t="s">
        <v>1638</v>
      </c>
      <c r="B109" s="1" t="s">
        <v>1639</v>
      </c>
      <c r="C109" s="1" t="s">
        <v>237</v>
      </c>
      <c r="D109" s="1" t="s">
        <v>2644</v>
      </c>
      <c r="E109" s="1" t="s">
        <v>3917</v>
      </c>
      <c r="F109" s="1" t="s">
        <v>3918</v>
      </c>
      <c r="G109" s="1" t="s">
        <v>4983</v>
      </c>
    </row>
    <row r="110" spans="1:7" x14ac:dyDescent="0.45">
      <c r="A110" s="1" t="s">
        <v>1416</v>
      </c>
      <c r="B110" s="1" t="s">
        <v>1415</v>
      </c>
      <c r="C110" s="1" t="s">
        <v>237</v>
      </c>
      <c r="D110" s="1" t="s">
        <v>2198</v>
      </c>
      <c r="E110" s="1" t="s">
        <v>3917</v>
      </c>
      <c r="F110" s="1" t="s">
        <v>3918</v>
      </c>
      <c r="G110" s="1" t="s">
        <v>4983</v>
      </c>
    </row>
    <row r="111" spans="1:7" x14ac:dyDescent="0.45">
      <c r="A111" s="1" t="s">
        <v>7006</v>
      </c>
      <c r="B111" s="1" t="s">
        <v>7007</v>
      </c>
      <c r="C111" s="1" t="s">
        <v>237</v>
      </c>
      <c r="D111" s="1" t="s">
        <v>8011</v>
      </c>
      <c r="E111" s="1" t="s">
        <v>3917</v>
      </c>
      <c r="F111" s="1" t="s">
        <v>3918</v>
      </c>
      <c r="G111" s="1" t="s">
        <v>4983</v>
      </c>
    </row>
    <row r="112" spans="1:7" x14ac:dyDescent="0.45">
      <c r="A112" s="1" t="s">
        <v>1414</v>
      </c>
      <c r="B112" s="1" t="s">
        <v>273</v>
      </c>
      <c r="C112" s="1" t="s">
        <v>237</v>
      </c>
      <c r="D112" s="1" t="s">
        <v>2199</v>
      </c>
      <c r="E112" s="1" t="s">
        <v>3917</v>
      </c>
      <c r="F112" s="1" t="s">
        <v>3918</v>
      </c>
      <c r="G112" s="1" t="s">
        <v>4983</v>
      </c>
    </row>
    <row r="113" spans="1:7" x14ac:dyDescent="0.45">
      <c r="A113" s="1" t="s">
        <v>4015</v>
      </c>
      <c r="B113" s="1" t="s">
        <v>4016</v>
      </c>
      <c r="C113" s="1" t="s">
        <v>237</v>
      </c>
      <c r="D113" s="1" t="s">
        <v>4675</v>
      </c>
      <c r="E113" s="1" t="s">
        <v>3917</v>
      </c>
      <c r="F113" s="1" t="s">
        <v>3918</v>
      </c>
      <c r="G113" s="1" t="s">
        <v>4983</v>
      </c>
    </row>
    <row r="114" spans="1:7" x14ac:dyDescent="0.45">
      <c r="A114" s="1" t="s">
        <v>1413</v>
      </c>
      <c r="B114" s="1" t="s">
        <v>1412</v>
      </c>
      <c r="C114" s="1" t="s">
        <v>237</v>
      </c>
      <c r="D114" s="1" t="s">
        <v>2200</v>
      </c>
      <c r="E114" s="1" t="s">
        <v>3917</v>
      </c>
      <c r="F114" s="1" t="s">
        <v>3918</v>
      </c>
      <c r="G114" s="1" t="s">
        <v>4983</v>
      </c>
    </row>
    <row r="115" spans="1:7" x14ac:dyDescent="0.45">
      <c r="A115" s="1" t="s">
        <v>829</v>
      </c>
      <c r="B115" s="1" t="s">
        <v>828</v>
      </c>
      <c r="C115" s="1" t="s">
        <v>237</v>
      </c>
      <c r="D115" s="1" t="s">
        <v>2201</v>
      </c>
      <c r="E115" s="1" t="s">
        <v>3917</v>
      </c>
      <c r="F115" s="1" t="s">
        <v>3918</v>
      </c>
      <c r="G115" s="1" t="s">
        <v>4983</v>
      </c>
    </row>
    <row r="116" spans="1:7" x14ac:dyDescent="0.45">
      <c r="A116" s="1" t="s">
        <v>2646</v>
      </c>
      <c r="B116" s="1" t="s">
        <v>2647</v>
      </c>
      <c r="C116" s="1" t="s">
        <v>237</v>
      </c>
      <c r="D116" s="1" t="s">
        <v>2648</v>
      </c>
      <c r="E116" s="1" t="s">
        <v>3917</v>
      </c>
      <c r="F116" s="1" t="s">
        <v>3918</v>
      </c>
      <c r="G116" s="1" t="s">
        <v>4983</v>
      </c>
    </row>
    <row r="117" spans="1:7" x14ac:dyDescent="0.45">
      <c r="A117" s="1" t="s">
        <v>827</v>
      </c>
      <c r="B117" s="1" t="s">
        <v>826</v>
      </c>
      <c r="C117" s="1" t="s">
        <v>237</v>
      </c>
      <c r="D117" s="1" t="s">
        <v>2202</v>
      </c>
      <c r="E117" s="1" t="s">
        <v>3917</v>
      </c>
      <c r="F117" s="1" t="s">
        <v>3918</v>
      </c>
      <c r="G117" s="1" t="s">
        <v>4983</v>
      </c>
    </row>
    <row r="118" spans="1:7" x14ac:dyDescent="0.45">
      <c r="A118" s="1" t="s">
        <v>1411</v>
      </c>
      <c r="B118" s="1" t="s">
        <v>1410</v>
      </c>
      <c r="C118" s="1" t="s">
        <v>237</v>
      </c>
      <c r="D118" s="1" t="s">
        <v>2203</v>
      </c>
      <c r="E118" s="1" t="s">
        <v>3917</v>
      </c>
      <c r="F118" s="1" t="s">
        <v>3918</v>
      </c>
      <c r="G118" s="1" t="s">
        <v>4983</v>
      </c>
    </row>
    <row r="119" spans="1:7" x14ac:dyDescent="0.45">
      <c r="A119" s="1" t="s">
        <v>6879</v>
      </c>
      <c r="B119" s="1" t="s">
        <v>6880</v>
      </c>
      <c r="C119" s="1" t="s">
        <v>237</v>
      </c>
      <c r="D119" s="1" t="s">
        <v>7954</v>
      </c>
      <c r="E119" s="1" t="s">
        <v>3917</v>
      </c>
      <c r="F119" s="1" t="s">
        <v>3918</v>
      </c>
      <c r="G119" s="1" t="s">
        <v>4983</v>
      </c>
    </row>
    <row r="120" spans="1:7" x14ac:dyDescent="0.45">
      <c r="A120" s="1" t="s">
        <v>1409</v>
      </c>
      <c r="B120" s="1" t="s">
        <v>1408</v>
      </c>
      <c r="C120" s="1" t="s">
        <v>237</v>
      </c>
      <c r="D120" s="1" t="s">
        <v>2204</v>
      </c>
      <c r="E120" s="1" t="s">
        <v>3917</v>
      </c>
      <c r="F120" s="1" t="s">
        <v>3918</v>
      </c>
      <c r="G120" s="1" t="s">
        <v>4983</v>
      </c>
    </row>
    <row r="121" spans="1:7" x14ac:dyDescent="0.45">
      <c r="A121" s="1" t="s">
        <v>7026</v>
      </c>
      <c r="B121" s="1" t="s">
        <v>7027</v>
      </c>
      <c r="C121" s="1" t="s">
        <v>237</v>
      </c>
      <c r="D121" s="1" t="s">
        <v>8020</v>
      </c>
      <c r="E121" s="1" t="s">
        <v>3917</v>
      </c>
      <c r="F121" s="1" t="s">
        <v>3918</v>
      </c>
      <c r="G121" s="1" t="s">
        <v>4983</v>
      </c>
    </row>
    <row r="122" spans="1:7" x14ac:dyDescent="0.45">
      <c r="A122" s="1" t="s">
        <v>1407</v>
      </c>
      <c r="B122" s="1" t="s">
        <v>1406</v>
      </c>
      <c r="C122" s="1" t="s">
        <v>237</v>
      </c>
      <c r="D122" s="1" t="s">
        <v>2205</v>
      </c>
      <c r="E122" s="1" t="s">
        <v>3917</v>
      </c>
      <c r="F122" s="1" t="s">
        <v>3918</v>
      </c>
      <c r="G122" s="1" t="s">
        <v>4983</v>
      </c>
    </row>
    <row r="123" spans="1:7" x14ac:dyDescent="0.45">
      <c r="A123" s="1" t="s">
        <v>10014</v>
      </c>
      <c r="B123" s="1" t="s">
        <v>10015</v>
      </c>
      <c r="C123" s="1" t="s">
        <v>237</v>
      </c>
      <c r="D123" s="1" t="s">
        <v>11282</v>
      </c>
      <c r="E123" s="1" t="s">
        <v>3917</v>
      </c>
      <c r="F123" s="1" t="s">
        <v>3918</v>
      </c>
      <c r="G123" s="1" t="s">
        <v>4983</v>
      </c>
    </row>
    <row r="124" spans="1:7" x14ac:dyDescent="0.45">
      <c r="A124" s="1" t="s">
        <v>1405</v>
      </c>
      <c r="B124" s="1" t="s">
        <v>288</v>
      </c>
      <c r="C124" s="1" t="s">
        <v>237</v>
      </c>
      <c r="D124" s="1" t="s">
        <v>2206</v>
      </c>
      <c r="E124" s="1" t="s">
        <v>3917</v>
      </c>
      <c r="F124" s="1" t="s">
        <v>3918</v>
      </c>
      <c r="G124" s="1" t="s">
        <v>4983</v>
      </c>
    </row>
    <row r="125" spans="1:7" x14ac:dyDescent="0.45">
      <c r="A125" s="1" t="s">
        <v>2207</v>
      </c>
      <c r="B125" s="1" t="s">
        <v>2208</v>
      </c>
      <c r="C125" s="1" t="s">
        <v>237</v>
      </c>
      <c r="D125" s="1" t="s">
        <v>2209</v>
      </c>
      <c r="E125" s="1" t="s">
        <v>3917</v>
      </c>
      <c r="F125" s="1" t="s">
        <v>3918</v>
      </c>
      <c r="G125" s="1" t="s">
        <v>4983</v>
      </c>
    </row>
    <row r="126" spans="1:7" x14ac:dyDescent="0.45">
      <c r="A126" s="1" t="s">
        <v>1404</v>
      </c>
      <c r="B126" s="1" t="s">
        <v>1403</v>
      </c>
      <c r="C126" s="1" t="s">
        <v>237</v>
      </c>
      <c r="D126" s="1" t="s">
        <v>2210</v>
      </c>
      <c r="E126" s="1" t="s">
        <v>3917</v>
      </c>
      <c r="F126" s="1" t="s">
        <v>3918</v>
      </c>
      <c r="G126" s="1" t="s">
        <v>4983</v>
      </c>
    </row>
    <row r="127" spans="1:7" x14ac:dyDescent="0.45">
      <c r="A127" s="1" t="s">
        <v>1402</v>
      </c>
      <c r="B127" s="1" t="s">
        <v>1401</v>
      </c>
      <c r="C127" s="1" t="s">
        <v>237</v>
      </c>
      <c r="D127" s="1" t="s">
        <v>2211</v>
      </c>
      <c r="E127" s="1" t="s">
        <v>3917</v>
      </c>
      <c r="F127" s="1" t="s">
        <v>3918</v>
      </c>
      <c r="G127" s="1" t="s">
        <v>4983</v>
      </c>
    </row>
    <row r="128" spans="1:7" x14ac:dyDescent="0.45">
      <c r="A128" s="1" t="s">
        <v>1400</v>
      </c>
      <c r="B128" s="1" t="s">
        <v>1399</v>
      </c>
      <c r="C128" s="1" t="s">
        <v>237</v>
      </c>
      <c r="D128" s="1" t="s">
        <v>2212</v>
      </c>
      <c r="E128" s="1" t="s">
        <v>3917</v>
      </c>
      <c r="F128" s="1" t="s">
        <v>3918</v>
      </c>
      <c r="G128" s="1" t="s">
        <v>4983</v>
      </c>
    </row>
    <row r="129" spans="1:7" x14ac:dyDescent="0.45">
      <c r="A129" s="1" t="s">
        <v>1398</v>
      </c>
      <c r="B129" s="1" t="s">
        <v>1397</v>
      </c>
      <c r="C129" s="1" t="s">
        <v>237</v>
      </c>
      <c r="D129" s="1" t="s">
        <v>2213</v>
      </c>
      <c r="E129" s="1" t="s">
        <v>3917</v>
      </c>
      <c r="F129" s="1" t="s">
        <v>3918</v>
      </c>
      <c r="G129" s="1" t="s">
        <v>4983</v>
      </c>
    </row>
    <row r="130" spans="1:7" x14ac:dyDescent="0.45">
      <c r="A130" s="1" t="s">
        <v>1396</v>
      </c>
      <c r="B130" s="1" t="s">
        <v>1395</v>
      </c>
      <c r="C130" s="1" t="s">
        <v>237</v>
      </c>
      <c r="D130" s="1" t="s">
        <v>2214</v>
      </c>
      <c r="E130" s="1" t="s">
        <v>3917</v>
      </c>
      <c r="F130" s="1" t="s">
        <v>3918</v>
      </c>
      <c r="G130" s="1" t="s">
        <v>4983</v>
      </c>
    </row>
    <row r="131" spans="1:7" x14ac:dyDescent="0.45">
      <c r="A131" s="1" t="s">
        <v>4122</v>
      </c>
      <c r="B131" s="1" t="s">
        <v>4123</v>
      </c>
      <c r="C131" s="1" t="s">
        <v>237</v>
      </c>
      <c r="D131" s="1" t="s">
        <v>4728</v>
      </c>
      <c r="E131" s="1" t="s">
        <v>3917</v>
      </c>
      <c r="F131" s="1" t="s">
        <v>3918</v>
      </c>
      <c r="G131" s="1" t="s">
        <v>4983</v>
      </c>
    </row>
    <row r="132" spans="1:7" x14ac:dyDescent="0.45">
      <c r="A132" s="1" t="s">
        <v>1394</v>
      </c>
      <c r="B132" s="1" t="s">
        <v>1393</v>
      </c>
      <c r="C132" s="1" t="s">
        <v>237</v>
      </c>
      <c r="D132" s="1" t="s">
        <v>2215</v>
      </c>
      <c r="E132" s="1" t="s">
        <v>3917</v>
      </c>
      <c r="F132" s="1" t="s">
        <v>3918</v>
      </c>
      <c r="G132" s="1" t="s">
        <v>4983</v>
      </c>
    </row>
    <row r="133" spans="1:7" x14ac:dyDescent="0.45">
      <c r="A133" s="1" t="s">
        <v>6881</v>
      </c>
      <c r="B133" s="1" t="s">
        <v>6882</v>
      </c>
      <c r="C133" s="1" t="s">
        <v>237</v>
      </c>
      <c r="D133" s="1" t="s">
        <v>7955</v>
      </c>
      <c r="E133" s="1" t="s">
        <v>3917</v>
      </c>
      <c r="F133" s="1" t="s">
        <v>3918</v>
      </c>
      <c r="G133" s="1" t="s">
        <v>4983</v>
      </c>
    </row>
    <row r="134" spans="1:7" x14ac:dyDescent="0.45">
      <c r="A134" s="1" t="s">
        <v>812</v>
      </c>
      <c r="B134" s="1" t="s">
        <v>811</v>
      </c>
      <c r="C134" s="1" t="s">
        <v>237</v>
      </c>
      <c r="D134" s="1" t="s">
        <v>2217</v>
      </c>
      <c r="E134" s="1" t="s">
        <v>3917</v>
      </c>
      <c r="F134" s="1" t="s">
        <v>3918</v>
      </c>
      <c r="G134" s="1" t="s">
        <v>4983</v>
      </c>
    </row>
    <row r="135" spans="1:7" x14ac:dyDescent="0.45">
      <c r="A135" s="1" t="s">
        <v>1578</v>
      </c>
      <c r="B135" s="1" t="s">
        <v>1579</v>
      </c>
      <c r="C135" s="1" t="s">
        <v>237</v>
      </c>
      <c r="D135" s="1" t="s">
        <v>2218</v>
      </c>
      <c r="E135" s="1" t="s">
        <v>3917</v>
      </c>
      <c r="F135" s="1" t="s">
        <v>3918</v>
      </c>
      <c r="G135" s="1" t="s">
        <v>4983</v>
      </c>
    </row>
    <row r="136" spans="1:7" x14ac:dyDescent="0.45">
      <c r="A136" s="1" t="s">
        <v>1392</v>
      </c>
      <c r="B136" s="1" t="s">
        <v>1391</v>
      </c>
      <c r="C136" s="1" t="s">
        <v>237</v>
      </c>
      <c r="D136" s="1" t="s">
        <v>2219</v>
      </c>
      <c r="E136" s="1" t="s">
        <v>3917</v>
      </c>
      <c r="F136" s="1" t="s">
        <v>3918</v>
      </c>
      <c r="G136" s="1" t="s">
        <v>4983</v>
      </c>
    </row>
    <row r="137" spans="1:7" x14ac:dyDescent="0.45">
      <c r="A137" s="1" t="s">
        <v>1390</v>
      </c>
      <c r="B137" s="1" t="s">
        <v>1389</v>
      </c>
      <c r="C137" s="1" t="s">
        <v>237</v>
      </c>
      <c r="D137" s="1" t="s">
        <v>2220</v>
      </c>
      <c r="E137" s="1" t="s">
        <v>3917</v>
      </c>
      <c r="F137" s="1" t="s">
        <v>3918</v>
      </c>
      <c r="G137" s="1" t="s">
        <v>4983</v>
      </c>
    </row>
    <row r="138" spans="1:7" x14ac:dyDescent="0.45">
      <c r="A138" s="1" t="s">
        <v>1388</v>
      </c>
      <c r="B138" s="1" t="s">
        <v>1387</v>
      </c>
      <c r="C138" s="1" t="s">
        <v>237</v>
      </c>
      <c r="D138" s="1" t="s">
        <v>2221</v>
      </c>
      <c r="E138" s="1" t="s">
        <v>3917</v>
      </c>
      <c r="F138" s="1" t="s">
        <v>3918</v>
      </c>
      <c r="G138" s="1" t="s">
        <v>4983</v>
      </c>
    </row>
    <row r="139" spans="1:7" x14ac:dyDescent="0.45">
      <c r="A139" s="1" t="s">
        <v>1386</v>
      </c>
      <c r="B139" s="1" t="s">
        <v>1385</v>
      </c>
      <c r="C139" s="1" t="s">
        <v>237</v>
      </c>
      <c r="D139" s="1" t="s">
        <v>2222</v>
      </c>
      <c r="E139" s="1" t="s">
        <v>3917</v>
      </c>
      <c r="F139" s="1" t="s">
        <v>3918</v>
      </c>
      <c r="G139" s="1" t="s">
        <v>4983</v>
      </c>
    </row>
    <row r="140" spans="1:7" x14ac:dyDescent="0.45">
      <c r="A140" s="1" t="s">
        <v>1384</v>
      </c>
      <c r="B140" s="1" t="s">
        <v>1383</v>
      </c>
      <c r="C140" s="1" t="s">
        <v>237</v>
      </c>
      <c r="D140" s="1" t="s">
        <v>2223</v>
      </c>
      <c r="E140" s="1" t="s">
        <v>3917</v>
      </c>
      <c r="F140" s="1" t="s">
        <v>3918</v>
      </c>
      <c r="G140" s="1" t="s">
        <v>4983</v>
      </c>
    </row>
    <row r="141" spans="1:7" x14ac:dyDescent="0.45">
      <c r="A141" s="1" t="s">
        <v>1382</v>
      </c>
      <c r="B141" s="1" t="s">
        <v>1381</v>
      </c>
      <c r="C141" s="1" t="s">
        <v>237</v>
      </c>
      <c r="D141" s="1" t="s">
        <v>2224</v>
      </c>
      <c r="E141" s="1" t="s">
        <v>3917</v>
      </c>
      <c r="F141" s="1" t="s">
        <v>3918</v>
      </c>
      <c r="G141" s="1" t="s">
        <v>4983</v>
      </c>
    </row>
    <row r="142" spans="1:7" x14ac:dyDescent="0.45">
      <c r="A142" s="1" t="s">
        <v>1380</v>
      </c>
      <c r="B142" s="1" t="s">
        <v>1379</v>
      </c>
      <c r="C142" s="1" t="s">
        <v>237</v>
      </c>
      <c r="D142" s="1" t="s">
        <v>2225</v>
      </c>
      <c r="E142" s="1" t="s">
        <v>3917</v>
      </c>
      <c r="F142" s="1" t="s">
        <v>3918</v>
      </c>
      <c r="G142" s="1" t="s">
        <v>4983</v>
      </c>
    </row>
    <row r="143" spans="1:7" x14ac:dyDescent="0.45">
      <c r="A143" s="1" t="s">
        <v>3491</v>
      </c>
      <c r="B143" s="1" t="s">
        <v>3492</v>
      </c>
      <c r="C143" s="1" t="s">
        <v>237</v>
      </c>
      <c r="D143" s="1" t="s">
        <v>3493</v>
      </c>
      <c r="E143" s="1" t="s">
        <v>3917</v>
      </c>
      <c r="F143" s="1" t="s">
        <v>3918</v>
      </c>
      <c r="G143" s="1" t="s">
        <v>4983</v>
      </c>
    </row>
    <row r="144" spans="1:7" x14ac:dyDescent="0.45">
      <c r="A144" s="1" t="s">
        <v>6883</v>
      </c>
      <c r="B144" s="1" t="s">
        <v>6884</v>
      </c>
      <c r="C144" s="1" t="s">
        <v>237</v>
      </c>
      <c r="D144" s="1" t="s">
        <v>7956</v>
      </c>
      <c r="E144" s="1" t="s">
        <v>3917</v>
      </c>
      <c r="F144" s="1" t="s">
        <v>3918</v>
      </c>
      <c r="G144" s="1" t="s">
        <v>4983</v>
      </c>
    </row>
    <row r="145" spans="1:7" x14ac:dyDescent="0.45">
      <c r="A145" s="1" t="s">
        <v>1580</v>
      </c>
      <c r="B145" s="1" t="s">
        <v>1581</v>
      </c>
      <c r="C145" s="1" t="s">
        <v>237</v>
      </c>
      <c r="D145" s="1" t="s">
        <v>2226</v>
      </c>
      <c r="E145" s="1" t="s">
        <v>3917</v>
      </c>
      <c r="F145" s="1" t="s">
        <v>3918</v>
      </c>
      <c r="G145" s="1" t="s">
        <v>4983</v>
      </c>
    </row>
    <row r="146" spans="1:7" x14ac:dyDescent="0.45">
      <c r="A146" s="1" t="s">
        <v>1650</v>
      </c>
      <c r="B146" s="1" t="s">
        <v>1651</v>
      </c>
      <c r="C146" s="1" t="s">
        <v>237</v>
      </c>
      <c r="D146" s="1" t="s">
        <v>2227</v>
      </c>
      <c r="E146" s="1" t="s">
        <v>3917</v>
      </c>
      <c r="F146" s="1" t="s">
        <v>3918</v>
      </c>
      <c r="G146" s="1" t="s">
        <v>4983</v>
      </c>
    </row>
    <row r="147" spans="1:7" x14ac:dyDescent="0.45">
      <c r="A147" s="1" t="s">
        <v>795</v>
      </c>
      <c r="B147" s="1" t="s">
        <v>794</v>
      </c>
      <c r="C147" s="1" t="s">
        <v>237</v>
      </c>
      <c r="D147" s="1" t="s">
        <v>2228</v>
      </c>
      <c r="E147" s="1" t="s">
        <v>3917</v>
      </c>
      <c r="F147" s="1" t="s">
        <v>3918</v>
      </c>
      <c r="G147" s="1" t="s">
        <v>4983</v>
      </c>
    </row>
    <row r="148" spans="1:7" x14ac:dyDescent="0.45">
      <c r="A148" s="1" t="s">
        <v>1378</v>
      </c>
      <c r="B148" s="1" t="s">
        <v>1377</v>
      </c>
      <c r="C148" s="1" t="s">
        <v>237</v>
      </c>
      <c r="D148" s="1" t="s">
        <v>2229</v>
      </c>
      <c r="E148" s="1" t="s">
        <v>3917</v>
      </c>
      <c r="F148" s="1" t="s">
        <v>3918</v>
      </c>
      <c r="G148" s="1" t="s">
        <v>4983</v>
      </c>
    </row>
    <row r="149" spans="1:7" x14ac:dyDescent="0.45">
      <c r="A149" s="1" t="s">
        <v>3496</v>
      </c>
      <c r="B149" s="1" t="s">
        <v>3497</v>
      </c>
      <c r="C149" s="1" t="s">
        <v>237</v>
      </c>
      <c r="D149" s="1" t="s">
        <v>3498</v>
      </c>
      <c r="E149" s="1" t="s">
        <v>3917</v>
      </c>
      <c r="F149" s="1" t="s">
        <v>3918</v>
      </c>
      <c r="G149" s="1" t="s">
        <v>4983</v>
      </c>
    </row>
    <row r="150" spans="1:7" x14ac:dyDescent="0.45">
      <c r="A150" s="1" t="s">
        <v>1582</v>
      </c>
      <c r="B150" s="1" t="s">
        <v>1583</v>
      </c>
      <c r="C150" s="1" t="s">
        <v>237</v>
      </c>
      <c r="D150" s="1" t="s">
        <v>2230</v>
      </c>
      <c r="E150" s="1" t="s">
        <v>3917</v>
      </c>
      <c r="F150" s="1" t="s">
        <v>3918</v>
      </c>
      <c r="G150" s="1" t="s">
        <v>4983</v>
      </c>
    </row>
    <row r="151" spans="1:7" x14ac:dyDescent="0.45">
      <c r="A151" s="1" t="s">
        <v>1376</v>
      </c>
      <c r="B151" s="1" t="s">
        <v>1375</v>
      </c>
      <c r="C151" s="1" t="s">
        <v>237</v>
      </c>
      <c r="D151" s="1" t="s">
        <v>2231</v>
      </c>
      <c r="E151" s="1" t="s">
        <v>3917</v>
      </c>
      <c r="F151" s="1" t="s">
        <v>3918</v>
      </c>
      <c r="G151" s="1" t="s">
        <v>4983</v>
      </c>
    </row>
    <row r="152" spans="1:7" x14ac:dyDescent="0.45">
      <c r="A152" s="1" t="s">
        <v>1374</v>
      </c>
      <c r="B152" s="1" t="s">
        <v>1373</v>
      </c>
      <c r="C152" s="1" t="s">
        <v>237</v>
      </c>
      <c r="D152" s="1" t="s">
        <v>2232</v>
      </c>
      <c r="E152" s="1" t="s">
        <v>3917</v>
      </c>
      <c r="F152" s="1" t="s">
        <v>3918</v>
      </c>
      <c r="G152" s="1" t="s">
        <v>4983</v>
      </c>
    </row>
    <row r="153" spans="1:7" x14ac:dyDescent="0.45">
      <c r="A153" s="1" t="s">
        <v>1526</v>
      </c>
      <c r="B153" s="1" t="s">
        <v>239</v>
      </c>
      <c r="C153" s="1" t="s">
        <v>237</v>
      </c>
      <c r="D153" s="1" t="s">
        <v>2128</v>
      </c>
      <c r="E153" s="1" t="s">
        <v>3917</v>
      </c>
      <c r="F153" s="1" t="s">
        <v>3918</v>
      </c>
      <c r="G153" s="1" t="s">
        <v>4983</v>
      </c>
    </row>
    <row r="154" spans="1:7" x14ac:dyDescent="0.45">
      <c r="A154" s="1" t="s">
        <v>1654</v>
      </c>
      <c r="B154" s="1" t="s">
        <v>1655</v>
      </c>
      <c r="C154" s="1" t="s">
        <v>237</v>
      </c>
      <c r="D154" s="1" t="s">
        <v>2684</v>
      </c>
      <c r="E154" s="1" t="s">
        <v>3917</v>
      </c>
      <c r="F154" s="1" t="s">
        <v>3918</v>
      </c>
      <c r="G154" s="1" t="s">
        <v>4983</v>
      </c>
    </row>
    <row r="155" spans="1:7" x14ac:dyDescent="0.45">
      <c r="A155" s="1" t="s">
        <v>1656</v>
      </c>
      <c r="B155" s="1" t="s">
        <v>1657</v>
      </c>
      <c r="C155" s="1" t="s">
        <v>237</v>
      </c>
      <c r="D155" s="1" t="s">
        <v>2233</v>
      </c>
      <c r="E155" s="1" t="s">
        <v>3917</v>
      </c>
      <c r="F155" s="1" t="s">
        <v>3918</v>
      </c>
      <c r="G155" s="1" t="s">
        <v>4983</v>
      </c>
    </row>
    <row r="156" spans="1:7" x14ac:dyDescent="0.45">
      <c r="A156" s="1" t="s">
        <v>1658</v>
      </c>
      <c r="B156" s="1" t="s">
        <v>1659</v>
      </c>
      <c r="C156" s="1" t="s">
        <v>237</v>
      </c>
      <c r="D156" s="1" t="s">
        <v>2685</v>
      </c>
      <c r="E156" s="1" t="s">
        <v>3917</v>
      </c>
      <c r="F156" s="1" t="s">
        <v>3918</v>
      </c>
      <c r="G156" s="1" t="s">
        <v>4983</v>
      </c>
    </row>
    <row r="157" spans="1:7" x14ac:dyDescent="0.45">
      <c r="A157" s="1" t="s">
        <v>1372</v>
      </c>
      <c r="B157" s="1" t="s">
        <v>1371</v>
      </c>
      <c r="C157" s="1" t="s">
        <v>237</v>
      </c>
      <c r="D157" s="1" t="s">
        <v>2234</v>
      </c>
      <c r="E157" s="1" t="s">
        <v>3917</v>
      </c>
      <c r="F157" s="1" t="s">
        <v>3918</v>
      </c>
      <c r="G157" s="1" t="s">
        <v>4983</v>
      </c>
    </row>
    <row r="158" spans="1:7" x14ac:dyDescent="0.45">
      <c r="A158" s="1" t="s">
        <v>1562</v>
      </c>
      <c r="B158" s="1" t="s">
        <v>1563</v>
      </c>
      <c r="C158" s="1" t="s">
        <v>237</v>
      </c>
      <c r="D158" s="1" t="s">
        <v>2235</v>
      </c>
      <c r="E158" s="1" t="s">
        <v>3917</v>
      </c>
      <c r="F158" s="1" t="s">
        <v>3918</v>
      </c>
      <c r="G158" s="1" t="s">
        <v>4983</v>
      </c>
    </row>
    <row r="159" spans="1:7" x14ac:dyDescent="0.45">
      <c r="A159" s="1" t="s">
        <v>1370</v>
      </c>
      <c r="B159" s="1" t="s">
        <v>1369</v>
      </c>
      <c r="C159" s="1" t="s">
        <v>237</v>
      </c>
      <c r="D159" s="1" t="s">
        <v>2236</v>
      </c>
      <c r="E159" s="1" t="s">
        <v>3917</v>
      </c>
      <c r="F159" s="1" t="s">
        <v>3918</v>
      </c>
      <c r="G159" s="1" t="s">
        <v>4983</v>
      </c>
    </row>
    <row r="160" spans="1:7" x14ac:dyDescent="0.45">
      <c r="A160" s="1" t="s">
        <v>1368</v>
      </c>
      <c r="B160" s="1" t="s">
        <v>1367</v>
      </c>
      <c r="C160" s="1" t="s">
        <v>237</v>
      </c>
      <c r="D160" s="1" t="s">
        <v>2237</v>
      </c>
      <c r="E160" s="1" t="s">
        <v>3917</v>
      </c>
      <c r="F160" s="1" t="s">
        <v>3918</v>
      </c>
      <c r="G160" s="1" t="s">
        <v>4983</v>
      </c>
    </row>
    <row r="161" spans="1:7" x14ac:dyDescent="0.45">
      <c r="A161" s="1" t="s">
        <v>1366</v>
      </c>
      <c r="B161" s="1" t="s">
        <v>1365</v>
      </c>
      <c r="C161" s="1" t="s">
        <v>237</v>
      </c>
      <c r="D161" s="1" t="s">
        <v>2238</v>
      </c>
      <c r="E161" s="1" t="s">
        <v>3917</v>
      </c>
      <c r="F161" s="1" t="s">
        <v>3918</v>
      </c>
      <c r="G161" s="1" t="s">
        <v>4983</v>
      </c>
    </row>
    <row r="162" spans="1:7" x14ac:dyDescent="0.45">
      <c r="A162" s="1" t="s">
        <v>1364</v>
      </c>
      <c r="B162" s="1" t="s">
        <v>1363</v>
      </c>
      <c r="C162" s="1" t="s">
        <v>237</v>
      </c>
      <c r="D162" s="1" t="s">
        <v>2239</v>
      </c>
      <c r="E162" s="1" t="s">
        <v>3917</v>
      </c>
      <c r="F162" s="1" t="s">
        <v>3918</v>
      </c>
      <c r="G162" s="1" t="s">
        <v>4983</v>
      </c>
    </row>
    <row r="163" spans="1:7" x14ac:dyDescent="0.45">
      <c r="A163" s="1" t="s">
        <v>1362</v>
      </c>
      <c r="B163" s="1" t="s">
        <v>1361</v>
      </c>
      <c r="C163" s="1" t="s">
        <v>237</v>
      </c>
      <c r="D163" s="1" t="s">
        <v>2240</v>
      </c>
      <c r="E163" s="1" t="s">
        <v>3917</v>
      </c>
      <c r="F163" s="1" t="s">
        <v>3918</v>
      </c>
      <c r="G163" s="1" t="s">
        <v>4983</v>
      </c>
    </row>
    <row r="164" spans="1:7" x14ac:dyDescent="0.45">
      <c r="A164" s="1" t="s">
        <v>1360</v>
      </c>
      <c r="B164" s="1" t="s">
        <v>1359</v>
      </c>
      <c r="C164" s="1" t="s">
        <v>237</v>
      </c>
      <c r="D164" s="1" t="s">
        <v>2241</v>
      </c>
      <c r="E164" s="1" t="s">
        <v>3917</v>
      </c>
      <c r="F164" s="1" t="s">
        <v>3918</v>
      </c>
      <c r="G164" s="1" t="s">
        <v>4983</v>
      </c>
    </row>
    <row r="165" spans="1:7" x14ac:dyDescent="0.45">
      <c r="A165" s="1" t="s">
        <v>1358</v>
      </c>
      <c r="B165" s="1" t="s">
        <v>1357</v>
      </c>
      <c r="C165" s="1" t="s">
        <v>237</v>
      </c>
      <c r="D165" s="1" t="s">
        <v>2242</v>
      </c>
      <c r="E165" s="1" t="s">
        <v>3917</v>
      </c>
      <c r="F165" s="1" t="s">
        <v>3918</v>
      </c>
      <c r="G165" s="1" t="s">
        <v>4983</v>
      </c>
    </row>
    <row r="166" spans="1:7" x14ac:dyDescent="0.45">
      <c r="A166" s="1" t="s">
        <v>1356</v>
      </c>
      <c r="B166" s="1" t="s">
        <v>272</v>
      </c>
      <c r="C166" s="1" t="s">
        <v>237</v>
      </c>
      <c r="D166" s="1" t="s">
        <v>2243</v>
      </c>
      <c r="E166" s="1" t="s">
        <v>3917</v>
      </c>
      <c r="F166" s="1" t="s">
        <v>3918</v>
      </c>
      <c r="G166" s="1" t="s">
        <v>4983</v>
      </c>
    </row>
    <row r="167" spans="1:7" x14ac:dyDescent="0.45">
      <c r="A167" s="1" t="s">
        <v>4017</v>
      </c>
      <c r="B167" s="1" t="s">
        <v>4018</v>
      </c>
      <c r="C167" s="1" t="s">
        <v>237</v>
      </c>
      <c r="D167" s="1" t="s">
        <v>4676</v>
      </c>
      <c r="E167" s="1" t="s">
        <v>3917</v>
      </c>
      <c r="F167" s="1" t="s">
        <v>3918</v>
      </c>
      <c r="G167" s="1" t="s">
        <v>4983</v>
      </c>
    </row>
    <row r="168" spans="1:7" x14ac:dyDescent="0.45">
      <c r="A168" s="1" t="s">
        <v>1355</v>
      </c>
      <c r="B168" s="1" t="s">
        <v>1354</v>
      </c>
      <c r="C168" s="1" t="s">
        <v>237</v>
      </c>
      <c r="D168" s="1" t="s">
        <v>2244</v>
      </c>
      <c r="E168" s="1" t="s">
        <v>3917</v>
      </c>
      <c r="F168" s="1" t="s">
        <v>3918</v>
      </c>
      <c r="G168" s="1" t="s">
        <v>4983</v>
      </c>
    </row>
    <row r="169" spans="1:7" x14ac:dyDescent="0.45">
      <c r="A169" s="1" t="s">
        <v>771</v>
      </c>
      <c r="B169" s="1" t="s">
        <v>770</v>
      </c>
      <c r="C169" s="1" t="s">
        <v>237</v>
      </c>
      <c r="D169" s="1" t="s">
        <v>2702</v>
      </c>
      <c r="E169" s="1" t="s">
        <v>3917</v>
      </c>
      <c r="F169" s="1" t="s">
        <v>3918</v>
      </c>
      <c r="G169" s="1" t="s">
        <v>4983</v>
      </c>
    </row>
    <row r="170" spans="1:7" x14ac:dyDescent="0.45">
      <c r="A170" s="1" t="s">
        <v>1664</v>
      </c>
      <c r="B170" s="1" t="s">
        <v>1665</v>
      </c>
      <c r="C170" s="1" t="s">
        <v>237</v>
      </c>
      <c r="D170" s="1" t="s">
        <v>2703</v>
      </c>
      <c r="E170" s="1" t="s">
        <v>3917</v>
      </c>
      <c r="F170" s="1" t="s">
        <v>3918</v>
      </c>
      <c r="G170" s="1" t="s">
        <v>4983</v>
      </c>
    </row>
    <row r="171" spans="1:7" x14ac:dyDescent="0.45">
      <c r="A171" s="1" t="s">
        <v>1353</v>
      </c>
      <c r="B171" s="1" t="s">
        <v>1352</v>
      </c>
      <c r="C171" s="1" t="s">
        <v>237</v>
      </c>
      <c r="D171" s="1" t="s">
        <v>2245</v>
      </c>
      <c r="E171" s="1" t="s">
        <v>3917</v>
      </c>
      <c r="F171" s="1" t="s">
        <v>3918</v>
      </c>
      <c r="G171" s="1" t="s">
        <v>4983</v>
      </c>
    </row>
    <row r="172" spans="1:7" x14ac:dyDescent="0.45">
      <c r="A172" s="1" t="s">
        <v>1524</v>
      </c>
      <c r="B172" s="1" t="s">
        <v>1523</v>
      </c>
      <c r="C172" s="1" t="s">
        <v>237</v>
      </c>
      <c r="D172" s="1" t="s">
        <v>2129</v>
      </c>
      <c r="E172" s="1" t="s">
        <v>3917</v>
      </c>
      <c r="F172" s="1" t="s">
        <v>3918</v>
      </c>
      <c r="G172" s="1" t="s">
        <v>4983</v>
      </c>
    </row>
    <row r="173" spans="1:7" x14ac:dyDescent="0.45">
      <c r="A173" s="1" t="s">
        <v>1351</v>
      </c>
      <c r="B173" s="1" t="s">
        <v>1350</v>
      </c>
      <c r="C173" s="1" t="s">
        <v>237</v>
      </c>
      <c r="D173" s="1" t="s">
        <v>2246</v>
      </c>
      <c r="E173" s="1" t="s">
        <v>3917</v>
      </c>
      <c r="F173" s="1" t="s">
        <v>3918</v>
      </c>
      <c r="G173" s="1" t="s">
        <v>4983</v>
      </c>
    </row>
    <row r="174" spans="1:7" x14ac:dyDescent="0.45">
      <c r="A174" s="1" t="s">
        <v>1349</v>
      </c>
      <c r="B174" s="1" t="s">
        <v>1348</v>
      </c>
      <c r="C174" s="1" t="s">
        <v>237</v>
      </c>
      <c r="D174" s="1" t="s">
        <v>2247</v>
      </c>
      <c r="E174" s="1" t="s">
        <v>3917</v>
      </c>
      <c r="F174" s="1" t="s">
        <v>3918</v>
      </c>
      <c r="G174" s="1" t="s">
        <v>4983</v>
      </c>
    </row>
    <row r="175" spans="1:7" x14ac:dyDescent="0.45">
      <c r="A175" s="1" t="s">
        <v>1347</v>
      </c>
      <c r="B175" s="1" t="s">
        <v>1346</v>
      </c>
      <c r="C175" s="1" t="s">
        <v>237</v>
      </c>
      <c r="D175" s="1" t="s">
        <v>2248</v>
      </c>
      <c r="E175" s="1" t="s">
        <v>3917</v>
      </c>
      <c r="F175" s="1" t="s">
        <v>3918</v>
      </c>
      <c r="G175" s="1" t="s">
        <v>4983</v>
      </c>
    </row>
    <row r="176" spans="1:7" x14ac:dyDescent="0.45">
      <c r="A176" s="1" t="s">
        <v>4019</v>
      </c>
      <c r="B176" s="1" t="s">
        <v>4020</v>
      </c>
      <c r="C176" s="1" t="s">
        <v>237</v>
      </c>
      <c r="D176" s="1" t="s">
        <v>4677</v>
      </c>
      <c r="E176" s="1" t="s">
        <v>3917</v>
      </c>
      <c r="F176" s="1" t="s">
        <v>3918</v>
      </c>
      <c r="G176" s="1" t="s">
        <v>4983</v>
      </c>
    </row>
    <row r="177" spans="1:7" x14ac:dyDescent="0.45">
      <c r="A177" s="1" t="s">
        <v>1345</v>
      </c>
      <c r="B177" s="1" t="s">
        <v>287</v>
      </c>
      <c r="C177" s="1" t="s">
        <v>237</v>
      </c>
      <c r="D177" s="1" t="s">
        <v>2249</v>
      </c>
      <c r="E177" s="1" t="s">
        <v>3917</v>
      </c>
      <c r="F177" s="1" t="s">
        <v>3918</v>
      </c>
      <c r="G177" s="1" t="s">
        <v>4983</v>
      </c>
    </row>
    <row r="178" spans="1:7" x14ac:dyDescent="0.45">
      <c r="A178" s="1" t="s">
        <v>4169</v>
      </c>
      <c r="B178" s="1" t="s">
        <v>4170</v>
      </c>
      <c r="C178" s="1" t="s">
        <v>237</v>
      </c>
      <c r="D178" s="1" t="s">
        <v>4749</v>
      </c>
      <c r="E178" s="1" t="s">
        <v>3917</v>
      </c>
      <c r="F178" s="1" t="s">
        <v>3918</v>
      </c>
      <c r="G178" s="1" t="s">
        <v>4983</v>
      </c>
    </row>
    <row r="179" spans="1:7" x14ac:dyDescent="0.45">
      <c r="A179" s="1" t="s">
        <v>1344</v>
      </c>
      <c r="B179" s="1" t="s">
        <v>1343</v>
      </c>
      <c r="C179" s="1" t="s">
        <v>237</v>
      </c>
      <c r="D179" s="1" t="s">
        <v>2250</v>
      </c>
      <c r="E179" s="1" t="s">
        <v>3917</v>
      </c>
      <c r="F179" s="1" t="s">
        <v>3918</v>
      </c>
      <c r="G179" s="1" t="s">
        <v>4983</v>
      </c>
    </row>
    <row r="180" spans="1:7" x14ac:dyDescent="0.45">
      <c r="A180" s="1" t="s">
        <v>4171</v>
      </c>
      <c r="B180" s="1" t="s">
        <v>4172</v>
      </c>
      <c r="C180" s="1" t="s">
        <v>237</v>
      </c>
      <c r="D180" s="1" t="s">
        <v>4750</v>
      </c>
      <c r="E180" s="1" t="s">
        <v>3917</v>
      </c>
      <c r="F180" s="1" t="s">
        <v>3918</v>
      </c>
      <c r="G180" s="1" t="s">
        <v>4983</v>
      </c>
    </row>
    <row r="181" spans="1:7" x14ac:dyDescent="0.45">
      <c r="A181" s="1" t="s">
        <v>1670</v>
      </c>
      <c r="B181" s="1" t="s">
        <v>1671</v>
      </c>
      <c r="C181" s="1" t="s">
        <v>237</v>
      </c>
      <c r="D181" s="1" t="s">
        <v>2251</v>
      </c>
      <c r="E181" s="1" t="s">
        <v>3917</v>
      </c>
      <c r="F181" s="1" t="s">
        <v>3918</v>
      </c>
      <c r="G181" s="1" t="s">
        <v>4983</v>
      </c>
    </row>
    <row r="182" spans="1:7" x14ac:dyDescent="0.45">
      <c r="A182" s="1" t="s">
        <v>6885</v>
      </c>
      <c r="B182" s="1" t="s">
        <v>6886</v>
      </c>
      <c r="C182" s="1" t="s">
        <v>237</v>
      </c>
      <c r="D182" s="1" t="s">
        <v>7957</v>
      </c>
      <c r="E182" s="1" t="s">
        <v>3917</v>
      </c>
      <c r="F182" s="1" t="s">
        <v>3918</v>
      </c>
      <c r="G182" s="1" t="s">
        <v>4983</v>
      </c>
    </row>
    <row r="183" spans="1:7" x14ac:dyDescent="0.45">
      <c r="A183" s="1" t="s">
        <v>1674</v>
      </c>
      <c r="B183" s="1" t="s">
        <v>1675</v>
      </c>
      <c r="C183" s="1" t="s">
        <v>237</v>
      </c>
      <c r="D183" s="1" t="s">
        <v>2711</v>
      </c>
      <c r="E183" s="1" t="s">
        <v>3917</v>
      </c>
      <c r="F183" s="1" t="s">
        <v>3918</v>
      </c>
      <c r="G183" s="1" t="s">
        <v>4983</v>
      </c>
    </row>
    <row r="184" spans="1:7" x14ac:dyDescent="0.45">
      <c r="A184" s="1" t="s">
        <v>2712</v>
      </c>
      <c r="B184" s="1" t="s">
        <v>2713</v>
      </c>
      <c r="C184" s="1" t="s">
        <v>237</v>
      </c>
      <c r="D184" s="1" t="s">
        <v>2714</v>
      </c>
      <c r="E184" s="1" t="s">
        <v>3917</v>
      </c>
      <c r="F184" s="1" t="s">
        <v>3918</v>
      </c>
      <c r="G184" s="1" t="s">
        <v>4983</v>
      </c>
    </row>
    <row r="185" spans="1:7" x14ac:dyDescent="0.45">
      <c r="A185" s="1" t="s">
        <v>4021</v>
      </c>
      <c r="B185" s="1" t="s">
        <v>4022</v>
      </c>
      <c r="C185" s="1" t="s">
        <v>237</v>
      </c>
      <c r="D185" s="1" t="s">
        <v>4678</v>
      </c>
      <c r="E185" s="1" t="s">
        <v>3917</v>
      </c>
      <c r="F185" s="1" t="s">
        <v>3918</v>
      </c>
      <c r="G185" s="1" t="s">
        <v>4983</v>
      </c>
    </row>
    <row r="186" spans="1:7" x14ac:dyDescent="0.45">
      <c r="A186" s="1" t="s">
        <v>1342</v>
      </c>
      <c r="B186" s="1" t="s">
        <v>1341</v>
      </c>
      <c r="C186" s="1" t="s">
        <v>237</v>
      </c>
      <c r="D186" s="1" t="s">
        <v>2252</v>
      </c>
      <c r="E186" s="1" t="s">
        <v>3917</v>
      </c>
      <c r="F186" s="1" t="s">
        <v>3918</v>
      </c>
      <c r="G186" s="1" t="s">
        <v>4983</v>
      </c>
    </row>
    <row r="187" spans="1:7" x14ac:dyDescent="0.45">
      <c r="A187" s="1" t="s">
        <v>1554</v>
      </c>
      <c r="B187" s="1" t="s">
        <v>1340</v>
      </c>
      <c r="C187" s="1" t="s">
        <v>237</v>
      </c>
      <c r="D187" s="1" t="s">
        <v>2253</v>
      </c>
      <c r="E187" s="1" t="s">
        <v>3917</v>
      </c>
      <c r="F187" s="1" t="s">
        <v>3918</v>
      </c>
      <c r="G187" s="1" t="s">
        <v>4983</v>
      </c>
    </row>
    <row r="188" spans="1:7" x14ac:dyDescent="0.45">
      <c r="A188" s="1" t="s">
        <v>6887</v>
      </c>
      <c r="B188" s="1" t="s">
        <v>6888</v>
      </c>
      <c r="C188" s="1" t="s">
        <v>237</v>
      </c>
      <c r="D188" s="1" t="s">
        <v>7958</v>
      </c>
      <c r="E188" s="1" t="s">
        <v>3917</v>
      </c>
      <c r="F188" s="1" t="s">
        <v>3918</v>
      </c>
      <c r="G188" s="1" t="s">
        <v>4983</v>
      </c>
    </row>
    <row r="189" spans="1:7" x14ac:dyDescent="0.45">
      <c r="A189" s="1" t="s">
        <v>1339</v>
      </c>
      <c r="B189" s="1" t="s">
        <v>1338</v>
      </c>
      <c r="C189" s="1" t="s">
        <v>237</v>
      </c>
      <c r="D189" s="1" t="s">
        <v>2254</v>
      </c>
      <c r="E189" s="1" t="s">
        <v>3917</v>
      </c>
      <c r="F189" s="1" t="s">
        <v>3918</v>
      </c>
      <c r="G189" s="1" t="s">
        <v>4983</v>
      </c>
    </row>
    <row r="190" spans="1:7" x14ac:dyDescent="0.45">
      <c r="A190" s="1" t="s">
        <v>4023</v>
      </c>
      <c r="B190" s="1" t="s">
        <v>4024</v>
      </c>
      <c r="C190" s="1" t="s">
        <v>237</v>
      </c>
      <c r="D190" s="1" t="s">
        <v>4679</v>
      </c>
      <c r="E190" s="1" t="s">
        <v>3917</v>
      </c>
      <c r="F190" s="1" t="s">
        <v>3918</v>
      </c>
      <c r="G190" s="1" t="s">
        <v>4983</v>
      </c>
    </row>
    <row r="191" spans="1:7" x14ac:dyDescent="0.45">
      <c r="A191" s="1" t="s">
        <v>1337</v>
      </c>
      <c r="B191" s="1" t="s">
        <v>1336</v>
      </c>
      <c r="C191" s="1" t="s">
        <v>237</v>
      </c>
      <c r="D191" s="1" t="s">
        <v>2255</v>
      </c>
      <c r="E191" s="1" t="s">
        <v>3917</v>
      </c>
      <c r="F191" s="1" t="s">
        <v>3918</v>
      </c>
      <c r="G191" s="1" t="s">
        <v>4983</v>
      </c>
    </row>
    <row r="192" spans="1:7" x14ac:dyDescent="0.45">
      <c r="A192" s="1" t="s">
        <v>1335</v>
      </c>
      <c r="B192" s="1" t="s">
        <v>1334</v>
      </c>
      <c r="C192" s="1" t="s">
        <v>237</v>
      </c>
      <c r="D192" s="1" t="s">
        <v>2256</v>
      </c>
      <c r="E192" s="1" t="s">
        <v>3917</v>
      </c>
      <c r="F192" s="1" t="s">
        <v>3918</v>
      </c>
      <c r="G192" s="1" t="s">
        <v>4983</v>
      </c>
    </row>
    <row r="193" spans="1:7" x14ac:dyDescent="0.45">
      <c r="A193" s="1" t="s">
        <v>11854</v>
      </c>
      <c r="B193" s="1" t="s">
        <v>3527</v>
      </c>
      <c r="C193" s="1" t="s">
        <v>237</v>
      </c>
      <c r="D193" s="1" t="s">
        <v>3528</v>
      </c>
      <c r="E193" s="1" t="s">
        <v>3917</v>
      </c>
      <c r="F193" s="1" t="s">
        <v>3918</v>
      </c>
      <c r="G193" s="1" t="s">
        <v>4983</v>
      </c>
    </row>
    <row r="194" spans="1:7" x14ac:dyDescent="0.45">
      <c r="A194" s="1" t="s">
        <v>761</v>
      </c>
      <c r="B194" s="1" t="s">
        <v>760</v>
      </c>
      <c r="C194" s="1" t="s">
        <v>237</v>
      </c>
      <c r="D194" s="1" t="s">
        <v>2257</v>
      </c>
      <c r="E194" s="1" t="s">
        <v>3917</v>
      </c>
      <c r="F194" s="1" t="s">
        <v>3918</v>
      </c>
      <c r="G194" s="1" t="s">
        <v>4983</v>
      </c>
    </row>
    <row r="195" spans="1:7" x14ac:dyDescent="0.45">
      <c r="A195" s="1" t="s">
        <v>1678</v>
      </c>
      <c r="B195" s="1" t="s">
        <v>1679</v>
      </c>
      <c r="C195" s="1" t="s">
        <v>237</v>
      </c>
      <c r="D195" s="1" t="s">
        <v>2723</v>
      </c>
      <c r="E195" s="1" t="s">
        <v>3917</v>
      </c>
      <c r="F195" s="1" t="s">
        <v>3918</v>
      </c>
      <c r="G195" s="1" t="s">
        <v>4983</v>
      </c>
    </row>
    <row r="196" spans="1:7" x14ac:dyDescent="0.45">
      <c r="A196" s="1" t="s">
        <v>1333</v>
      </c>
      <c r="B196" s="1" t="s">
        <v>1332</v>
      </c>
      <c r="C196" s="1" t="s">
        <v>237</v>
      </c>
      <c r="D196" s="1" t="s">
        <v>2258</v>
      </c>
      <c r="E196" s="1" t="s">
        <v>3917</v>
      </c>
      <c r="F196" s="1" t="s">
        <v>3918</v>
      </c>
      <c r="G196" s="1" t="s">
        <v>4983</v>
      </c>
    </row>
    <row r="197" spans="1:7" x14ac:dyDescent="0.45">
      <c r="A197" s="1" t="s">
        <v>1331</v>
      </c>
      <c r="B197" s="1" t="s">
        <v>1330</v>
      </c>
      <c r="C197" s="1" t="s">
        <v>237</v>
      </c>
      <c r="D197" s="1" t="s">
        <v>2259</v>
      </c>
      <c r="E197" s="1" t="s">
        <v>3917</v>
      </c>
      <c r="F197" s="1" t="s">
        <v>3918</v>
      </c>
      <c r="G197" s="1" t="s">
        <v>4983</v>
      </c>
    </row>
    <row r="198" spans="1:7" x14ac:dyDescent="0.45">
      <c r="A198" s="1" t="s">
        <v>1684</v>
      </c>
      <c r="B198" s="1" t="s">
        <v>757</v>
      </c>
      <c r="C198" s="1" t="s">
        <v>237</v>
      </c>
      <c r="D198" s="1" t="s">
        <v>2726</v>
      </c>
      <c r="E198" s="1" t="s">
        <v>3917</v>
      </c>
      <c r="F198" s="1" t="s">
        <v>3918</v>
      </c>
      <c r="G198" s="1" t="s">
        <v>4983</v>
      </c>
    </row>
    <row r="199" spans="1:7" x14ac:dyDescent="0.45">
      <c r="A199" s="1" t="s">
        <v>1329</v>
      </c>
      <c r="B199" s="1" t="s">
        <v>1328</v>
      </c>
      <c r="C199" s="1" t="s">
        <v>237</v>
      </c>
      <c r="D199" s="1" t="s">
        <v>2260</v>
      </c>
      <c r="E199" s="1" t="s">
        <v>3917</v>
      </c>
      <c r="F199" s="1" t="s">
        <v>3918</v>
      </c>
      <c r="G199" s="1" t="s">
        <v>4983</v>
      </c>
    </row>
    <row r="200" spans="1:7" x14ac:dyDescent="0.45">
      <c r="A200" s="1" t="s">
        <v>754</v>
      </c>
      <c r="B200" s="1" t="s">
        <v>753</v>
      </c>
      <c r="C200" s="1" t="s">
        <v>237</v>
      </c>
      <c r="D200" s="1" t="s">
        <v>2728</v>
      </c>
      <c r="E200" s="1" t="s">
        <v>3917</v>
      </c>
      <c r="F200" s="1" t="s">
        <v>3918</v>
      </c>
      <c r="G200" s="1" t="s">
        <v>4983</v>
      </c>
    </row>
    <row r="201" spans="1:7" x14ac:dyDescent="0.45">
      <c r="A201" s="1" t="s">
        <v>2261</v>
      </c>
      <c r="B201" s="1" t="s">
        <v>752</v>
      </c>
      <c r="C201" s="1" t="s">
        <v>237</v>
      </c>
      <c r="D201" s="1" t="s">
        <v>2262</v>
      </c>
      <c r="E201" s="1" t="s">
        <v>3917</v>
      </c>
      <c r="F201" s="1" t="s">
        <v>3918</v>
      </c>
      <c r="G201" s="1" t="s">
        <v>4983</v>
      </c>
    </row>
    <row r="202" spans="1:7" x14ac:dyDescent="0.45">
      <c r="A202" s="1" t="s">
        <v>1327</v>
      </c>
      <c r="B202" s="1" t="s">
        <v>1326</v>
      </c>
      <c r="C202" s="1" t="s">
        <v>237</v>
      </c>
      <c r="D202" s="1" t="s">
        <v>2263</v>
      </c>
      <c r="E202" s="1" t="s">
        <v>3917</v>
      </c>
      <c r="F202" s="1" t="s">
        <v>3918</v>
      </c>
      <c r="G202" s="1" t="s">
        <v>4983</v>
      </c>
    </row>
    <row r="203" spans="1:7" x14ac:dyDescent="0.45">
      <c r="A203" s="1" t="s">
        <v>1325</v>
      </c>
      <c r="B203" s="1" t="s">
        <v>1324</v>
      </c>
      <c r="C203" s="1" t="s">
        <v>237</v>
      </c>
      <c r="D203" s="1" t="s">
        <v>2264</v>
      </c>
      <c r="E203" s="1" t="s">
        <v>3917</v>
      </c>
      <c r="F203" s="1" t="s">
        <v>3918</v>
      </c>
      <c r="G203" s="1" t="s">
        <v>4983</v>
      </c>
    </row>
    <row r="204" spans="1:7" x14ac:dyDescent="0.45">
      <c r="A204" s="1" t="s">
        <v>1323</v>
      </c>
      <c r="B204" s="1" t="s">
        <v>271</v>
      </c>
      <c r="C204" s="1" t="s">
        <v>237</v>
      </c>
      <c r="D204" s="1" t="s">
        <v>2265</v>
      </c>
      <c r="E204" s="1" t="s">
        <v>3917</v>
      </c>
      <c r="F204" s="1" t="s">
        <v>3918</v>
      </c>
      <c r="G204" s="1" t="s">
        <v>4983</v>
      </c>
    </row>
    <row r="205" spans="1:7" x14ac:dyDescent="0.45">
      <c r="A205" s="1" t="s">
        <v>1322</v>
      </c>
      <c r="B205" s="1" t="s">
        <v>1321</v>
      </c>
      <c r="C205" s="1" t="s">
        <v>237</v>
      </c>
      <c r="D205" s="1" t="s">
        <v>2266</v>
      </c>
      <c r="E205" s="1" t="s">
        <v>3917</v>
      </c>
      <c r="F205" s="1" t="s">
        <v>3918</v>
      </c>
      <c r="G205" s="1" t="s">
        <v>4983</v>
      </c>
    </row>
    <row r="206" spans="1:7" x14ac:dyDescent="0.45">
      <c r="A206" s="1" t="s">
        <v>1320</v>
      </c>
      <c r="B206" s="1" t="s">
        <v>1319</v>
      </c>
      <c r="C206" s="1" t="s">
        <v>237</v>
      </c>
      <c r="D206" s="1" t="s">
        <v>2266</v>
      </c>
      <c r="E206" s="1" t="s">
        <v>3917</v>
      </c>
      <c r="F206" s="1" t="s">
        <v>3918</v>
      </c>
      <c r="G206" s="1" t="s">
        <v>4983</v>
      </c>
    </row>
    <row r="207" spans="1:7" x14ac:dyDescent="0.45">
      <c r="A207" s="1" t="s">
        <v>1318</v>
      </c>
      <c r="B207" s="1" t="s">
        <v>1317</v>
      </c>
      <c r="C207" s="1" t="s">
        <v>237</v>
      </c>
      <c r="D207" s="1" t="s">
        <v>2267</v>
      </c>
      <c r="E207" s="1" t="s">
        <v>3917</v>
      </c>
      <c r="F207" s="1" t="s">
        <v>3918</v>
      </c>
      <c r="G207" s="1" t="s">
        <v>4983</v>
      </c>
    </row>
    <row r="208" spans="1:7" x14ac:dyDescent="0.45">
      <c r="A208" s="1" t="s">
        <v>1316</v>
      </c>
      <c r="B208" s="1" t="s">
        <v>1315</v>
      </c>
      <c r="C208" s="1" t="s">
        <v>237</v>
      </c>
      <c r="D208" s="1" t="s">
        <v>2268</v>
      </c>
      <c r="E208" s="1" t="s">
        <v>3917</v>
      </c>
      <c r="F208" s="1" t="s">
        <v>3918</v>
      </c>
      <c r="G208" s="1" t="s">
        <v>4983</v>
      </c>
    </row>
    <row r="209" spans="1:7" x14ac:dyDescent="0.45">
      <c r="A209" s="1" t="s">
        <v>4200</v>
      </c>
      <c r="B209" s="1" t="s">
        <v>4201</v>
      </c>
      <c r="C209" s="1" t="s">
        <v>237</v>
      </c>
      <c r="D209" s="1" t="s">
        <v>4764</v>
      </c>
      <c r="E209" s="1" t="s">
        <v>3917</v>
      </c>
      <c r="F209" s="1" t="s">
        <v>3918</v>
      </c>
      <c r="G209" s="1" t="s">
        <v>4983</v>
      </c>
    </row>
    <row r="210" spans="1:7" x14ac:dyDescent="0.45">
      <c r="A210" s="1" t="s">
        <v>1314</v>
      </c>
      <c r="B210" s="1" t="s">
        <v>1313</v>
      </c>
      <c r="C210" s="1" t="s">
        <v>237</v>
      </c>
      <c r="D210" s="1" t="s">
        <v>2270</v>
      </c>
      <c r="E210" s="1" t="s">
        <v>3917</v>
      </c>
      <c r="F210" s="1" t="s">
        <v>3918</v>
      </c>
      <c r="G210" s="1" t="s">
        <v>4983</v>
      </c>
    </row>
    <row r="211" spans="1:7" x14ac:dyDescent="0.45">
      <c r="A211" s="1" t="s">
        <v>3378</v>
      </c>
      <c r="B211" s="1" t="s">
        <v>1690</v>
      </c>
      <c r="C211" s="1" t="s">
        <v>237</v>
      </c>
      <c r="D211" s="1" t="s">
        <v>2738</v>
      </c>
      <c r="E211" s="1" t="s">
        <v>3919</v>
      </c>
      <c r="F211" s="1" t="s">
        <v>3918</v>
      </c>
      <c r="G211" s="1" t="s">
        <v>4983</v>
      </c>
    </row>
    <row r="212" spans="1:7" x14ac:dyDescent="0.45">
      <c r="A212" s="1" t="s">
        <v>1312</v>
      </c>
      <c r="B212" s="1" t="s">
        <v>1311</v>
      </c>
      <c r="C212" s="1" t="s">
        <v>237</v>
      </c>
      <c r="D212" s="1" t="s">
        <v>2271</v>
      </c>
      <c r="E212" s="1" t="s">
        <v>3917</v>
      </c>
      <c r="F212" s="1" t="s">
        <v>3918</v>
      </c>
      <c r="G212" s="1" t="s">
        <v>4983</v>
      </c>
    </row>
    <row r="213" spans="1:7" x14ac:dyDescent="0.45">
      <c r="A213" s="1" t="s">
        <v>1310</v>
      </c>
      <c r="B213" s="1" t="s">
        <v>1309</v>
      </c>
      <c r="C213" s="1" t="s">
        <v>237</v>
      </c>
      <c r="D213" s="1" t="s">
        <v>2272</v>
      </c>
      <c r="E213" s="1" t="s">
        <v>3917</v>
      </c>
      <c r="F213" s="1" t="s">
        <v>3918</v>
      </c>
      <c r="G213" s="1" t="s">
        <v>4983</v>
      </c>
    </row>
    <row r="214" spans="1:7" x14ac:dyDescent="0.45">
      <c r="A214" s="1" t="s">
        <v>746</v>
      </c>
      <c r="B214" s="1" t="s">
        <v>745</v>
      </c>
      <c r="C214" s="1" t="s">
        <v>237</v>
      </c>
      <c r="D214" s="1" t="s">
        <v>2274</v>
      </c>
      <c r="E214" s="1" t="s">
        <v>3917</v>
      </c>
      <c r="F214" s="1" t="s">
        <v>3918</v>
      </c>
      <c r="G214" s="1" t="s">
        <v>4983</v>
      </c>
    </row>
    <row r="215" spans="1:7" x14ac:dyDescent="0.45">
      <c r="A215" s="1" t="s">
        <v>1555</v>
      </c>
      <c r="B215" s="1" t="s">
        <v>241</v>
      </c>
      <c r="C215" s="1" t="s">
        <v>237</v>
      </c>
      <c r="D215" s="1" t="s">
        <v>2275</v>
      </c>
      <c r="E215" s="1" t="s">
        <v>3917</v>
      </c>
      <c r="F215" s="1" t="s">
        <v>3918</v>
      </c>
      <c r="G215" s="1" t="s">
        <v>4983</v>
      </c>
    </row>
    <row r="216" spans="1:7" x14ac:dyDescent="0.45">
      <c r="A216" s="1" t="s">
        <v>1306</v>
      </c>
      <c r="B216" s="1" t="s">
        <v>1305</v>
      </c>
      <c r="C216" s="1" t="s">
        <v>237</v>
      </c>
      <c r="D216" s="1" t="s">
        <v>2276</v>
      </c>
      <c r="E216" s="1" t="s">
        <v>3917</v>
      </c>
      <c r="F216" s="1" t="s">
        <v>3918</v>
      </c>
      <c r="G216" s="1" t="s">
        <v>4983</v>
      </c>
    </row>
    <row r="217" spans="1:7" x14ac:dyDescent="0.45">
      <c r="A217" s="1" t="s">
        <v>1304</v>
      </c>
      <c r="B217" s="1" t="s">
        <v>1303</v>
      </c>
      <c r="C217" s="1" t="s">
        <v>237</v>
      </c>
      <c r="D217" s="1" t="s">
        <v>2277</v>
      </c>
      <c r="E217" s="1" t="s">
        <v>3917</v>
      </c>
      <c r="F217" s="1" t="s">
        <v>3918</v>
      </c>
      <c r="G217" s="1" t="s">
        <v>4983</v>
      </c>
    </row>
    <row r="218" spans="1:7" x14ac:dyDescent="0.45">
      <c r="A218" s="1" t="s">
        <v>1302</v>
      </c>
      <c r="B218" s="1" t="s">
        <v>1301</v>
      </c>
      <c r="C218" s="1" t="s">
        <v>237</v>
      </c>
      <c r="D218" s="1" t="s">
        <v>2278</v>
      </c>
      <c r="E218" s="1" t="s">
        <v>3917</v>
      </c>
      <c r="F218" s="1" t="s">
        <v>3918</v>
      </c>
      <c r="G218" s="1" t="s">
        <v>4983</v>
      </c>
    </row>
    <row r="219" spans="1:7" x14ac:dyDescent="0.45">
      <c r="A219" s="1" t="s">
        <v>1300</v>
      </c>
      <c r="B219" s="1" t="s">
        <v>1299</v>
      </c>
      <c r="C219" s="1" t="s">
        <v>237</v>
      </c>
      <c r="D219" s="1" t="s">
        <v>2279</v>
      </c>
      <c r="E219" s="1" t="s">
        <v>3917</v>
      </c>
      <c r="F219" s="1" t="s">
        <v>3918</v>
      </c>
      <c r="G219" s="1" t="s">
        <v>4983</v>
      </c>
    </row>
    <row r="220" spans="1:7" x14ac:dyDescent="0.45">
      <c r="A220" s="1" t="s">
        <v>2280</v>
      </c>
      <c r="B220" s="1" t="s">
        <v>2281</v>
      </c>
      <c r="C220" s="1" t="s">
        <v>237</v>
      </c>
      <c r="D220" s="1" t="s">
        <v>2282</v>
      </c>
      <c r="E220" s="1" t="s">
        <v>3917</v>
      </c>
      <c r="F220" s="1" t="s">
        <v>3918</v>
      </c>
      <c r="G220" s="1" t="s">
        <v>4983</v>
      </c>
    </row>
    <row r="221" spans="1:7" x14ac:dyDescent="0.45">
      <c r="A221" s="1" t="s">
        <v>1298</v>
      </c>
      <c r="B221" s="1" t="s">
        <v>1297</v>
      </c>
      <c r="C221" s="1" t="s">
        <v>237</v>
      </c>
      <c r="D221" s="1" t="s">
        <v>2283</v>
      </c>
      <c r="E221" s="1" t="s">
        <v>3917</v>
      </c>
      <c r="F221" s="1" t="s">
        <v>3918</v>
      </c>
      <c r="G221" s="1" t="s">
        <v>4983</v>
      </c>
    </row>
    <row r="222" spans="1:7" x14ac:dyDescent="0.45">
      <c r="A222" s="1" t="s">
        <v>1586</v>
      </c>
      <c r="B222" s="1" t="s">
        <v>1587</v>
      </c>
      <c r="C222" s="1" t="s">
        <v>237</v>
      </c>
      <c r="D222" s="1" t="s">
        <v>2284</v>
      </c>
      <c r="E222" s="1" t="s">
        <v>3917</v>
      </c>
      <c r="F222" s="1" t="s">
        <v>3918</v>
      </c>
      <c r="G222" s="1" t="s">
        <v>4983</v>
      </c>
    </row>
    <row r="223" spans="1:7" x14ac:dyDescent="0.45">
      <c r="A223" s="1" t="s">
        <v>4025</v>
      </c>
      <c r="B223" s="1" t="s">
        <v>4026</v>
      </c>
      <c r="C223" s="1" t="s">
        <v>237</v>
      </c>
      <c r="D223" s="1" t="s">
        <v>4680</v>
      </c>
      <c r="E223" s="1" t="s">
        <v>3917</v>
      </c>
      <c r="F223" s="1" t="s">
        <v>3918</v>
      </c>
      <c r="G223" s="1" t="s">
        <v>4983</v>
      </c>
    </row>
    <row r="224" spans="1:7" x14ac:dyDescent="0.45">
      <c r="A224" s="1" t="s">
        <v>1296</v>
      </c>
      <c r="B224" s="1" t="s">
        <v>1295</v>
      </c>
      <c r="C224" s="1" t="s">
        <v>237</v>
      </c>
      <c r="D224" s="1" t="s">
        <v>2285</v>
      </c>
      <c r="E224" s="1" t="s">
        <v>3917</v>
      </c>
      <c r="F224" s="1" t="s">
        <v>3918</v>
      </c>
      <c r="G224" s="1" t="s">
        <v>4983</v>
      </c>
    </row>
    <row r="225" spans="1:7" x14ac:dyDescent="0.45">
      <c r="A225" s="1" t="s">
        <v>729</v>
      </c>
      <c r="B225" s="1" t="s">
        <v>728</v>
      </c>
      <c r="C225" s="1" t="s">
        <v>237</v>
      </c>
      <c r="D225" s="1" t="s">
        <v>2286</v>
      </c>
      <c r="E225" s="1" t="s">
        <v>3917</v>
      </c>
      <c r="F225" s="1" t="s">
        <v>3918</v>
      </c>
      <c r="G225" s="1" t="s">
        <v>4983</v>
      </c>
    </row>
    <row r="226" spans="1:7" x14ac:dyDescent="0.45">
      <c r="A226" s="1" t="s">
        <v>1701</v>
      </c>
      <c r="B226" s="1" t="s">
        <v>1702</v>
      </c>
      <c r="C226" s="1" t="s">
        <v>237</v>
      </c>
      <c r="D226" s="1" t="s">
        <v>2758</v>
      </c>
      <c r="E226" s="1" t="s">
        <v>3917</v>
      </c>
      <c r="F226" s="1" t="s">
        <v>3918</v>
      </c>
      <c r="G226" s="1" t="s">
        <v>4983</v>
      </c>
    </row>
    <row r="227" spans="1:7" x14ac:dyDescent="0.45">
      <c r="A227" s="1" t="s">
        <v>4210</v>
      </c>
      <c r="B227" s="1" t="s">
        <v>4211</v>
      </c>
      <c r="C227" s="1" t="s">
        <v>237</v>
      </c>
      <c r="D227" s="1" t="s">
        <v>4769</v>
      </c>
      <c r="E227" s="1" t="s">
        <v>3917</v>
      </c>
      <c r="F227" s="1" t="s">
        <v>3918</v>
      </c>
      <c r="G227" s="1" t="s">
        <v>4983</v>
      </c>
    </row>
    <row r="228" spans="1:7" x14ac:dyDescent="0.45">
      <c r="A228" s="1" t="s">
        <v>727</v>
      </c>
      <c r="B228" s="1" t="s">
        <v>726</v>
      </c>
      <c r="C228" s="1" t="s">
        <v>237</v>
      </c>
      <c r="D228" s="1" t="s">
        <v>2287</v>
      </c>
      <c r="E228" s="1" t="s">
        <v>3917</v>
      </c>
      <c r="F228" s="1" t="s">
        <v>3918</v>
      </c>
      <c r="G228" s="1" t="s">
        <v>4983</v>
      </c>
    </row>
    <row r="229" spans="1:7" x14ac:dyDescent="0.45">
      <c r="A229" s="1" t="s">
        <v>4212</v>
      </c>
      <c r="B229" s="1" t="s">
        <v>4213</v>
      </c>
      <c r="C229" s="1" t="s">
        <v>237</v>
      </c>
      <c r="D229" s="1" t="s">
        <v>4770</v>
      </c>
      <c r="E229" s="1" t="s">
        <v>3917</v>
      </c>
      <c r="F229" s="1" t="s">
        <v>3918</v>
      </c>
      <c r="G229" s="1" t="s">
        <v>4983</v>
      </c>
    </row>
    <row r="230" spans="1:7" x14ac:dyDescent="0.45">
      <c r="A230" s="1" t="s">
        <v>4027</v>
      </c>
      <c r="B230" s="1" t="s">
        <v>4028</v>
      </c>
      <c r="C230" s="1" t="s">
        <v>237</v>
      </c>
      <c r="D230" s="1" t="s">
        <v>4681</v>
      </c>
      <c r="E230" s="1" t="s">
        <v>3917</v>
      </c>
      <c r="F230" s="1" t="s">
        <v>3918</v>
      </c>
      <c r="G230" s="1" t="s">
        <v>4983</v>
      </c>
    </row>
    <row r="231" spans="1:7" x14ac:dyDescent="0.45">
      <c r="A231" s="1" t="s">
        <v>2288</v>
      </c>
      <c r="B231" s="1" t="s">
        <v>2289</v>
      </c>
      <c r="C231" s="1" t="s">
        <v>237</v>
      </c>
      <c r="D231" s="1" t="s">
        <v>2290</v>
      </c>
      <c r="E231" s="1" t="s">
        <v>3917</v>
      </c>
      <c r="F231" s="1" t="s">
        <v>3918</v>
      </c>
      <c r="G231" s="1" t="s">
        <v>4983</v>
      </c>
    </row>
    <row r="232" spans="1:7" x14ac:dyDescent="0.45">
      <c r="A232" s="1" t="s">
        <v>3546</v>
      </c>
      <c r="B232" s="1" t="s">
        <v>3547</v>
      </c>
      <c r="C232" s="1" t="s">
        <v>237</v>
      </c>
      <c r="D232" s="1" t="s">
        <v>3548</v>
      </c>
      <c r="E232" s="1" t="s">
        <v>3917</v>
      </c>
      <c r="F232" s="1" t="s">
        <v>3918</v>
      </c>
      <c r="G232" s="1" t="s">
        <v>4983</v>
      </c>
    </row>
    <row r="233" spans="1:7" x14ac:dyDescent="0.45">
      <c r="A233" s="1" t="s">
        <v>7172</v>
      </c>
      <c r="B233" s="1" t="s">
        <v>7173</v>
      </c>
      <c r="C233" s="1" t="s">
        <v>237</v>
      </c>
      <c r="D233" s="1" t="s">
        <v>8086</v>
      </c>
      <c r="E233" s="1" t="s">
        <v>3917</v>
      </c>
      <c r="F233" s="1" t="s">
        <v>3918</v>
      </c>
      <c r="G233" s="1" t="s">
        <v>4983</v>
      </c>
    </row>
    <row r="234" spans="1:7" x14ac:dyDescent="0.45">
      <c r="A234" s="1" t="s">
        <v>3549</v>
      </c>
      <c r="B234" s="1" t="s">
        <v>3550</v>
      </c>
      <c r="C234" s="1" t="s">
        <v>237</v>
      </c>
      <c r="D234" s="1" t="s">
        <v>3551</v>
      </c>
      <c r="E234" s="1" t="s">
        <v>3917</v>
      </c>
      <c r="F234" s="1" t="s">
        <v>3918</v>
      </c>
      <c r="G234" s="1" t="s">
        <v>4983</v>
      </c>
    </row>
    <row r="235" spans="1:7" x14ac:dyDescent="0.45">
      <c r="A235" s="1" t="s">
        <v>3379</v>
      </c>
      <c r="B235" s="1" t="s">
        <v>3380</v>
      </c>
      <c r="C235" s="1" t="s">
        <v>237</v>
      </c>
      <c r="D235" s="1" t="s">
        <v>3381</v>
      </c>
      <c r="E235" s="1" t="s">
        <v>3917</v>
      </c>
      <c r="F235" s="1" t="s">
        <v>3918</v>
      </c>
      <c r="G235" s="1" t="s">
        <v>4983</v>
      </c>
    </row>
    <row r="236" spans="1:7" x14ac:dyDescent="0.45">
      <c r="A236" s="1" t="s">
        <v>1294</v>
      </c>
      <c r="B236" s="1" t="s">
        <v>1293</v>
      </c>
      <c r="C236" s="1" t="s">
        <v>237</v>
      </c>
      <c r="D236" s="1" t="s">
        <v>2291</v>
      </c>
      <c r="E236" s="1" t="s">
        <v>3917</v>
      </c>
      <c r="F236" s="1" t="s">
        <v>3918</v>
      </c>
      <c r="G236" s="1" t="s">
        <v>4983</v>
      </c>
    </row>
    <row r="237" spans="1:7" x14ac:dyDescent="0.45">
      <c r="A237" s="1" t="s">
        <v>1292</v>
      </c>
      <c r="B237" s="1" t="s">
        <v>1291</v>
      </c>
      <c r="C237" s="1" t="s">
        <v>237</v>
      </c>
      <c r="D237" s="1" t="s">
        <v>2292</v>
      </c>
      <c r="E237" s="1" t="s">
        <v>3917</v>
      </c>
      <c r="F237" s="1" t="s">
        <v>3918</v>
      </c>
      <c r="G237" s="1" t="s">
        <v>4983</v>
      </c>
    </row>
    <row r="238" spans="1:7" x14ac:dyDescent="0.45">
      <c r="A238" s="1" t="s">
        <v>2761</v>
      </c>
      <c r="B238" s="1" t="s">
        <v>2762</v>
      </c>
      <c r="C238" s="1" t="s">
        <v>237</v>
      </c>
      <c r="D238" s="1" t="s">
        <v>2763</v>
      </c>
      <c r="E238" s="1" t="s">
        <v>3917</v>
      </c>
      <c r="F238" s="1" t="s">
        <v>3918</v>
      </c>
      <c r="G238" s="1" t="s">
        <v>4983</v>
      </c>
    </row>
    <row r="239" spans="1:7" x14ac:dyDescent="0.45">
      <c r="A239" s="1" t="s">
        <v>1290</v>
      </c>
      <c r="B239" s="1" t="s">
        <v>1289</v>
      </c>
      <c r="C239" s="1" t="s">
        <v>237</v>
      </c>
      <c r="D239" s="1" t="s">
        <v>2293</v>
      </c>
      <c r="E239" s="1" t="s">
        <v>3917</v>
      </c>
      <c r="F239" s="1" t="s">
        <v>3918</v>
      </c>
      <c r="G239" s="1" t="s">
        <v>4983</v>
      </c>
    </row>
    <row r="240" spans="1:7" x14ac:dyDescent="0.45">
      <c r="A240" s="1" t="s">
        <v>1288</v>
      </c>
      <c r="B240" s="1" t="s">
        <v>1287</v>
      </c>
      <c r="C240" s="1" t="s">
        <v>237</v>
      </c>
      <c r="D240" s="1" t="s">
        <v>2294</v>
      </c>
      <c r="E240" s="1" t="s">
        <v>3917</v>
      </c>
      <c r="F240" s="1" t="s">
        <v>3918</v>
      </c>
      <c r="G240" s="1" t="s">
        <v>4983</v>
      </c>
    </row>
    <row r="241" spans="1:7" x14ac:dyDescent="0.45">
      <c r="A241" s="1" t="s">
        <v>4029</v>
      </c>
      <c r="B241" s="1" t="s">
        <v>4030</v>
      </c>
      <c r="C241" s="1" t="s">
        <v>237</v>
      </c>
      <c r="D241" s="1" t="s">
        <v>4682</v>
      </c>
      <c r="E241" s="1" t="s">
        <v>3917</v>
      </c>
      <c r="F241" s="1" t="s">
        <v>3918</v>
      </c>
      <c r="G241" s="1" t="s">
        <v>4983</v>
      </c>
    </row>
    <row r="242" spans="1:7" x14ac:dyDescent="0.45">
      <c r="A242" s="1" t="s">
        <v>7188</v>
      </c>
      <c r="B242" s="1" t="s">
        <v>7189</v>
      </c>
      <c r="C242" s="1" t="s">
        <v>237</v>
      </c>
      <c r="D242" s="1" t="s">
        <v>8093</v>
      </c>
      <c r="E242" s="1" t="s">
        <v>3917</v>
      </c>
      <c r="F242" s="1" t="s">
        <v>3918</v>
      </c>
      <c r="G242" s="1" t="s">
        <v>4983</v>
      </c>
    </row>
    <row r="243" spans="1:7" x14ac:dyDescent="0.45">
      <c r="A243" s="1" t="s">
        <v>7190</v>
      </c>
      <c r="B243" s="1" t="s">
        <v>7191</v>
      </c>
      <c r="C243" s="1" t="s">
        <v>237</v>
      </c>
      <c r="D243" s="1" t="s">
        <v>8094</v>
      </c>
      <c r="E243" s="1" t="s">
        <v>3917</v>
      </c>
      <c r="F243" s="1" t="s">
        <v>3918</v>
      </c>
      <c r="G243" s="1" t="s">
        <v>4983</v>
      </c>
    </row>
    <row r="244" spans="1:7" x14ac:dyDescent="0.45">
      <c r="A244" s="1" t="s">
        <v>1286</v>
      </c>
      <c r="B244" s="1" t="s">
        <v>1285</v>
      </c>
      <c r="C244" s="1" t="s">
        <v>237</v>
      </c>
      <c r="D244" s="1" t="s">
        <v>2295</v>
      </c>
      <c r="E244" s="1" t="s">
        <v>3917</v>
      </c>
      <c r="F244" s="1" t="s">
        <v>3918</v>
      </c>
      <c r="G244" s="1" t="s">
        <v>4983</v>
      </c>
    </row>
    <row r="245" spans="1:7" x14ac:dyDescent="0.45">
      <c r="A245" s="1" t="s">
        <v>1284</v>
      </c>
      <c r="B245" s="1" t="s">
        <v>1283</v>
      </c>
      <c r="C245" s="1" t="s">
        <v>237</v>
      </c>
      <c r="D245" s="1" t="s">
        <v>2296</v>
      </c>
      <c r="E245" s="1" t="s">
        <v>3917</v>
      </c>
      <c r="F245" s="1" t="s">
        <v>3918</v>
      </c>
      <c r="G245" s="1" t="s">
        <v>4983</v>
      </c>
    </row>
    <row r="246" spans="1:7" x14ac:dyDescent="0.45">
      <c r="A246" s="1" t="s">
        <v>1282</v>
      </c>
      <c r="B246" s="1" t="s">
        <v>1281</v>
      </c>
      <c r="C246" s="1" t="s">
        <v>237</v>
      </c>
      <c r="D246" s="1" t="s">
        <v>2297</v>
      </c>
      <c r="E246" s="1" t="s">
        <v>3917</v>
      </c>
      <c r="F246" s="1" t="s">
        <v>3918</v>
      </c>
      <c r="G246" s="1" t="s">
        <v>4983</v>
      </c>
    </row>
    <row r="247" spans="1:7" x14ac:dyDescent="0.45">
      <c r="A247" s="1" t="s">
        <v>1280</v>
      </c>
      <c r="B247" s="1" t="s">
        <v>1279</v>
      </c>
      <c r="C247" s="1" t="s">
        <v>237</v>
      </c>
      <c r="D247" s="1" t="s">
        <v>2298</v>
      </c>
      <c r="E247" s="1" t="s">
        <v>3917</v>
      </c>
      <c r="F247" s="1" t="s">
        <v>3918</v>
      </c>
      <c r="G247" s="1" t="s">
        <v>4983</v>
      </c>
    </row>
    <row r="248" spans="1:7" x14ac:dyDescent="0.45">
      <c r="A248" s="1" t="s">
        <v>1278</v>
      </c>
      <c r="B248" s="1" t="s">
        <v>1277</v>
      </c>
      <c r="C248" s="1" t="s">
        <v>237</v>
      </c>
      <c r="D248" s="1" t="s">
        <v>2299</v>
      </c>
      <c r="E248" s="1" t="s">
        <v>3917</v>
      </c>
      <c r="F248" s="1" t="s">
        <v>3918</v>
      </c>
      <c r="G248" s="1" t="s">
        <v>4983</v>
      </c>
    </row>
    <row r="249" spans="1:7" x14ac:dyDescent="0.45">
      <c r="A249" s="1" t="s">
        <v>1707</v>
      </c>
      <c r="B249" s="1" t="s">
        <v>1708</v>
      </c>
      <c r="C249" s="1" t="s">
        <v>237</v>
      </c>
      <c r="D249" s="1" t="s">
        <v>2303</v>
      </c>
      <c r="E249" s="1" t="s">
        <v>3917</v>
      </c>
      <c r="F249" s="1" t="s">
        <v>3918</v>
      </c>
      <c r="G249" s="1" t="s">
        <v>4983</v>
      </c>
    </row>
    <row r="250" spans="1:7" x14ac:dyDescent="0.45">
      <c r="A250" s="1" t="s">
        <v>3561</v>
      </c>
      <c r="B250" s="1" t="s">
        <v>3562</v>
      </c>
      <c r="C250" s="1" t="s">
        <v>237</v>
      </c>
      <c r="D250" s="1" t="s">
        <v>3563</v>
      </c>
      <c r="E250" s="1" t="s">
        <v>3917</v>
      </c>
      <c r="F250" s="1" t="s">
        <v>3918</v>
      </c>
      <c r="G250" s="1" t="s">
        <v>4983</v>
      </c>
    </row>
    <row r="251" spans="1:7" x14ac:dyDescent="0.45">
      <c r="A251" s="1" t="s">
        <v>3564</v>
      </c>
      <c r="B251" s="1" t="s">
        <v>3565</v>
      </c>
      <c r="C251" s="1" t="s">
        <v>237</v>
      </c>
      <c r="D251" s="1" t="s">
        <v>3566</v>
      </c>
      <c r="E251" s="1" t="s">
        <v>3917</v>
      </c>
      <c r="F251" s="1" t="s">
        <v>3918</v>
      </c>
      <c r="G251" s="1" t="s">
        <v>4983</v>
      </c>
    </row>
    <row r="252" spans="1:7" x14ac:dyDescent="0.45">
      <c r="A252" s="1" t="s">
        <v>1276</v>
      </c>
      <c r="B252" s="1" t="s">
        <v>1275</v>
      </c>
      <c r="C252" s="1" t="s">
        <v>237</v>
      </c>
      <c r="D252" s="1" t="s">
        <v>2304</v>
      </c>
      <c r="E252" s="1" t="s">
        <v>3917</v>
      </c>
      <c r="F252" s="1" t="s">
        <v>3918</v>
      </c>
      <c r="G252" s="1" t="s">
        <v>4983</v>
      </c>
    </row>
    <row r="253" spans="1:7" x14ac:dyDescent="0.45">
      <c r="A253" s="1" t="s">
        <v>1274</v>
      </c>
      <c r="B253" s="1" t="s">
        <v>1273</v>
      </c>
      <c r="C253" s="1" t="s">
        <v>237</v>
      </c>
      <c r="D253" s="1" t="s">
        <v>2305</v>
      </c>
      <c r="E253" s="1" t="s">
        <v>3917</v>
      </c>
      <c r="F253" s="1" t="s">
        <v>3918</v>
      </c>
      <c r="G253" s="1" t="s">
        <v>4983</v>
      </c>
    </row>
    <row r="254" spans="1:7" x14ac:dyDescent="0.45">
      <c r="A254" s="1" t="s">
        <v>7209</v>
      </c>
      <c r="B254" s="1" t="s">
        <v>7210</v>
      </c>
      <c r="C254" s="1" t="s">
        <v>237</v>
      </c>
      <c r="D254" s="1" t="s">
        <v>8104</v>
      </c>
      <c r="E254" s="1" t="s">
        <v>3917</v>
      </c>
      <c r="F254" s="1" t="s">
        <v>3918</v>
      </c>
      <c r="G254" s="1" t="s">
        <v>4983</v>
      </c>
    </row>
    <row r="255" spans="1:7" x14ac:dyDescent="0.45">
      <c r="A255" s="1" t="s">
        <v>10016</v>
      </c>
      <c r="B255" s="1" t="s">
        <v>10017</v>
      </c>
      <c r="C255" s="1" t="s">
        <v>237</v>
      </c>
      <c r="D255" s="1" t="s">
        <v>11283</v>
      </c>
      <c r="E255" s="1" t="s">
        <v>3917</v>
      </c>
      <c r="F255" s="1" t="s">
        <v>3918</v>
      </c>
      <c r="G255" s="1" t="s">
        <v>4983</v>
      </c>
    </row>
    <row r="256" spans="1:7" x14ac:dyDescent="0.45">
      <c r="A256" s="1" t="s">
        <v>1272</v>
      </c>
      <c r="B256" s="1" t="s">
        <v>1271</v>
      </c>
      <c r="C256" s="1" t="s">
        <v>237</v>
      </c>
      <c r="D256" s="1" t="s">
        <v>2306</v>
      </c>
      <c r="E256" s="1" t="s">
        <v>3917</v>
      </c>
      <c r="F256" s="1" t="s">
        <v>3918</v>
      </c>
      <c r="G256" s="1" t="s">
        <v>4983</v>
      </c>
    </row>
    <row r="257" spans="1:7" x14ac:dyDescent="0.45">
      <c r="A257" s="1" t="s">
        <v>2307</v>
      </c>
      <c r="B257" s="1" t="s">
        <v>2308</v>
      </c>
      <c r="C257" s="1" t="s">
        <v>237</v>
      </c>
      <c r="D257" s="1" t="s">
        <v>2309</v>
      </c>
      <c r="E257" s="1" t="s">
        <v>3917</v>
      </c>
      <c r="F257" s="1" t="s">
        <v>3918</v>
      </c>
      <c r="G257" s="1" t="s">
        <v>4983</v>
      </c>
    </row>
    <row r="258" spans="1:7" x14ac:dyDescent="0.45">
      <c r="A258" s="1" t="s">
        <v>6889</v>
      </c>
      <c r="B258" s="1" t="s">
        <v>6890</v>
      </c>
      <c r="C258" s="1" t="s">
        <v>237</v>
      </c>
      <c r="D258" s="1" t="s">
        <v>7959</v>
      </c>
      <c r="E258" s="1" t="s">
        <v>3917</v>
      </c>
      <c r="F258" s="1" t="s">
        <v>3918</v>
      </c>
      <c r="G258" s="1" t="s">
        <v>4983</v>
      </c>
    </row>
    <row r="259" spans="1:7" x14ac:dyDescent="0.45">
      <c r="A259" s="1" t="s">
        <v>3382</v>
      </c>
      <c r="B259" s="1" t="s">
        <v>3383</v>
      </c>
      <c r="C259" s="1" t="s">
        <v>237</v>
      </c>
      <c r="D259" s="1" t="s">
        <v>3384</v>
      </c>
      <c r="E259" s="1" t="s">
        <v>3917</v>
      </c>
      <c r="F259" s="1" t="s">
        <v>3918</v>
      </c>
      <c r="G259" s="1" t="s">
        <v>4983</v>
      </c>
    </row>
    <row r="260" spans="1:7" x14ac:dyDescent="0.45">
      <c r="A260" s="1" t="s">
        <v>4031</v>
      </c>
      <c r="B260" s="1" t="s">
        <v>4032</v>
      </c>
      <c r="C260" s="1" t="s">
        <v>237</v>
      </c>
      <c r="D260" s="1" t="s">
        <v>4683</v>
      </c>
      <c r="E260" s="1" t="s">
        <v>3917</v>
      </c>
      <c r="F260" s="1" t="s">
        <v>3918</v>
      </c>
      <c r="G260" s="1" t="s">
        <v>4983</v>
      </c>
    </row>
    <row r="261" spans="1:7" x14ac:dyDescent="0.45">
      <c r="A261" s="1" t="s">
        <v>702</v>
      </c>
      <c r="B261" s="1" t="s">
        <v>701</v>
      </c>
      <c r="C261" s="1" t="s">
        <v>237</v>
      </c>
      <c r="D261" s="1" t="s">
        <v>2310</v>
      </c>
      <c r="E261" s="1" t="s">
        <v>3917</v>
      </c>
      <c r="F261" s="1" t="s">
        <v>3918</v>
      </c>
      <c r="G261" s="1" t="s">
        <v>4983</v>
      </c>
    </row>
    <row r="262" spans="1:7" x14ac:dyDescent="0.45">
      <c r="A262" s="1" t="s">
        <v>2789</v>
      </c>
      <c r="B262" s="1" t="s">
        <v>2790</v>
      </c>
      <c r="C262" s="1" t="s">
        <v>237</v>
      </c>
      <c r="D262" s="1" t="s">
        <v>2791</v>
      </c>
      <c r="E262" s="1" t="s">
        <v>3917</v>
      </c>
      <c r="F262" s="1" t="s">
        <v>3918</v>
      </c>
      <c r="G262" s="1" t="s">
        <v>4983</v>
      </c>
    </row>
    <row r="263" spans="1:7" x14ac:dyDescent="0.45">
      <c r="A263" s="1" t="s">
        <v>4033</v>
      </c>
      <c r="B263" s="1" t="s">
        <v>4034</v>
      </c>
      <c r="C263" s="1" t="s">
        <v>237</v>
      </c>
      <c r="D263" s="1" t="s">
        <v>4684</v>
      </c>
      <c r="E263" s="1" t="s">
        <v>3917</v>
      </c>
      <c r="F263" s="1" t="s">
        <v>3918</v>
      </c>
      <c r="G263" s="1" t="s">
        <v>4983</v>
      </c>
    </row>
    <row r="264" spans="1:7" x14ac:dyDescent="0.45">
      <c r="A264" s="1" t="s">
        <v>1270</v>
      </c>
      <c r="B264" s="1" t="s">
        <v>1269</v>
      </c>
      <c r="C264" s="1" t="s">
        <v>237</v>
      </c>
      <c r="D264" s="1" t="s">
        <v>2311</v>
      </c>
      <c r="E264" s="1" t="s">
        <v>3917</v>
      </c>
      <c r="F264" s="1" t="s">
        <v>3918</v>
      </c>
      <c r="G264" s="1" t="s">
        <v>4983</v>
      </c>
    </row>
    <row r="265" spans="1:7" x14ac:dyDescent="0.45">
      <c r="A265" s="1" t="s">
        <v>4242</v>
      </c>
      <c r="B265" s="1" t="s">
        <v>4243</v>
      </c>
      <c r="C265" s="1" t="s">
        <v>237</v>
      </c>
      <c r="D265" s="1" t="s">
        <v>4783</v>
      </c>
      <c r="E265" s="1" t="s">
        <v>3917</v>
      </c>
      <c r="F265" s="1" t="s">
        <v>3918</v>
      </c>
      <c r="G265" s="1" t="s">
        <v>4983</v>
      </c>
    </row>
    <row r="266" spans="1:7" x14ac:dyDescent="0.45">
      <c r="A266" s="1" t="s">
        <v>1268</v>
      </c>
      <c r="B266" s="1" t="s">
        <v>1267</v>
      </c>
      <c r="C266" s="1" t="s">
        <v>237</v>
      </c>
      <c r="D266" s="1" t="s">
        <v>2312</v>
      </c>
      <c r="E266" s="1" t="s">
        <v>3917</v>
      </c>
      <c r="F266" s="1" t="s">
        <v>3918</v>
      </c>
      <c r="G266" s="1" t="s">
        <v>4983</v>
      </c>
    </row>
    <row r="267" spans="1:7" x14ac:dyDescent="0.45">
      <c r="A267" s="1" t="s">
        <v>1266</v>
      </c>
      <c r="B267" s="1" t="s">
        <v>1265</v>
      </c>
      <c r="C267" s="1" t="s">
        <v>237</v>
      </c>
      <c r="D267" s="1" t="s">
        <v>2313</v>
      </c>
      <c r="E267" s="1" t="s">
        <v>3917</v>
      </c>
      <c r="F267" s="1" t="s">
        <v>3918</v>
      </c>
      <c r="G267" s="1" t="s">
        <v>4983</v>
      </c>
    </row>
    <row r="268" spans="1:7" x14ac:dyDescent="0.45">
      <c r="A268" s="1" t="s">
        <v>694</v>
      </c>
      <c r="B268" s="1" t="s">
        <v>693</v>
      </c>
      <c r="C268" s="1" t="s">
        <v>237</v>
      </c>
      <c r="D268" s="1" t="s">
        <v>2314</v>
      </c>
      <c r="E268" s="1" t="s">
        <v>3917</v>
      </c>
      <c r="F268" s="1" t="s">
        <v>3918</v>
      </c>
      <c r="G268" s="1" t="s">
        <v>4983</v>
      </c>
    </row>
    <row r="269" spans="1:7" x14ac:dyDescent="0.45">
      <c r="A269" s="1" t="s">
        <v>1264</v>
      </c>
      <c r="B269" s="1" t="s">
        <v>286</v>
      </c>
      <c r="C269" s="1" t="s">
        <v>237</v>
      </c>
      <c r="D269" s="1" t="s">
        <v>2315</v>
      </c>
      <c r="E269" s="1" t="s">
        <v>3917</v>
      </c>
      <c r="F269" s="1" t="s">
        <v>3918</v>
      </c>
      <c r="G269" s="1" t="s">
        <v>4983</v>
      </c>
    </row>
    <row r="270" spans="1:7" x14ac:dyDescent="0.45">
      <c r="A270" s="1" t="s">
        <v>1263</v>
      </c>
      <c r="B270" s="1" t="s">
        <v>1262</v>
      </c>
      <c r="C270" s="1" t="s">
        <v>237</v>
      </c>
      <c r="D270" s="1" t="s">
        <v>2316</v>
      </c>
      <c r="E270" s="1" t="s">
        <v>3917</v>
      </c>
      <c r="F270" s="1" t="s">
        <v>3918</v>
      </c>
      <c r="G270" s="1" t="s">
        <v>4983</v>
      </c>
    </row>
    <row r="271" spans="1:7" x14ac:dyDescent="0.45">
      <c r="A271" s="1" t="s">
        <v>1261</v>
      </c>
      <c r="B271" s="1" t="s">
        <v>1260</v>
      </c>
      <c r="C271" s="1" t="s">
        <v>237</v>
      </c>
      <c r="D271" s="1" t="s">
        <v>2317</v>
      </c>
      <c r="E271" s="1" t="s">
        <v>3917</v>
      </c>
      <c r="F271" s="1" t="s">
        <v>3918</v>
      </c>
      <c r="G271" s="1" t="s">
        <v>4983</v>
      </c>
    </row>
    <row r="272" spans="1:7" x14ac:dyDescent="0.45">
      <c r="A272" s="1" t="s">
        <v>1259</v>
      </c>
      <c r="B272" s="1" t="s">
        <v>1258</v>
      </c>
      <c r="C272" s="1" t="s">
        <v>237</v>
      </c>
      <c r="D272" s="1" t="s">
        <v>2318</v>
      </c>
      <c r="E272" s="1" t="s">
        <v>3917</v>
      </c>
      <c r="F272" s="1" t="s">
        <v>3918</v>
      </c>
      <c r="G272" s="1" t="s">
        <v>4983</v>
      </c>
    </row>
    <row r="273" spans="1:7" x14ac:dyDescent="0.45">
      <c r="A273" s="1" t="s">
        <v>7242</v>
      </c>
      <c r="B273" s="1" t="s">
        <v>7243</v>
      </c>
      <c r="C273" s="1" t="s">
        <v>237</v>
      </c>
      <c r="D273" s="1" t="s">
        <v>8118</v>
      </c>
      <c r="E273" s="1" t="s">
        <v>3917</v>
      </c>
      <c r="F273" s="1" t="s">
        <v>3918</v>
      </c>
      <c r="G273" s="1" t="s">
        <v>4983</v>
      </c>
    </row>
    <row r="274" spans="1:7" x14ac:dyDescent="0.45">
      <c r="A274" s="1" t="s">
        <v>2801</v>
      </c>
      <c r="B274" s="1" t="s">
        <v>2802</v>
      </c>
      <c r="C274" s="1" t="s">
        <v>237</v>
      </c>
      <c r="D274" s="1" t="s">
        <v>2803</v>
      </c>
      <c r="E274" s="1" t="s">
        <v>3919</v>
      </c>
      <c r="F274" s="1" t="s">
        <v>3918</v>
      </c>
      <c r="G274" s="1" t="s">
        <v>4983</v>
      </c>
    </row>
    <row r="275" spans="1:7" x14ac:dyDescent="0.45">
      <c r="A275" s="1" t="s">
        <v>1257</v>
      </c>
      <c r="B275" s="1" t="s">
        <v>1256</v>
      </c>
      <c r="C275" s="1" t="s">
        <v>237</v>
      </c>
      <c r="D275" s="1" t="s">
        <v>2319</v>
      </c>
      <c r="E275" s="1" t="s">
        <v>3917</v>
      </c>
      <c r="F275" s="1" t="s">
        <v>3918</v>
      </c>
      <c r="G275" s="1" t="s">
        <v>4983</v>
      </c>
    </row>
    <row r="276" spans="1:7" x14ac:dyDescent="0.45">
      <c r="A276" s="1" t="s">
        <v>1255</v>
      </c>
      <c r="B276" s="1" t="s">
        <v>1254</v>
      </c>
      <c r="C276" s="1" t="s">
        <v>237</v>
      </c>
      <c r="D276" s="1" t="s">
        <v>2320</v>
      </c>
      <c r="E276" s="1" t="s">
        <v>3917</v>
      </c>
      <c r="F276" s="1" t="s">
        <v>3918</v>
      </c>
      <c r="G276" s="1" t="s">
        <v>4983</v>
      </c>
    </row>
    <row r="277" spans="1:7" x14ac:dyDescent="0.45">
      <c r="A277" s="1" t="s">
        <v>1253</v>
      </c>
      <c r="B277" s="1" t="s">
        <v>1252</v>
      </c>
      <c r="C277" s="1" t="s">
        <v>237</v>
      </c>
      <c r="D277" s="1" t="s">
        <v>2321</v>
      </c>
      <c r="E277" s="1" t="s">
        <v>3917</v>
      </c>
      <c r="F277" s="1" t="s">
        <v>3918</v>
      </c>
      <c r="G277" s="1" t="s">
        <v>4983</v>
      </c>
    </row>
    <row r="278" spans="1:7" x14ac:dyDescent="0.45">
      <c r="A278" s="1" t="s">
        <v>1251</v>
      </c>
      <c r="B278" s="1" t="s">
        <v>1250</v>
      </c>
      <c r="C278" s="1" t="s">
        <v>237</v>
      </c>
      <c r="D278" s="1" t="s">
        <v>2322</v>
      </c>
      <c r="E278" s="1" t="s">
        <v>3917</v>
      </c>
      <c r="F278" s="1" t="s">
        <v>3918</v>
      </c>
      <c r="G278" s="1" t="s">
        <v>4983</v>
      </c>
    </row>
    <row r="279" spans="1:7" x14ac:dyDescent="0.45">
      <c r="A279" s="1" t="s">
        <v>1249</v>
      </c>
      <c r="B279" s="1" t="s">
        <v>1248</v>
      </c>
      <c r="C279" s="1" t="s">
        <v>237</v>
      </c>
      <c r="D279" s="1" t="s">
        <v>2323</v>
      </c>
      <c r="E279" s="1" t="s">
        <v>3917</v>
      </c>
      <c r="F279" s="1" t="s">
        <v>3918</v>
      </c>
      <c r="G279" s="1" t="s">
        <v>4983</v>
      </c>
    </row>
    <row r="280" spans="1:7" x14ac:dyDescent="0.45">
      <c r="A280" s="1" t="s">
        <v>1247</v>
      </c>
      <c r="B280" s="1" t="s">
        <v>1246</v>
      </c>
      <c r="C280" s="1" t="s">
        <v>237</v>
      </c>
      <c r="D280" s="1" t="s">
        <v>2324</v>
      </c>
      <c r="E280" s="1" t="s">
        <v>3917</v>
      </c>
      <c r="F280" s="1" t="s">
        <v>3918</v>
      </c>
      <c r="G280" s="1" t="s">
        <v>4983</v>
      </c>
    </row>
    <row r="281" spans="1:7" x14ac:dyDescent="0.45">
      <c r="A281" s="1" t="s">
        <v>4035</v>
      </c>
      <c r="B281" s="1" t="s">
        <v>4036</v>
      </c>
      <c r="C281" s="1" t="s">
        <v>237</v>
      </c>
      <c r="D281" s="1" t="s">
        <v>4685</v>
      </c>
      <c r="E281" s="1" t="s">
        <v>3917</v>
      </c>
      <c r="F281" s="1" t="s">
        <v>3918</v>
      </c>
      <c r="G281" s="1" t="s">
        <v>4983</v>
      </c>
    </row>
    <row r="282" spans="1:7" x14ac:dyDescent="0.45">
      <c r="A282" s="1" t="s">
        <v>4246</v>
      </c>
      <c r="B282" s="1" t="s">
        <v>4247</v>
      </c>
      <c r="C282" s="1" t="s">
        <v>237</v>
      </c>
      <c r="D282" s="1" t="s">
        <v>4785</v>
      </c>
      <c r="E282" s="1" t="s">
        <v>3917</v>
      </c>
      <c r="F282" s="1" t="s">
        <v>3918</v>
      </c>
      <c r="G282" s="1" t="s">
        <v>4983</v>
      </c>
    </row>
    <row r="283" spans="1:7" x14ac:dyDescent="0.45">
      <c r="A283" s="1" t="s">
        <v>1245</v>
      </c>
      <c r="B283" s="1" t="s">
        <v>1244</v>
      </c>
      <c r="C283" s="1" t="s">
        <v>237</v>
      </c>
      <c r="D283" s="1" t="s">
        <v>2325</v>
      </c>
      <c r="E283" s="1" t="s">
        <v>3917</v>
      </c>
      <c r="F283" s="1" t="s">
        <v>3918</v>
      </c>
      <c r="G283" s="1" t="s">
        <v>4983</v>
      </c>
    </row>
    <row r="284" spans="1:7" x14ac:dyDescent="0.45">
      <c r="A284" s="1" t="s">
        <v>1243</v>
      </c>
      <c r="B284" s="1" t="s">
        <v>1242</v>
      </c>
      <c r="C284" s="1" t="s">
        <v>237</v>
      </c>
      <c r="D284" s="1" t="s">
        <v>2326</v>
      </c>
      <c r="E284" s="1" t="s">
        <v>3917</v>
      </c>
      <c r="F284" s="1" t="s">
        <v>3918</v>
      </c>
      <c r="G284" s="1" t="s">
        <v>4983</v>
      </c>
    </row>
    <row r="285" spans="1:7" x14ac:dyDescent="0.45">
      <c r="A285" s="1" t="s">
        <v>1241</v>
      </c>
      <c r="B285" s="1" t="s">
        <v>1240</v>
      </c>
      <c r="C285" s="1" t="s">
        <v>237</v>
      </c>
      <c r="D285" s="1" t="s">
        <v>2330</v>
      </c>
      <c r="E285" s="1" t="s">
        <v>3917</v>
      </c>
      <c r="F285" s="1" t="s">
        <v>3918</v>
      </c>
      <c r="G285" s="1" t="s">
        <v>4983</v>
      </c>
    </row>
    <row r="286" spans="1:7" x14ac:dyDescent="0.45">
      <c r="A286" s="1" t="s">
        <v>1239</v>
      </c>
      <c r="B286" s="1" t="s">
        <v>1238</v>
      </c>
      <c r="C286" s="1" t="s">
        <v>237</v>
      </c>
      <c r="D286" s="1" t="s">
        <v>2331</v>
      </c>
      <c r="E286" s="1" t="s">
        <v>3917</v>
      </c>
      <c r="F286" s="1" t="s">
        <v>3918</v>
      </c>
      <c r="G286" s="1" t="s">
        <v>4983</v>
      </c>
    </row>
    <row r="287" spans="1:7" x14ac:dyDescent="0.45">
      <c r="A287" s="1" t="s">
        <v>682</v>
      </c>
      <c r="B287" s="1" t="s">
        <v>681</v>
      </c>
      <c r="C287" s="1" t="s">
        <v>237</v>
      </c>
      <c r="D287" s="1" t="s">
        <v>2332</v>
      </c>
      <c r="E287" s="1" t="s">
        <v>3917</v>
      </c>
      <c r="F287" s="1" t="s">
        <v>3918</v>
      </c>
      <c r="G287" s="1" t="s">
        <v>4983</v>
      </c>
    </row>
    <row r="288" spans="1:7" x14ac:dyDescent="0.45">
      <c r="A288" s="1" t="s">
        <v>680</v>
      </c>
      <c r="B288" s="1" t="s">
        <v>679</v>
      </c>
      <c r="C288" s="1" t="s">
        <v>237</v>
      </c>
      <c r="D288" s="1" t="s">
        <v>2333</v>
      </c>
      <c r="E288" s="1" t="s">
        <v>3917</v>
      </c>
      <c r="F288" s="1" t="s">
        <v>3918</v>
      </c>
      <c r="G288" s="1" t="s">
        <v>4983</v>
      </c>
    </row>
    <row r="289" spans="1:7" x14ac:dyDescent="0.45">
      <c r="A289" s="1" t="s">
        <v>1237</v>
      </c>
      <c r="B289" s="1" t="s">
        <v>285</v>
      </c>
      <c r="C289" s="1" t="s">
        <v>237</v>
      </c>
      <c r="D289" s="1" t="s">
        <v>2334</v>
      </c>
      <c r="E289" s="1" t="s">
        <v>3917</v>
      </c>
      <c r="F289" s="1" t="s">
        <v>3918</v>
      </c>
      <c r="G289" s="1" t="s">
        <v>4983</v>
      </c>
    </row>
    <row r="290" spans="1:7" x14ac:dyDescent="0.45">
      <c r="A290" s="1" t="s">
        <v>1236</v>
      </c>
      <c r="B290" s="1" t="s">
        <v>1235</v>
      </c>
      <c r="C290" s="1" t="s">
        <v>237</v>
      </c>
      <c r="D290" s="1" t="s">
        <v>2335</v>
      </c>
      <c r="E290" s="1" t="s">
        <v>3917</v>
      </c>
      <c r="F290" s="1" t="s">
        <v>3918</v>
      </c>
      <c r="G290" s="1" t="s">
        <v>4983</v>
      </c>
    </row>
    <row r="291" spans="1:7" x14ac:dyDescent="0.45">
      <c r="A291" s="1" t="s">
        <v>1234</v>
      </c>
      <c r="B291" s="1" t="s">
        <v>1233</v>
      </c>
      <c r="C291" s="1" t="s">
        <v>237</v>
      </c>
      <c r="D291" s="1" t="s">
        <v>2336</v>
      </c>
      <c r="E291" s="1" t="s">
        <v>3917</v>
      </c>
      <c r="F291" s="1" t="s">
        <v>3918</v>
      </c>
      <c r="G291" s="1" t="s">
        <v>4983</v>
      </c>
    </row>
    <row r="292" spans="1:7" x14ac:dyDescent="0.45">
      <c r="A292" s="1" t="s">
        <v>1232</v>
      </c>
      <c r="B292" s="1" t="s">
        <v>1231</v>
      </c>
      <c r="C292" s="1" t="s">
        <v>237</v>
      </c>
      <c r="D292" s="1" t="s">
        <v>2337</v>
      </c>
      <c r="E292" s="1" t="s">
        <v>3917</v>
      </c>
      <c r="F292" s="1" t="s">
        <v>3918</v>
      </c>
      <c r="G292" s="1" t="s">
        <v>4983</v>
      </c>
    </row>
    <row r="293" spans="1:7" x14ac:dyDescent="0.45">
      <c r="A293" s="1" t="s">
        <v>3592</v>
      </c>
      <c r="B293" s="1" t="s">
        <v>3593</v>
      </c>
      <c r="C293" s="1" t="s">
        <v>237</v>
      </c>
      <c r="D293" s="1" t="s">
        <v>3594</v>
      </c>
      <c r="E293" s="1" t="s">
        <v>3917</v>
      </c>
      <c r="F293" s="1" t="s">
        <v>3918</v>
      </c>
      <c r="G293" s="1" t="s">
        <v>4983</v>
      </c>
    </row>
    <row r="294" spans="1:7" x14ac:dyDescent="0.45">
      <c r="A294" s="1" t="s">
        <v>3595</v>
      </c>
      <c r="B294" s="1" t="s">
        <v>3596</v>
      </c>
      <c r="C294" s="1" t="s">
        <v>237</v>
      </c>
      <c r="D294" s="1" t="s">
        <v>3597</v>
      </c>
      <c r="E294" s="1" t="s">
        <v>3917</v>
      </c>
      <c r="F294" s="1" t="s">
        <v>3918</v>
      </c>
      <c r="G294" s="1" t="s">
        <v>4983</v>
      </c>
    </row>
    <row r="295" spans="1:7" x14ac:dyDescent="0.45">
      <c r="A295" s="1" t="s">
        <v>4037</v>
      </c>
      <c r="B295" s="1" t="s">
        <v>4038</v>
      </c>
      <c r="C295" s="1" t="s">
        <v>237</v>
      </c>
      <c r="D295" s="1" t="s">
        <v>4686</v>
      </c>
      <c r="E295" s="1" t="s">
        <v>3917</v>
      </c>
      <c r="F295" s="1" t="s">
        <v>3918</v>
      </c>
      <c r="G295" s="1" t="s">
        <v>4983</v>
      </c>
    </row>
    <row r="296" spans="1:7" x14ac:dyDescent="0.45">
      <c r="A296" s="1" t="s">
        <v>1230</v>
      </c>
      <c r="B296" s="1" t="s">
        <v>1229</v>
      </c>
      <c r="C296" s="1" t="s">
        <v>237</v>
      </c>
      <c r="D296" s="1" t="s">
        <v>2338</v>
      </c>
      <c r="E296" s="1" t="s">
        <v>3917</v>
      </c>
      <c r="F296" s="1" t="s">
        <v>3918</v>
      </c>
      <c r="G296" s="1" t="s">
        <v>4983</v>
      </c>
    </row>
    <row r="297" spans="1:7" x14ac:dyDescent="0.45">
      <c r="A297" s="1" t="s">
        <v>4039</v>
      </c>
      <c r="B297" s="1" t="s">
        <v>4040</v>
      </c>
      <c r="C297" s="1" t="s">
        <v>237</v>
      </c>
      <c r="D297" s="1" t="s">
        <v>4687</v>
      </c>
      <c r="E297" s="1" t="s">
        <v>3917</v>
      </c>
      <c r="F297" s="1" t="s">
        <v>3918</v>
      </c>
      <c r="G297" s="1" t="s">
        <v>4983</v>
      </c>
    </row>
    <row r="298" spans="1:7" x14ac:dyDescent="0.45">
      <c r="A298" s="1" t="s">
        <v>1228</v>
      </c>
      <c r="B298" s="1" t="s">
        <v>1227</v>
      </c>
      <c r="C298" s="1" t="s">
        <v>237</v>
      </c>
      <c r="D298" s="1" t="s">
        <v>2339</v>
      </c>
      <c r="E298" s="1" t="s">
        <v>3917</v>
      </c>
      <c r="F298" s="1" t="s">
        <v>3918</v>
      </c>
      <c r="G298" s="1" t="s">
        <v>4983</v>
      </c>
    </row>
    <row r="299" spans="1:7" x14ac:dyDescent="0.45">
      <c r="A299" s="1" t="s">
        <v>6891</v>
      </c>
      <c r="B299" s="1" t="s">
        <v>6892</v>
      </c>
      <c r="C299" s="1" t="s">
        <v>237</v>
      </c>
      <c r="D299" s="1" t="s">
        <v>7960</v>
      </c>
      <c r="E299" s="1" t="s">
        <v>3917</v>
      </c>
      <c r="F299" s="1" t="s">
        <v>3918</v>
      </c>
      <c r="G299" s="1" t="s">
        <v>4983</v>
      </c>
    </row>
    <row r="300" spans="1:7" x14ac:dyDescent="0.45">
      <c r="A300" s="1" t="s">
        <v>1721</v>
      </c>
      <c r="B300" s="1" t="s">
        <v>1722</v>
      </c>
      <c r="C300" s="1" t="s">
        <v>237</v>
      </c>
      <c r="D300" s="1" t="s">
        <v>2829</v>
      </c>
      <c r="E300" s="1" t="s">
        <v>3917</v>
      </c>
      <c r="F300" s="1" t="s">
        <v>3918</v>
      </c>
      <c r="G300" s="1" t="s">
        <v>4983</v>
      </c>
    </row>
    <row r="301" spans="1:7" x14ac:dyDescent="0.45">
      <c r="A301" s="1" t="s">
        <v>4041</v>
      </c>
      <c r="B301" s="1" t="s">
        <v>4042</v>
      </c>
      <c r="C301" s="1" t="s">
        <v>237</v>
      </c>
      <c r="D301" s="1" t="s">
        <v>4688</v>
      </c>
      <c r="E301" s="1" t="s">
        <v>3917</v>
      </c>
      <c r="F301" s="1" t="s">
        <v>3918</v>
      </c>
      <c r="G301" s="1" t="s">
        <v>4983</v>
      </c>
    </row>
    <row r="302" spans="1:7" x14ac:dyDescent="0.45">
      <c r="A302" s="1" t="s">
        <v>1226</v>
      </c>
      <c r="B302" s="1" t="s">
        <v>1225</v>
      </c>
      <c r="C302" s="1" t="s">
        <v>237</v>
      </c>
      <c r="D302" s="1" t="s">
        <v>2340</v>
      </c>
      <c r="E302" s="1" t="s">
        <v>3917</v>
      </c>
      <c r="F302" s="1" t="s">
        <v>3918</v>
      </c>
      <c r="G302" s="1" t="s">
        <v>4983</v>
      </c>
    </row>
    <row r="303" spans="1:7" x14ac:dyDescent="0.45">
      <c r="A303" s="1" t="s">
        <v>4272</v>
      </c>
      <c r="B303" s="1" t="s">
        <v>4273</v>
      </c>
      <c r="C303" s="1" t="s">
        <v>237</v>
      </c>
      <c r="D303" s="1" t="s">
        <v>4797</v>
      </c>
      <c r="E303" s="1" t="s">
        <v>3917</v>
      </c>
      <c r="F303" s="1" t="s">
        <v>3918</v>
      </c>
      <c r="G303" s="1" t="s">
        <v>4983</v>
      </c>
    </row>
    <row r="304" spans="1:7" x14ac:dyDescent="0.45">
      <c r="A304" s="1" t="s">
        <v>1224</v>
      </c>
      <c r="B304" s="1" t="s">
        <v>1223</v>
      </c>
      <c r="C304" s="1" t="s">
        <v>237</v>
      </c>
      <c r="D304" s="1" t="s">
        <v>2341</v>
      </c>
      <c r="E304" s="1" t="s">
        <v>3917</v>
      </c>
      <c r="F304" s="1" t="s">
        <v>3918</v>
      </c>
      <c r="G304" s="1" t="s">
        <v>4983</v>
      </c>
    </row>
    <row r="305" spans="1:7" x14ac:dyDescent="0.45">
      <c r="A305" s="1" t="s">
        <v>3607</v>
      </c>
      <c r="B305" s="1" t="s">
        <v>3608</v>
      </c>
      <c r="C305" s="1" t="s">
        <v>237</v>
      </c>
      <c r="D305" s="1" t="s">
        <v>3609</v>
      </c>
      <c r="E305" s="1" t="s">
        <v>3917</v>
      </c>
      <c r="F305" s="1" t="s">
        <v>3918</v>
      </c>
      <c r="G305" s="1" t="s">
        <v>4983</v>
      </c>
    </row>
    <row r="306" spans="1:7" x14ac:dyDescent="0.45">
      <c r="A306" s="1" t="s">
        <v>1222</v>
      </c>
      <c r="B306" s="1" t="s">
        <v>1221</v>
      </c>
      <c r="C306" s="1" t="s">
        <v>237</v>
      </c>
      <c r="D306" s="1" t="s">
        <v>2342</v>
      </c>
      <c r="E306" s="1" t="s">
        <v>3917</v>
      </c>
      <c r="F306" s="1" t="s">
        <v>3918</v>
      </c>
      <c r="G306" s="1" t="s">
        <v>4983</v>
      </c>
    </row>
    <row r="307" spans="1:7" x14ac:dyDescent="0.45">
      <c r="A307" s="1" t="s">
        <v>3385</v>
      </c>
      <c r="B307" s="1" t="s">
        <v>3386</v>
      </c>
      <c r="C307" s="1" t="s">
        <v>237</v>
      </c>
      <c r="D307" s="1" t="s">
        <v>3387</v>
      </c>
      <c r="E307" s="1" t="s">
        <v>3917</v>
      </c>
      <c r="F307" s="1" t="s">
        <v>3918</v>
      </c>
      <c r="G307" s="1" t="s">
        <v>4983</v>
      </c>
    </row>
    <row r="308" spans="1:7" x14ac:dyDescent="0.45">
      <c r="A308" s="1" t="s">
        <v>1220</v>
      </c>
      <c r="B308" s="1" t="s">
        <v>1219</v>
      </c>
      <c r="C308" s="1" t="s">
        <v>237</v>
      </c>
      <c r="D308" s="1" t="s">
        <v>2343</v>
      </c>
      <c r="E308" s="1" t="s">
        <v>3917</v>
      </c>
      <c r="F308" s="1" t="s">
        <v>3918</v>
      </c>
      <c r="G308" s="1" t="s">
        <v>4983</v>
      </c>
    </row>
    <row r="309" spans="1:7" x14ac:dyDescent="0.45">
      <c r="A309" s="1" t="s">
        <v>4276</v>
      </c>
      <c r="B309" s="1" t="s">
        <v>4277</v>
      </c>
      <c r="C309" s="1" t="s">
        <v>237</v>
      </c>
      <c r="D309" s="1" t="s">
        <v>4799</v>
      </c>
      <c r="E309" s="1" t="s">
        <v>3917</v>
      </c>
      <c r="F309" s="1" t="s">
        <v>3918</v>
      </c>
      <c r="G309" s="1" t="s">
        <v>4983</v>
      </c>
    </row>
    <row r="310" spans="1:7" x14ac:dyDescent="0.45">
      <c r="A310" s="1" t="s">
        <v>2844</v>
      </c>
      <c r="B310" s="1" t="s">
        <v>2845</v>
      </c>
      <c r="C310" s="1" t="s">
        <v>237</v>
      </c>
      <c r="D310" s="1" t="s">
        <v>2846</v>
      </c>
      <c r="E310" s="1" t="s">
        <v>3917</v>
      </c>
      <c r="F310" s="1" t="s">
        <v>3918</v>
      </c>
      <c r="G310" s="1" t="s">
        <v>4983</v>
      </c>
    </row>
    <row r="311" spans="1:7" x14ac:dyDescent="0.45">
      <c r="A311" s="1" t="s">
        <v>4278</v>
      </c>
      <c r="B311" s="1" t="s">
        <v>4279</v>
      </c>
      <c r="C311" s="1" t="s">
        <v>237</v>
      </c>
      <c r="D311" s="1" t="s">
        <v>4800</v>
      </c>
      <c r="E311" s="1" t="s">
        <v>3917</v>
      </c>
      <c r="F311" s="1" t="s">
        <v>3918</v>
      </c>
      <c r="G311" s="1" t="s">
        <v>4983</v>
      </c>
    </row>
    <row r="312" spans="1:7" x14ac:dyDescent="0.45">
      <c r="A312" s="1" t="s">
        <v>1504</v>
      </c>
      <c r="B312" s="1" t="s">
        <v>248</v>
      </c>
      <c r="C312" s="1" t="s">
        <v>237</v>
      </c>
      <c r="D312" s="1" t="s">
        <v>2138</v>
      </c>
      <c r="E312" s="1" t="s">
        <v>3917</v>
      </c>
      <c r="F312" s="1" t="s">
        <v>3918</v>
      </c>
      <c r="G312" s="1" t="s">
        <v>4983</v>
      </c>
    </row>
    <row r="313" spans="1:7" x14ac:dyDescent="0.45">
      <c r="A313" s="1" t="s">
        <v>1218</v>
      </c>
      <c r="B313" s="1" t="s">
        <v>270</v>
      </c>
      <c r="C313" s="1" t="s">
        <v>237</v>
      </c>
      <c r="D313" s="1" t="s">
        <v>2344</v>
      </c>
      <c r="E313" s="1" t="s">
        <v>3917</v>
      </c>
      <c r="F313" s="1" t="s">
        <v>3918</v>
      </c>
      <c r="G313" s="1" t="s">
        <v>4983</v>
      </c>
    </row>
    <row r="314" spans="1:7" x14ac:dyDescent="0.45">
      <c r="A314" s="1" t="s">
        <v>1217</v>
      </c>
      <c r="B314" s="1" t="s">
        <v>1216</v>
      </c>
      <c r="C314" s="1" t="s">
        <v>237</v>
      </c>
      <c r="D314" s="1" t="s">
        <v>2345</v>
      </c>
      <c r="E314" s="1" t="s">
        <v>3917</v>
      </c>
      <c r="F314" s="1" t="s">
        <v>3918</v>
      </c>
      <c r="G314" s="1" t="s">
        <v>4983</v>
      </c>
    </row>
    <row r="315" spans="1:7" x14ac:dyDescent="0.45">
      <c r="A315" s="1" t="s">
        <v>1215</v>
      </c>
      <c r="B315" s="1" t="s">
        <v>1214</v>
      </c>
      <c r="C315" s="1" t="s">
        <v>237</v>
      </c>
      <c r="D315" s="1" t="s">
        <v>2346</v>
      </c>
      <c r="E315" s="1" t="s">
        <v>3917</v>
      </c>
      <c r="F315" s="1" t="s">
        <v>3918</v>
      </c>
      <c r="G315" s="1" t="s">
        <v>4983</v>
      </c>
    </row>
    <row r="316" spans="1:7" x14ac:dyDescent="0.45">
      <c r="A316" s="1" t="s">
        <v>6893</v>
      </c>
      <c r="B316" s="1" t="s">
        <v>6894</v>
      </c>
      <c r="C316" s="1" t="s">
        <v>237</v>
      </c>
      <c r="D316" s="1" t="s">
        <v>7961</v>
      </c>
      <c r="E316" s="1" t="s">
        <v>3917</v>
      </c>
      <c r="F316" s="1" t="s">
        <v>3918</v>
      </c>
      <c r="G316" s="1" t="s">
        <v>4983</v>
      </c>
    </row>
    <row r="317" spans="1:7" x14ac:dyDescent="0.45">
      <c r="A317" s="1" t="s">
        <v>1213</v>
      </c>
      <c r="B317" s="1" t="s">
        <v>1212</v>
      </c>
      <c r="C317" s="1" t="s">
        <v>237</v>
      </c>
      <c r="D317" s="1" t="s">
        <v>2347</v>
      </c>
      <c r="E317" s="1" t="s">
        <v>3917</v>
      </c>
      <c r="F317" s="1" t="s">
        <v>3918</v>
      </c>
      <c r="G317" s="1" t="s">
        <v>4983</v>
      </c>
    </row>
    <row r="318" spans="1:7" x14ac:dyDescent="0.45">
      <c r="A318" s="1" t="s">
        <v>644</v>
      </c>
      <c r="B318" s="1" t="s">
        <v>643</v>
      </c>
      <c r="C318" s="1" t="s">
        <v>237</v>
      </c>
      <c r="D318" s="1" t="s">
        <v>2851</v>
      </c>
      <c r="E318" s="1" t="s">
        <v>3917</v>
      </c>
      <c r="F318" s="1" t="s">
        <v>3918</v>
      </c>
      <c r="G318" s="1" t="s">
        <v>4983</v>
      </c>
    </row>
    <row r="319" spans="1:7" x14ac:dyDescent="0.45">
      <c r="A319" s="1" t="s">
        <v>1211</v>
      </c>
      <c r="B319" s="1" t="s">
        <v>1210</v>
      </c>
      <c r="C319" s="1" t="s">
        <v>237</v>
      </c>
      <c r="D319" s="1" t="s">
        <v>2348</v>
      </c>
      <c r="E319" s="1" t="s">
        <v>3917</v>
      </c>
      <c r="F319" s="1" t="s">
        <v>3918</v>
      </c>
      <c r="G319" s="1" t="s">
        <v>4983</v>
      </c>
    </row>
    <row r="320" spans="1:7" x14ac:dyDescent="0.45">
      <c r="A320" s="1" t="s">
        <v>3388</v>
      </c>
      <c r="B320" s="1" t="s">
        <v>3389</v>
      </c>
      <c r="C320" s="1" t="s">
        <v>237</v>
      </c>
      <c r="D320" s="1" t="s">
        <v>3390</v>
      </c>
      <c r="E320" s="1" t="s">
        <v>3917</v>
      </c>
      <c r="F320" s="1" t="s">
        <v>3918</v>
      </c>
      <c r="G320" s="1" t="s">
        <v>4983</v>
      </c>
    </row>
    <row r="321" spans="1:7" x14ac:dyDescent="0.45">
      <c r="A321" s="1" t="s">
        <v>6895</v>
      </c>
      <c r="B321" s="1" t="s">
        <v>6896</v>
      </c>
      <c r="C321" s="1" t="s">
        <v>237</v>
      </c>
      <c r="D321" s="1" t="s">
        <v>7962</v>
      </c>
      <c r="E321" s="1" t="s">
        <v>3917</v>
      </c>
      <c r="F321" s="1" t="s">
        <v>3918</v>
      </c>
      <c r="G321" s="1" t="s">
        <v>4983</v>
      </c>
    </row>
    <row r="322" spans="1:7" x14ac:dyDescent="0.45">
      <c r="A322" s="1" t="s">
        <v>1209</v>
      </c>
      <c r="B322" s="1" t="s">
        <v>1208</v>
      </c>
      <c r="C322" s="1" t="s">
        <v>237</v>
      </c>
      <c r="D322" s="1" t="s">
        <v>2349</v>
      </c>
      <c r="E322" s="1" t="s">
        <v>3917</v>
      </c>
      <c r="F322" s="1" t="s">
        <v>3918</v>
      </c>
      <c r="G322" s="1" t="s">
        <v>4983</v>
      </c>
    </row>
    <row r="323" spans="1:7" x14ac:dyDescent="0.45">
      <c r="A323" s="1" t="s">
        <v>1207</v>
      </c>
      <c r="B323" s="1" t="s">
        <v>1206</v>
      </c>
      <c r="C323" s="1" t="s">
        <v>237</v>
      </c>
      <c r="D323" s="1" t="s">
        <v>2350</v>
      </c>
      <c r="E323" s="1" t="s">
        <v>3917</v>
      </c>
      <c r="F323" s="1" t="s">
        <v>3918</v>
      </c>
      <c r="G323" s="1" t="s">
        <v>4983</v>
      </c>
    </row>
    <row r="324" spans="1:7" x14ac:dyDescent="0.45">
      <c r="A324" s="1" t="s">
        <v>1205</v>
      </c>
      <c r="B324" s="1" t="s">
        <v>1204</v>
      </c>
      <c r="C324" s="1" t="s">
        <v>237</v>
      </c>
      <c r="D324" s="1" t="s">
        <v>2351</v>
      </c>
      <c r="E324" s="1" t="s">
        <v>3917</v>
      </c>
      <c r="F324" s="1" t="s">
        <v>3918</v>
      </c>
      <c r="G324" s="1" t="s">
        <v>4983</v>
      </c>
    </row>
    <row r="325" spans="1:7" x14ac:dyDescent="0.45">
      <c r="A325" s="1" t="s">
        <v>1203</v>
      </c>
      <c r="B325" s="1" t="s">
        <v>1202</v>
      </c>
      <c r="C325" s="1" t="s">
        <v>237</v>
      </c>
      <c r="D325" s="1" t="s">
        <v>2352</v>
      </c>
      <c r="E325" s="1" t="s">
        <v>3917</v>
      </c>
      <c r="F325" s="1" t="s">
        <v>3918</v>
      </c>
      <c r="G325" s="1" t="s">
        <v>4983</v>
      </c>
    </row>
    <row r="326" spans="1:7" x14ac:dyDescent="0.45">
      <c r="A326" s="1" t="s">
        <v>3617</v>
      </c>
      <c r="B326" s="1" t="s">
        <v>3618</v>
      </c>
      <c r="C326" s="1" t="s">
        <v>237</v>
      </c>
      <c r="D326" s="1" t="s">
        <v>3619</v>
      </c>
      <c r="E326" s="1" t="s">
        <v>3917</v>
      </c>
      <c r="F326" s="1" t="s">
        <v>3918</v>
      </c>
      <c r="G326" s="1" t="s">
        <v>4983</v>
      </c>
    </row>
    <row r="327" spans="1:7" x14ac:dyDescent="0.45">
      <c r="A327" s="1" t="s">
        <v>1201</v>
      </c>
      <c r="B327" s="1" t="s">
        <v>1200</v>
      </c>
      <c r="C327" s="1" t="s">
        <v>237</v>
      </c>
      <c r="D327" s="1" t="s">
        <v>2353</v>
      </c>
      <c r="E327" s="1" t="s">
        <v>3917</v>
      </c>
      <c r="F327" s="1" t="s">
        <v>3918</v>
      </c>
      <c r="G327" s="1" t="s">
        <v>4983</v>
      </c>
    </row>
    <row r="328" spans="1:7" x14ac:dyDescent="0.45">
      <c r="A328" s="1" t="s">
        <v>639</v>
      </c>
      <c r="B328" s="1" t="s">
        <v>638</v>
      </c>
      <c r="C328" s="1" t="s">
        <v>237</v>
      </c>
      <c r="D328" s="1" t="s">
        <v>2354</v>
      </c>
      <c r="E328" s="1" t="s">
        <v>3917</v>
      </c>
      <c r="F328" s="1" t="s">
        <v>3918</v>
      </c>
      <c r="G328" s="1" t="s">
        <v>4983</v>
      </c>
    </row>
    <row r="329" spans="1:7" x14ac:dyDescent="0.45">
      <c r="A329" s="1" t="s">
        <v>1199</v>
      </c>
      <c r="B329" s="1" t="s">
        <v>1198</v>
      </c>
      <c r="C329" s="1" t="s">
        <v>237</v>
      </c>
      <c r="D329" s="1" t="s">
        <v>2355</v>
      </c>
      <c r="E329" s="1" t="s">
        <v>3917</v>
      </c>
      <c r="F329" s="1" t="s">
        <v>3918</v>
      </c>
      <c r="G329" s="1" t="s">
        <v>4983</v>
      </c>
    </row>
    <row r="330" spans="1:7" x14ac:dyDescent="0.45">
      <c r="A330" s="1" t="s">
        <v>7333</v>
      </c>
      <c r="B330" s="1" t="s">
        <v>7334</v>
      </c>
      <c r="C330" s="1" t="s">
        <v>237</v>
      </c>
      <c r="D330" s="1" t="s">
        <v>8160</v>
      </c>
      <c r="E330" s="1" t="s">
        <v>3917</v>
      </c>
      <c r="F330" s="1" t="s">
        <v>3918</v>
      </c>
      <c r="G330" s="1" t="s">
        <v>4983</v>
      </c>
    </row>
    <row r="331" spans="1:7" x14ac:dyDescent="0.45">
      <c r="A331" s="1" t="s">
        <v>7338</v>
      </c>
      <c r="B331" s="1" t="s">
        <v>7339</v>
      </c>
      <c r="C331" s="1" t="s">
        <v>237</v>
      </c>
      <c r="D331" s="1" t="s">
        <v>8162</v>
      </c>
      <c r="E331" s="1" t="s">
        <v>3917</v>
      </c>
      <c r="F331" s="1" t="s">
        <v>3918</v>
      </c>
      <c r="G331" s="1" t="s">
        <v>4983</v>
      </c>
    </row>
    <row r="332" spans="1:7" x14ac:dyDescent="0.45">
      <c r="A332" s="1" t="s">
        <v>1197</v>
      </c>
      <c r="B332" s="1" t="s">
        <v>1196</v>
      </c>
      <c r="C332" s="1" t="s">
        <v>237</v>
      </c>
      <c r="D332" s="1" t="s">
        <v>2356</v>
      </c>
      <c r="E332" s="1" t="s">
        <v>3917</v>
      </c>
      <c r="F332" s="1" t="s">
        <v>3918</v>
      </c>
      <c r="G332" s="1" t="s">
        <v>4983</v>
      </c>
    </row>
    <row r="333" spans="1:7" x14ac:dyDescent="0.45">
      <c r="A333" s="1" t="s">
        <v>1195</v>
      </c>
      <c r="B333" s="1" t="s">
        <v>247</v>
      </c>
      <c r="C333" s="1" t="s">
        <v>237</v>
      </c>
      <c r="D333" s="1" t="s">
        <v>2357</v>
      </c>
      <c r="E333" s="1" t="s">
        <v>3917</v>
      </c>
      <c r="F333" s="1" t="s">
        <v>3918</v>
      </c>
      <c r="G333" s="1" t="s">
        <v>4983</v>
      </c>
    </row>
    <row r="334" spans="1:7" x14ac:dyDescent="0.45">
      <c r="A334" s="1" t="s">
        <v>1556</v>
      </c>
      <c r="B334" s="1" t="s">
        <v>1194</v>
      </c>
      <c r="C334" s="1" t="s">
        <v>237</v>
      </c>
      <c r="D334" s="1" t="s">
        <v>2358</v>
      </c>
      <c r="E334" s="1" t="s">
        <v>3917</v>
      </c>
      <c r="F334" s="1" t="s">
        <v>3918</v>
      </c>
      <c r="G334" s="1" t="s">
        <v>4983</v>
      </c>
    </row>
    <row r="335" spans="1:7" x14ac:dyDescent="0.45">
      <c r="A335" s="1" t="s">
        <v>1193</v>
      </c>
      <c r="B335" s="1" t="s">
        <v>1192</v>
      </c>
      <c r="C335" s="1" t="s">
        <v>237</v>
      </c>
      <c r="D335" s="1" t="s">
        <v>2359</v>
      </c>
      <c r="E335" s="1" t="s">
        <v>3917</v>
      </c>
      <c r="F335" s="1" t="s">
        <v>3918</v>
      </c>
      <c r="G335" s="1" t="s">
        <v>4983</v>
      </c>
    </row>
    <row r="336" spans="1:7" x14ac:dyDescent="0.45">
      <c r="A336" s="1" t="s">
        <v>1191</v>
      </c>
      <c r="B336" s="1" t="s">
        <v>1190</v>
      </c>
      <c r="C336" s="1" t="s">
        <v>237</v>
      </c>
      <c r="D336" s="1" t="s">
        <v>2360</v>
      </c>
      <c r="E336" s="1" t="s">
        <v>3917</v>
      </c>
      <c r="F336" s="1" t="s">
        <v>3918</v>
      </c>
      <c r="G336" s="1" t="s">
        <v>4983</v>
      </c>
    </row>
    <row r="337" spans="1:7" x14ac:dyDescent="0.45">
      <c r="A337" s="1" t="s">
        <v>1189</v>
      </c>
      <c r="B337" s="1" t="s">
        <v>1188</v>
      </c>
      <c r="C337" s="1" t="s">
        <v>237</v>
      </c>
      <c r="D337" s="1" t="s">
        <v>2361</v>
      </c>
      <c r="E337" s="1" t="s">
        <v>3917</v>
      </c>
      <c r="F337" s="1" t="s">
        <v>3918</v>
      </c>
      <c r="G337" s="1" t="s">
        <v>4983</v>
      </c>
    </row>
    <row r="338" spans="1:7" x14ac:dyDescent="0.45">
      <c r="A338" s="1" t="s">
        <v>629</v>
      </c>
      <c r="B338" s="1" t="s">
        <v>628</v>
      </c>
      <c r="C338" s="1" t="s">
        <v>237</v>
      </c>
      <c r="D338" s="1" t="s">
        <v>2362</v>
      </c>
      <c r="E338" s="1" t="s">
        <v>3917</v>
      </c>
      <c r="F338" s="1" t="s">
        <v>3918</v>
      </c>
      <c r="G338" s="1" t="s">
        <v>4983</v>
      </c>
    </row>
    <row r="339" spans="1:7" x14ac:dyDescent="0.45">
      <c r="A339" s="1" t="s">
        <v>2872</v>
      </c>
      <c r="B339" s="1" t="s">
        <v>2873</v>
      </c>
      <c r="C339" s="1" t="s">
        <v>237</v>
      </c>
      <c r="D339" s="1" t="s">
        <v>2874</v>
      </c>
      <c r="E339" s="1" t="s">
        <v>3917</v>
      </c>
      <c r="F339" s="1" t="s">
        <v>3918</v>
      </c>
      <c r="G339" s="1" t="s">
        <v>4983</v>
      </c>
    </row>
    <row r="340" spans="1:7" x14ac:dyDescent="0.45">
      <c r="A340" s="1" t="s">
        <v>1735</v>
      </c>
      <c r="B340" s="1" t="s">
        <v>1736</v>
      </c>
      <c r="C340" s="1" t="s">
        <v>237</v>
      </c>
      <c r="D340" s="1" t="s">
        <v>2876</v>
      </c>
      <c r="E340" s="1" t="s">
        <v>3917</v>
      </c>
      <c r="F340" s="1" t="s">
        <v>3918</v>
      </c>
      <c r="G340" s="1" t="s">
        <v>4983</v>
      </c>
    </row>
    <row r="341" spans="1:7" x14ac:dyDescent="0.45">
      <c r="A341" s="1" t="s">
        <v>1187</v>
      </c>
      <c r="B341" s="1" t="s">
        <v>1186</v>
      </c>
      <c r="C341" s="1" t="s">
        <v>237</v>
      </c>
      <c r="D341" s="1" t="s">
        <v>2363</v>
      </c>
      <c r="E341" s="1" t="s">
        <v>3917</v>
      </c>
      <c r="F341" s="1" t="s">
        <v>3918</v>
      </c>
      <c r="G341" s="1" t="s">
        <v>4983</v>
      </c>
    </row>
    <row r="342" spans="1:7" x14ac:dyDescent="0.45">
      <c r="A342" s="1" t="s">
        <v>3626</v>
      </c>
      <c r="B342" s="1" t="s">
        <v>620</v>
      </c>
      <c r="C342" s="1" t="s">
        <v>237</v>
      </c>
      <c r="D342" s="1" t="s">
        <v>2363</v>
      </c>
      <c r="E342" s="1" t="s">
        <v>3917</v>
      </c>
      <c r="F342" s="1" t="s">
        <v>3918</v>
      </c>
      <c r="G342" s="1" t="s">
        <v>4983</v>
      </c>
    </row>
    <row r="343" spans="1:7" x14ac:dyDescent="0.45">
      <c r="A343" s="1" t="s">
        <v>1185</v>
      </c>
      <c r="B343" s="1" t="s">
        <v>1184</v>
      </c>
      <c r="C343" s="1" t="s">
        <v>237</v>
      </c>
      <c r="D343" s="1" t="s">
        <v>2364</v>
      </c>
      <c r="E343" s="1" t="s">
        <v>3917</v>
      </c>
      <c r="F343" s="1" t="s">
        <v>3918</v>
      </c>
      <c r="G343" s="1" t="s">
        <v>4983</v>
      </c>
    </row>
    <row r="344" spans="1:7" x14ac:dyDescent="0.45">
      <c r="A344" s="1" t="s">
        <v>3391</v>
      </c>
      <c r="B344" s="1" t="s">
        <v>3392</v>
      </c>
      <c r="C344" s="1" t="s">
        <v>237</v>
      </c>
      <c r="D344" s="1" t="s">
        <v>2364</v>
      </c>
      <c r="E344" s="1" t="s">
        <v>3917</v>
      </c>
      <c r="F344" s="1" t="s">
        <v>3918</v>
      </c>
      <c r="G344" s="1" t="s">
        <v>4983</v>
      </c>
    </row>
    <row r="345" spans="1:7" x14ac:dyDescent="0.45">
      <c r="A345" s="1" t="s">
        <v>1183</v>
      </c>
      <c r="B345" s="1" t="s">
        <v>1182</v>
      </c>
      <c r="C345" s="1" t="s">
        <v>237</v>
      </c>
      <c r="D345" s="1" t="s">
        <v>2365</v>
      </c>
      <c r="E345" s="1" t="s">
        <v>3917</v>
      </c>
      <c r="F345" s="1" t="s">
        <v>3918</v>
      </c>
      <c r="G345" s="1" t="s">
        <v>4983</v>
      </c>
    </row>
    <row r="346" spans="1:7" x14ac:dyDescent="0.45">
      <c r="A346" s="1" t="s">
        <v>621</v>
      </c>
      <c r="B346" s="1" t="s">
        <v>269</v>
      </c>
      <c r="C346" s="1" t="s">
        <v>237</v>
      </c>
      <c r="D346" s="1" t="s">
        <v>1861</v>
      </c>
      <c r="E346" s="1" t="s">
        <v>3917</v>
      </c>
      <c r="F346" s="1" t="s">
        <v>3918</v>
      </c>
      <c r="G346" s="1" t="s">
        <v>4983</v>
      </c>
    </row>
    <row r="347" spans="1:7" x14ac:dyDescent="0.45">
      <c r="A347" s="1" t="s">
        <v>1181</v>
      </c>
      <c r="B347" s="1" t="s">
        <v>1180</v>
      </c>
      <c r="C347" s="1" t="s">
        <v>237</v>
      </c>
      <c r="D347" s="1" t="s">
        <v>2366</v>
      </c>
      <c r="E347" s="1" t="s">
        <v>3917</v>
      </c>
      <c r="F347" s="1" t="s">
        <v>3918</v>
      </c>
      <c r="G347" s="1" t="s">
        <v>4983</v>
      </c>
    </row>
    <row r="348" spans="1:7" x14ac:dyDescent="0.45">
      <c r="A348" s="1" t="s">
        <v>1179</v>
      </c>
      <c r="B348" s="1" t="s">
        <v>1178</v>
      </c>
      <c r="C348" s="1" t="s">
        <v>237</v>
      </c>
      <c r="D348" s="1" t="s">
        <v>2367</v>
      </c>
      <c r="E348" s="1" t="s">
        <v>3917</v>
      </c>
      <c r="F348" s="1" t="s">
        <v>3918</v>
      </c>
      <c r="G348" s="1" t="s">
        <v>4983</v>
      </c>
    </row>
    <row r="349" spans="1:7" x14ac:dyDescent="0.45">
      <c r="A349" s="1" t="s">
        <v>4321</v>
      </c>
      <c r="B349" s="1" t="s">
        <v>4322</v>
      </c>
      <c r="C349" s="1" t="s">
        <v>237</v>
      </c>
      <c r="D349" s="1" t="s">
        <v>4819</v>
      </c>
      <c r="E349" s="1" t="s">
        <v>3917</v>
      </c>
      <c r="F349" s="1" t="s">
        <v>3918</v>
      </c>
      <c r="G349" s="1" t="s">
        <v>4983</v>
      </c>
    </row>
    <row r="350" spans="1:7" x14ac:dyDescent="0.45">
      <c r="A350" s="1" t="s">
        <v>1177</v>
      </c>
      <c r="B350" s="1" t="s">
        <v>1176</v>
      </c>
      <c r="C350" s="1" t="s">
        <v>237</v>
      </c>
      <c r="D350" s="1" t="s">
        <v>2368</v>
      </c>
      <c r="E350" s="1" t="s">
        <v>3917</v>
      </c>
      <c r="F350" s="1" t="s">
        <v>3918</v>
      </c>
      <c r="G350" s="1" t="s">
        <v>4983</v>
      </c>
    </row>
    <row r="351" spans="1:7" x14ac:dyDescent="0.45">
      <c r="A351" s="1" t="s">
        <v>4043</v>
      </c>
      <c r="B351" s="1" t="s">
        <v>4044</v>
      </c>
      <c r="C351" s="1" t="s">
        <v>237</v>
      </c>
      <c r="D351" s="1" t="s">
        <v>4689</v>
      </c>
      <c r="E351" s="1" t="s">
        <v>3917</v>
      </c>
      <c r="F351" s="1" t="s">
        <v>3918</v>
      </c>
      <c r="G351" s="1" t="s">
        <v>4983</v>
      </c>
    </row>
    <row r="352" spans="1:7" x14ac:dyDescent="0.45">
      <c r="A352" s="1" t="s">
        <v>1175</v>
      </c>
      <c r="B352" s="1" t="s">
        <v>1174</v>
      </c>
      <c r="C352" s="1" t="s">
        <v>237</v>
      </c>
      <c r="D352" s="1" t="s">
        <v>2369</v>
      </c>
      <c r="E352" s="1" t="s">
        <v>3917</v>
      </c>
      <c r="F352" s="1" t="s">
        <v>3918</v>
      </c>
      <c r="G352" s="1" t="s">
        <v>4983</v>
      </c>
    </row>
    <row r="353" spans="1:7" x14ac:dyDescent="0.45">
      <c r="A353" s="1" t="s">
        <v>3393</v>
      </c>
      <c r="B353" s="1" t="s">
        <v>3394</v>
      </c>
      <c r="C353" s="1" t="s">
        <v>237</v>
      </c>
      <c r="D353" s="1" t="s">
        <v>3395</v>
      </c>
      <c r="E353" s="1" t="s">
        <v>3917</v>
      </c>
      <c r="F353" s="1" t="s">
        <v>3918</v>
      </c>
      <c r="G353" s="1" t="s">
        <v>4983</v>
      </c>
    </row>
    <row r="354" spans="1:7" x14ac:dyDescent="0.45">
      <c r="A354" s="1" t="s">
        <v>614</v>
      </c>
      <c r="B354" s="1" t="s">
        <v>613</v>
      </c>
      <c r="C354" s="1" t="s">
        <v>237</v>
      </c>
      <c r="D354" s="1" t="s">
        <v>2370</v>
      </c>
      <c r="E354" s="1" t="s">
        <v>3917</v>
      </c>
      <c r="F354" s="1" t="s">
        <v>3918</v>
      </c>
      <c r="G354" s="1" t="s">
        <v>4983</v>
      </c>
    </row>
    <row r="355" spans="1:7" x14ac:dyDescent="0.45">
      <c r="A355" s="1" t="s">
        <v>1173</v>
      </c>
      <c r="B355" s="1" t="s">
        <v>283</v>
      </c>
      <c r="C355" s="1" t="s">
        <v>237</v>
      </c>
      <c r="D355" s="1" t="s">
        <v>2371</v>
      </c>
      <c r="E355" s="1" t="s">
        <v>3917</v>
      </c>
      <c r="F355" s="1" t="s">
        <v>3918</v>
      </c>
      <c r="G355" s="1" t="s">
        <v>4983</v>
      </c>
    </row>
    <row r="356" spans="1:7" x14ac:dyDescent="0.45">
      <c r="A356" s="1" t="s">
        <v>1740</v>
      </c>
      <c r="B356" s="1" t="s">
        <v>1741</v>
      </c>
      <c r="C356" s="1" t="s">
        <v>237</v>
      </c>
      <c r="D356" s="1" t="s">
        <v>2372</v>
      </c>
      <c r="E356" s="1" t="s">
        <v>3917</v>
      </c>
      <c r="F356" s="1" t="s">
        <v>3918</v>
      </c>
      <c r="G356" s="1" t="s">
        <v>4983</v>
      </c>
    </row>
    <row r="357" spans="1:7" x14ac:dyDescent="0.45">
      <c r="A357" s="1" t="s">
        <v>1172</v>
      </c>
      <c r="B357" s="1" t="s">
        <v>1171</v>
      </c>
      <c r="C357" s="1" t="s">
        <v>237</v>
      </c>
      <c r="D357" s="1" t="s">
        <v>2373</v>
      </c>
      <c r="E357" s="1" t="s">
        <v>3917</v>
      </c>
      <c r="F357" s="1" t="s">
        <v>3918</v>
      </c>
      <c r="G357" s="1" t="s">
        <v>4983</v>
      </c>
    </row>
    <row r="358" spans="1:7" x14ac:dyDescent="0.45">
      <c r="A358" s="1" t="s">
        <v>1170</v>
      </c>
      <c r="B358" s="1" t="s">
        <v>1169</v>
      </c>
      <c r="C358" s="1" t="s">
        <v>237</v>
      </c>
      <c r="D358" s="1" t="s">
        <v>2374</v>
      </c>
      <c r="E358" s="1" t="s">
        <v>3917</v>
      </c>
      <c r="F358" s="1" t="s">
        <v>3918</v>
      </c>
      <c r="G358" s="1" t="s">
        <v>4983</v>
      </c>
    </row>
    <row r="359" spans="1:7" x14ac:dyDescent="0.45">
      <c r="A359" s="1" t="s">
        <v>610</v>
      </c>
      <c r="B359" s="1" t="s">
        <v>609</v>
      </c>
      <c r="C359" s="1" t="s">
        <v>237</v>
      </c>
      <c r="D359" s="1" t="s">
        <v>2375</v>
      </c>
      <c r="E359" s="1" t="s">
        <v>3917</v>
      </c>
      <c r="F359" s="1" t="s">
        <v>3918</v>
      </c>
      <c r="G359" s="1" t="s">
        <v>4983</v>
      </c>
    </row>
    <row r="360" spans="1:7" x14ac:dyDescent="0.45">
      <c r="A360" s="1" t="s">
        <v>6897</v>
      </c>
      <c r="B360" s="1" t="s">
        <v>6898</v>
      </c>
      <c r="C360" s="1" t="s">
        <v>237</v>
      </c>
      <c r="D360" s="1" t="s">
        <v>7963</v>
      </c>
      <c r="E360" s="1" t="s">
        <v>3917</v>
      </c>
      <c r="F360" s="1" t="s">
        <v>3918</v>
      </c>
      <c r="G360" s="1" t="s">
        <v>4983</v>
      </c>
    </row>
    <row r="361" spans="1:7" x14ac:dyDescent="0.45">
      <c r="A361" s="1" t="s">
        <v>1168</v>
      </c>
      <c r="B361" s="1" t="s">
        <v>1167</v>
      </c>
      <c r="C361" s="1" t="s">
        <v>237</v>
      </c>
      <c r="D361" s="1" t="s">
        <v>2376</v>
      </c>
      <c r="E361" s="1" t="s">
        <v>3917</v>
      </c>
      <c r="F361" s="1" t="s">
        <v>3918</v>
      </c>
      <c r="G361" s="1" t="s">
        <v>4983</v>
      </c>
    </row>
    <row r="362" spans="1:7" x14ac:dyDescent="0.45">
      <c r="A362" s="1" t="s">
        <v>7414</v>
      </c>
      <c r="B362" s="1" t="s">
        <v>7415</v>
      </c>
      <c r="C362" s="1" t="s">
        <v>237</v>
      </c>
      <c r="D362" s="1" t="s">
        <v>8197</v>
      </c>
      <c r="E362" s="1" t="s">
        <v>3917</v>
      </c>
      <c r="F362" s="1" t="s">
        <v>3918</v>
      </c>
      <c r="G362" s="1" t="s">
        <v>4983</v>
      </c>
    </row>
    <row r="363" spans="1:7" x14ac:dyDescent="0.45">
      <c r="A363" s="1" t="s">
        <v>1164</v>
      </c>
      <c r="B363" s="1" t="s">
        <v>1163</v>
      </c>
      <c r="C363" s="1" t="s">
        <v>237</v>
      </c>
      <c r="D363" s="1" t="s">
        <v>2378</v>
      </c>
      <c r="E363" s="1" t="s">
        <v>3917</v>
      </c>
      <c r="F363" s="1" t="s">
        <v>3918</v>
      </c>
      <c r="G363" s="1" t="s">
        <v>4983</v>
      </c>
    </row>
    <row r="364" spans="1:7" x14ac:dyDescent="0.45">
      <c r="A364" s="1" t="s">
        <v>1162</v>
      </c>
      <c r="B364" s="1" t="s">
        <v>1161</v>
      </c>
      <c r="C364" s="1" t="s">
        <v>237</v>
      </c>
      <c r="D364" s="1" t="s">
        <v>2379</v>
      </c>
      <c r="E364" s="1" t="s">
        <v>3917</v>
      </c>
      <c r="F364" s="1" t="s">
        <v>3918</v>
      </c>
      <c r="G364" s="1" t="s">
        <v>4983</v>
      </c>
    </row>
    <row r="365" spans="1:7" x14ac:dyDescent="0.45">
      <c r="A365" s="1" t="s">
        <v>7418</v>
      </c>
      <c r="B365" s="1" t="s">
        <v>7419</v>
      </c>
      <c r="C365" s="1" t="s">
        <v>237</v>
      </c>
      <c r="D365" s="1" t="s">
        <v>2379</v>
      </c>
      <c r="E365" s="1" t="s">
        <v>3917</v>
      </c>
      <c r="F365" s="1" t="s">
        <v>3918</v>
      </c>
      <c r="G365" s="1" t="s">
        <v>4983</v>
      </c>
    </row>
    <row r="366" spans="1:7" x14ac:dyDescent="0.45">
      <c r="A366" s="1" t="s">
        <v>3650</v>
      </c>
      <c r="B366" s="1" t="s">
        <v>3651</v>
      </c>
      <c r="C366" s="1" t="s">
        <v>237</v>
      </c>
      <c r="D366" s="1" t="s">
        <v>3652</v>
      </c>
      <c r="E366" s="1" t="s">
        <v>3917</v>
      </c>
      <c r="F366" s="1" t="s">
        <v>3918</v>
      </c>
      <c r="G366" s="1" t="s">
        <v>4983</v>
      </c>
    </row>
    <row r="367" spans="1:7" x14ac:dyDescent="0.45">
      <c r="A367" s="1" t="s">
        <v>4045</v>
      </c>
      <c r="B367" s="1" t="s">
        <v>4046</v>
      </c>
      <c r="C367" s="1" t="s">
        <v>237</v>
      </c>
      <c r="D367" s="1" t="s">
        <v>4690</v>
      </c>
      <c r="E367" s="1" t="s">
        <v>3917</v>
      </c>
      <c r="F367" s="1" t="s">
        <v>3918</v>
      </c>
      <c r="G367" s="1" t="s">
        <v>4983</v>
      </c>
    </row>
    <row r="368" spans="1:7" x14ac:dyDescent="0.45">
      <c r="A368" s="1" t="s">
        <v>598</v>
      </c>
      <c r="B368" s="1" t="s">
        <v>597</v>
      </c>
      <c r="C368" s="1" t="s">
        <v>237</v>
      </c>
      <c r="D368" s="1" t="s">
        <v>2380</v>
      </c>
      <c r="E368" s="1" t="s">
        <v>3917</v>
      </c>
      <c r="F368" s="1" t="s">
        <v>3918</v>
      </c>
      <c r="G368" s="1" t="s">
        <v>4983</v>
      </c>
    </row>
    <row r="369" spans="1:7" x14ac:dyDescent="0.45">
      <c r="A369" s="1" t="s">
        <v>1160</v>
      </c>
      <c r="B369" s="1" t="s">
        <v>1159</v>
      </c>
      <c r="C369" s="1" t="s">
        <v>237</v>
      </c>
      <c r="D369" s="1" t="s">
        <v>2381</v>
      </c>
      <c r="E369" s="1" t="s">
        <v>3917</v>
      </c>
      <c r="F369" s="1" t="s">
        <v>3918</v>
      </c>
      <c r="G369" s="1" t="s">
        <v>4983</v>
      </c>
    </row>
    <row r="370" spans="1:7" x14ac:dyDescent="0.45">
      <c r="A370" s="1" t="s">
        <v>1158</v>
      </c>
      <c r="B370" s="1" t="s">
        <v>1157</v>
      </c>
      <c r="C370" s="1" t="s">
        <v>237</v>
      </c>
      <c r="D370" s="1" t="s">
        <v>2382</v>
      </c>
      <c r="E370" s="1" t="s">
        <v>3917</v>
      </c>
      <c r="F370" s="1" t="s">
        <v>3918</v>
      </c>
      <c r="G370" s="1" t="s">
        <v>4983</v>
      </c>
    </row>
    <row r="371" spans="1:7" x14ac:dyDescent="0.45">
      <c r="A371" s="1" t="s">
        <v>1156</v>
      </c>
      <c r="B371" s="1" t="s">
        <v>1155</v>
      </c>
      <c r="C371" s="1" t="s">
        <v>237</v>
      </c>
      <c r="D371" s="1" t="s">
        <v>2383</v>
      </c>
      <c r="E371" s="1" t="s">
        <v>3917</v>
      </c>
      <c r="F371" s="1" t="s">
        <v>3918</v>
      </c>
      <c r="G371" s="1" t="s">
        <v>4983</v>
      </c>
    </row>
    <row r="372" spans="1:7" x14ac:dyDescent="0.45">
      <c r="A372" s="1" t="s">
        <v>1154</v>
      </c>
      <c r="B372" s="1" t="s">
        <v>1153</v>
      </c>
      <c r="C372" s="1" t="s">
        <v>237</v>
      </c>
      <c r="D372" s="1" t="s">
        <v>2384</v>
      </c>
      <c r="E372" s="1" t="s">
        <v>3917</v>
      </c>
      <c r="F372" s="1" t="s">
        <v>3918</v>
      </c>
      <c r="G372" s="1" t="s">
        <v>4983</v>
      </c>
    </row>
    <row r="373" spans="1:7" x14ac:dyDescent="0.45">
      <c r="A373" s="1" t="s">
        <v>594</v>
      </c>
      <c r="B373" s="1" t="s">
        <v>593</v>
      </c>
      <c r="C373" s="1" t="s">
        <v>237</v>
      </c>
      <c r="D373" s="1" t="s">
        <v>2902</v>
      </c>
      <c r="E373" s="1" t="s">
        <v>3917</v>
      </c>
      <c r="F373" s="1" t="s">
        <v>3918</v>
      </c>
      <c r="G373" s="1" t="s">
        <v>4983</v>
      </c>
    </row>
    <row r="374" spans="1:7" x14ac:dyDescent="0.45">
      <c r="A374" s="1" t="s">
        <v>10018</v>
      </c>
      <c r="B374" s="1" t="s">
        <v>10019</v>
      </c>
      <c r="C374" s="1" t="s">
        <v>237</v>
      </c>
      <c r="D374" s="1" t="s">
        <v>11284</v>
      </c>
      <c r="E374" s="1" t="s">
        <v>3917</v>
      </c>
      <c r="F374" s="1" t="s">
        <v>3918</v>
      </c>
      <c r="G374" s="1" t="s">
        <v>4983</v>
      </c>
    </row>
    <row r="375" spans="1:7" x14ac:dyDescent="0.45">
      <c r="A375" s="1" t="s">
        <v>1152</v>
      </c>
      <c r="B375" s="1" t="s">
        <v>1151</v>
      </c>
      <c r="C375" s="1" t="s">
        <v>237</v>
      </c>
      <c r="D375" s="1" t="s">
        <v>2385</v>
      </c>
      <c r="E375" s="1" t="s">
        <v>3917</v>
      </c>
      <c r="F375" s="1" t="s">
        <v>3918</v>
      </c>
      <c r="G375" s="1" t="s">
        <v>4983</v>
      </c>
    </row>
    <row r="376" spans="1:7" x14ac:dyDescent="0.45">
      <c r="A376" s="1" t="s">
        <v>1150</v>
      </c>
      <c r="B376" s="1" t="s">
        <v>1149</v>
      </c>
      <c r="C376" s="1" t="s">
        <v>237</v>
      </c>
      <c r="D376" s="1" t="s">
        <v>2386</v>
      </c>
      <c r="E376" s="1" t="s">
        <v>3917</v>
      </c>
      <c r="F376" s="1" t="s">
        <v>3918</v>
      </c>
      <c r="G376" s="1" t="s">
        <v>4983</v>
      </c>
    </row>
    <row r="377" spans="1:7" x14ac:dyDescent="0.45">
      <c r="A377" s="1" t="s">
        <v>1148</v>
      </c>
      <c r="B377" s="1" t="s">
        <v>1147</v>
      </c>
      <c r="C377" s="1" t="s">
        <v>237</v>
      </c>
      <c r="D377" s="1" t="s">
        <v>2387</v>
      </c>
      <c r="E377" s="1" t="s">
        <v>3917</v>
      </c>
      <c r="F377" s="1" t="s">
        <v>3918</v>
      </c>
      <c r="G377" s="1" t="s">
        <v>4983</v>
      </c>
    </row>
    <row r="378" spans="1:7" x14ac:dyDescent="0.45">
      <c r="A378" s="1" t="s">
        <v>1146</v>
      </c>
      <c r="B378" s="1" t="s">
        <v>1145</v>
      </c>
      <c r="C378" s="1" t="s">
        <v>237</v>
      </c>
      <c r="D378" s="1" t="s">
        <v>2388</v>
      </c>
      <c r="E378" s="1" t="s">
        <v>3917</v>
      </c>
      <c r="F378" s="1" t="s">
        <v>3918</v>
      </c>
      <c r="G378" s="1" t="s">
        <v>4983</v>
      </c>
    </row>
    <row r="379" spans="1:7" x14ac:dyDescent="0.45">
      <c r="A379" s="1" t="s">
        <v>7452</v>
      </c>
      <c r="B379" s="1" t="s">
        <v>7453</v>
      </c>
      <c r="C379" s="1" t="s">
        <v>237</v>
      </c>
      <c r="D379" s="1" t="s">
        <v>8215</v>
      </c>
      <c r="E379" s="1" t="s">
        <v>3917</v>
      </c>
      <c r="F379" s="1" t="s">
        <v>3918</v>
      </c>
      <c r="G379" s="1" t="s">
        <v>4983</v>
      </c>
    </row>
    <row r="380" spans="1:7" x14ac:dyDescent="0.45">
      <c r="A380" s="1" t="s">
        <v>579</v>
      </c>
      <c r="B380" s="1" t="s">
        <v>578</v>
      </c>
      <c r="C380" s="1" t="s">
        <v>237</v>
      </c>
      <c r="D380" s="1" t="s">
        <v>2389</v>
      </c>
      <c r="E380" s="1" t="s">
        <v>3917</v>
      </c>
      <c r="F380" s="1" t="s">
        <v>3918</v>
      </c>
      <c r="G380" s="1" t="s">
        <v>4983</v>
      </c>
    </row>
    <row r="381" spans="1:7" x14ac:dyDescent="0.45">
      <c r="A381" s="1" t="s">
        <v>4047</v>
      </c>
      <c r="B381" s="1" t="s">
        <v>4048</v>
      </c>
      <c r="C381" s="1" t="s">
        <v>237</v>
      </c>
      <c r="D381" s="1" t="s">
        <v>4691</v>
      </c>
      <c r="E381" s="1" t="s">
        <v>3917</v>
      </c>
      <c r="F381" s="1" t="s">
        <v>3918</v>
      </c>
      <c r="G381" s="1" t="s">
        <v>4983</v>
      </c>
    </row>
    <row r="382" spans="1:7" x14ac:dyDescent="0.45">
      <c r="A382" s="1" t="s">
        <v>4049</v>
      </c>
      <c r="B382" s="1" t="s">
        <v>4050</v>
      </c>
      <c r="C382" s="1" t="s">
        <v>237</v>
      </c>
      <c r="D382" s="1" t="s">
        <v>4692</v>
      </c>
      <c r="E382" s="1" t="s">
        <v>3917</v>
      </c>
      <c r="F382" s="1" t="s">
        <v>3918</v>
      </c>
      <c r="G382" s="1" t="s">
        <v>4983</v>
      </c>
    </row>
    <row r="383" spans="1:7" x14ac:dyDescent="0.45">
      <c r="A383" s="1" t="s">
        <v>575</v>
      </c>
      <c r="B383" s="1" t="s">
        <v>574</v>
      </c>
      <c r="C383" s="1" t="s">
        <v>237</v>
      </c>
      <c r="D383" s="1" t="s">
        <v>2390</v>
      </c>
      <c r="E383" s="1" t="s">
        <v>3917</v>
      </c>
      <c r="F383" s="1" t="s">
        <v>3918</v>
      </c>
      <c r="G383" s="1" t="s">
        <v>4983</v>
      </c>
    </row>
    <row r="384" spans="1:7" x14ac:dyDescent="0.45">
      <c r="A384" s="1" t="s">
        <v>573</v>
      </c>
      <c r="B384" s="1" t="s">
        <v>572</v>
      </c>
      <c r="C384" s="1" t="s">
        <v>237</v>
      </c>
      <c r="D384" s="1" t="s">
        <v>2391</v>
      </c>
      <c r="E384" s="1" t="s">
        <v>3917</v>
      </c>
      <c r="F384" s="1" t="s">
        <v>3918</v>
      </c>
      <c r="G384" s="1" t="s">
        <v>4983</v>
      </c>
    </row>
    <row r="385" spans="1:7" x14ac:dyDescent="0.45">
      <c r="A385" s="1" t="s">
        <v>1144</v>
      </c>
      <c r="B385" s="1" t="s">
        <v>267</v>
      </c>
      <c r="C385" s="1" t="s">
        <v>237</v>
      </c>
      <c r="D385" s="1" t="s">
        <v>2392</v>
      </c>
      <c r="E385" s="1" t="s">
        <v>3917</v>
      </c>
      <c r="F385" s="1" t="s">
        <v>3918</v>
      </c>
      <c r="G385" s="1" t="s">
        <v>4983</v>
      </c>
    </row>
    <row r="386" spans="1:7" x14ac:dyDescent="0.45">
      <c r="A386" s="1" t="s">
        <v>567</v>
      </c>
      <c r="B386" s="1" t="s">
        <v>566</v>
      </c>
      <c r="C386" s="1" t="s">
        <v>237</v>
      </c>
      <c r="D386" s="1" t="s">
        <v>2393</v>
      </c>
      <c r="E386" s="1" t="s">
        <v>3917</v>
      </c>
      <c r="F386" s="1" t="s">
        <v>3918</v>
      </c>
      <c r="G386" s="1" t="s">
        <v>4983</v>
      </c>
    </row>
    <row r="387" spans="1:7" x14ac:dyDescent="0.45">
      <c r="A387" s="1" t="s">
        <v>1143</v>
      </c>
      <c r="B387" s="1" t="s">
        <v>1142</v>
      </c>
      <c r="C387" s="1" t="s">
        <v>237</v>
      </c>
      <c r="D387" s="1" t="s">
        <v>2394</v>
      </c>
      <c r="E387" s="1" t="s">
        <v>3917</v>
      </c>
      <c r="F387" s="1" t="s">
        <v>3918</v>
      </c>
      <c r="G387" s="1" t="s">
        <v>4983</v>
      </c>
    </row>
    <row r="388" spans="1:7" x14ac:dyDescent="0.45">
      <c r="A388" s="1" t="s">
        <v>3396</v>
      </c>
      <c r="B388" s="1" t="s">
        <v>3397</v>
      </c>
      <c r="C388" s="1" t="s">
        <v>237</v>
      </c>
      <c r="D388" s="1" t="s">
        <v>3398</v>
      </c>
      <c r="E388" s="1" t="s">
        <v>3917</v>
      </c>
      <c r="F388" s="1" t="s">
        <v>3918</v>
      </c>
      <c r="G388" s="1" t="s">
        <v>4983</v>
      </c>
    </row>
    <row r="389" spans="1:7" x14ac:dyDescent="0.45">
      <c r="A389" s="1" t="s">
        <v>563</v>
      </c>
      <c r="B389" s="1" t="s">
        <v>562</v>
      </c>
      <c r="C389" s="1" t="s">
        <v>237</v>
      </c>
      <c r="D389" s="1" t="s">
        <v>2395</v>
      </c>
      <c r="E389" s="1" t="s">
        <v>3917</v>
      </c>
      <c r="F389" s="1" t="s">
        <v>3918</v>
      </c>
      <c r="G389" s="1" t="s">
        <v>4983</v>
      </c>
    </row>
    <row r="390" spans="1:7" x14ac:dyDescent="0.45">
      <c r="A390" s="1" t="s">
        <v>2923</v>
      </c>
      <c r="B390" s="1" t="s">
        <v>2924</v>
      </c>
      <c r="C390" s="1" t="s">
        <v>237</v>
      </c>
      <c r="D390" s="1" t="s">
        <v>2925</v>
      </c>
      <c r="E390" s="1" t="s">
        <v>3919</v>
      </c>
      <c r="F390" s="1" t="s">
        <v>3918</v>
      </c>
      <c r="G390" s="1" t="s">
        <v>4983</v>
      </c>
    </row>
    <row r="391" spans="1:7" x14ac:dyDescent="0.45">
      <c r="A391" s="1" t="s">
        <v>1139</v>
      </c>
      <c r="B391" s="1" t="s">
        <v>1138</v>
      </c>
      <c r="C391" s="1" t="s">
        <v>237</v>
      </c>
      <c r="D391" s="1" t="s">
        <v>2396</v>
      </c>
      <c r="E391" s="1" t="s">
        <v>3917</v>
      </c>
      <c r="F391" s="1" t="s">
        <v>3918</v>
      </c>
      <c r="G391" s="1" t="s">
        <v>4983</v>
      </c>
    </row>
    <row r="392" spans="1:7" x14ac:dyDescent="0.45">
      <c r="A392" s="1" t="s">
        <v>7458</v>
      </c>
      <c r="B392" s="1" t="s">
        <v>7459</v>
      </c>
      <c r="C392" s="1" t="s">
        <v>237</v>
      </c>
      <c r="D392" s="1" t="s">
        <v>8218</v>
      </c>
      <c r="E392" s="1" t="s">
        <v>3917</v>
      </c>
      <c r="F392" s="1" t="s">
        <v>3918</v>
      </c>
      <c r="G392" s="1" t="s">
        <v>4983</v>
      </c>
    </row>
    <row r="393" spans="1:7" x14ac:dyDescent="0.45">
      <c r="A393" s="1" t="s">
        <v>557</v>
      </c>
      <c r="B393" s="1" t="s">
        <v>556</v>
      </c>
      <c r="C393" s="1" t="s">
        <v>237</v>
      </c>
      <c r="D393" s="1" t="s">
        <v>2932</v>
      </c>
      <c r="E393" s="1" t="s">
        <v>3917</v>
      </c>
      <c r="F393" s="1" t="s">
        <v>3918</v>
      </c>
      <c r="G393" s="1" t="s">
        <v>4983</v>
      </c>
    </row>
    <row r="394" spans="1:7" x14ac:dyDescent="0.45">
      <c r="A394" s="1" t="s">
        <v>4356</v>
      </c>
      <c r="B394" s="1" t="s">
        <v>4357</v>
      </c>
      <c r="C394" s="1" t="s">
        <v>237</v>
      </c>
      <c r="D394" s="1" t="s">
        <v>4836</v>
      </c>
      <c r="E394" s="1" t="s">
        <v>3917</v>
      </c>
      <c r="F394" s="1" t="s">
        <v>3918</v>
      </c>
      <c r="G394" s="1" t="s">
        <v>4983</v>
      </c>
    </row>
    <row r="395" spans="1:7" x14ac:dyDescent="0.45">
      <c r="A395" s="1" t="s">
        <v>555</v>
      </c>
      <c r="B395" s="1" t="s">
        <v>554</v>
      </c>
      <c r="C395" s="1" t="s">
        <v>237</v>
      </c>
      <c r="D395" s="1" t="s">
        <v>2933</v>
      </c>
      <c r="E395" s="1" t="s">
        <v>3917</v>
      </c>
      <c r="F395" s="1" t="s">
        <v>3918</v>
      </c>
      <c r="G395" s="1" t="s">
        <v>4983</v>
      </c>
    </row>
    <row r="396" spans="1:7" x14ac:dyDescent="0.45">
      <c r="A396" s="1" t="s">
        <v>7460</v>
      </c>
      <c r="B396" s="1" t="s">
        <v>7461</v>
      </c>
      <c r="C396" s="1" t="s">
        <v>237</v>
      </c>
      <c r="D396" s="1" t="s">
        <v>8219</v>
      </c>
      <c r="E396" s="1" t="s">
        <v>3917</v>
      </c>
      <c r="F396" s="1" t="s">
        <v>3918</v>
      </c>
      <c r="G396" s="1" t="s">
        <v>4983</v>
      </c>
    </row>
    <row r="397" spans="1:7" x14ac:dyDescent="0.45">
      <c r="A397" s="1" t="s">
        <v>4051</v>
      </c>
      <c r="B397" s="1" t="s">
        <v>4052</v>
      </c>
      <c r="C397" s="1" t="s">
        <v>237</v>
      </c>
      <c r="D397" s="1" t="s">
        <v>4693</v>
      </c>
      <c r="E397" s="1" t="s">
        <v>3917</v>
      </c>
      <c r="F397" s="1" t="s">
        <v>3918</v>
      </c>
      <c r="G397" s="1" t="s">
        <v>4983</v>
      </c>
    </row>
    <row r="398" spans="1:7" x14ac:dyDescent="0.45">
      <c r="A398" s="1" t="s">
        <v>3682</v>
      </c>
      <c r="B398" s="1" t="s">
        <v>3683</v>
      </c>
      <c r="C398" s="1" t="s">
        <v>237</v>
      </c>
      <c r="D398" s="1" t="s">
        <v>3684</v>
      </c>
      <c r="E398" s="1" t="s">
        <v>3917</v>
      </c>
      <c r="F398" s="1" t="s">
        <v>3918</v>
      </c>
      <c r="G398" s="1" t="s">
        <v>4983</v>
      </c>
    </row>
    <row r="399" spans="1:7" x14ac:dyDescent="0.45">
      <c r="A399" s="1" t="s">
        <v>6899</v>
      </c>
      <c r="B399" s="1" t="s">
        <v>6900</v>
      </c>
      <c r="C399" s="1" t="s">
        <v>237</v>
      </c>
      <c r="D399" s="1" t="s">
        <v>2936</v>
      </c>
      <c r="E399" s="1" t="s">
        <v>3917</v>
      </c>
      <c r="F399" s="1" t="s">
        <v>3918</v>
      </c>
      <c r="G399" s="1" t="s">
        <v>4983</v>
      </c>
    </row>
    <row r="400" spans="1:7" x14ac:dyDescent="0.45">
      <c r="A400" s="1" t="s">
        <v>1137</v>
      </c>
      <c r="B400" s="1" t="s">
        <v>1136</v>
      </c>
      <c r="C400" s="1" t="s">
        <v>237</v>
      </c>
      <c r="D400" s="1" t="s">
        <v>2397</v>
      </c>
      <c r="E400" s="1" t="s">
        <v>3917</v>
      </c>
      <c r="F400" s="1" t="s">
        <v>3918</v>
      </c>
      <c r="G400" s="1" t="s">
        <v>4983</v>
      </c>
    </row>
    <row r="401" spans="1:7" x14ac:dyDescent="0.45">
      <c r="A401" s="1" t="s">
        <v>1135</v>
      </c>
      <c r="B401" s="1" t="s">
        <v>1134</v>
      </c>
      <c r="C401" s="1" t="s">
        <v>237</v>
      </c>
      <c r="D401" s="1" t="s">
        <v>2398</v>
      </c>
      <c r="E401" s="1" t="s">
        <v>3917</v>
      </c>
      <c r="F401" s="1" t="s">
        <v>3918</v>
      </c>
      <c r="G401" s="1" t="s">
        <v>4983</v>
      </c>
    </row>
    <row r="402" spans="1:7" x14ac:dyDescent="0.45">
      <c r="A402" s="1" t="s">
        <v>1133</v>
      </c>
      <c r="B402" s="1" t="s">
        <v>1132</v>
      </c>
      <c r="C402" s="1" t="s">
        <v>237</v>
      </c>
      <c r="D402" s="1" t="s">
        <v>2399</v>
      </c>
      <c r="E402" s="1" t="s">
        <v>3917</v>
      </c>
      <c r="F402" s="1" t="s">
        <v>3918</v>
      </c>
      <c r="G402" s="1" t="s">
        <v>4983</v>
      </c>
    </row>
    <row r="403" spans="1:7" x14ac:dyDescent="0.45">
      <c r="A403" s="1" t="s">
        <v>1131</v>
      </c>
      <c r="B403" s="1" t="s">
        <v>1130</v>
      </c>
      <c r="C403" s="1" t="s">
        <v>237</v>
      </c>
      <c r="D403" s="1" t="s">
        <v>2400</v>
      </c>
      <c r="E403" s="1" t="s">
        <v>3917</v>
      </c>
      <c r="F403" s="1" t="s">
        <v>3918</v>
      </c>
      <c r="G403" s="1" t="s">
        <v>4983</v>
      </c>
    </row>
    <row r="404" spans="1:7" x14ac:dyDescent="0.45">
      <c r="A404" s="1" t="s">
        <v>1129</v>
      </c>
      <c r="B404" s="1" t="s">
        <v>1128</v>
      </c>
      <c r="C404" s="1" t="s">
        <v>237</v>
      </c>
      <c r="D404" s="1" t="s">
        <v>2401</v>
      </c>
      <c r="E404" s="1" t="s">
        <v>3917</v>
      </c>
      <c r="F404" s="1" t="s">
        <v>3918</v>
      </c>
      <c r="G404" s="1" t="s">
        <v>4983</v>
      </c>
    </row>
    <row r="405" spans="1:7" x14ac:dyDescent="0.45">
      <c r="A405" s="1" t="s">
        <v>1127</v>
      </c>
      <c r="B405" s="1" t="s">
        <v>1126</v>
      </c>
      <c r="C405" s="1" t="s">
        <v>237</v>
      </c>
      <c r="D405" s="1" t="s">
        <v>2402</v>
      </c>
      <c r="E405" s="1" t="s">
        <v>3917</v>
      </c>
      <c r="F405" s="1" t="s">
        <v>3918</v>
      </c>
      <c r="G405" s="1" t="s">
        <v>4983</v>
      </c>
    </row>
    <row r="406" spans="1:7" x14ac:dyDescent="0.45">
      <c r="A406" s="1" t="s">
        <v>7482</v>
      </c>
      <c r="B406" s="1" t="s">
        <v>7483</v>
      </c>
      <c r="C406" s="1" t="s">
        <v>237</v>
      </c>
      <c r="D406" s="1" t="s">
        <v>8227</v>
      </c>
      <c r="E406" s="1" t="s">
        <v>3917</v>
      </c>
      <c r="F406" s="1" t="s">
        <v>3918</v>
      </c>
      <c r="G406" s="1" t="s">
        <v>4983</v>
      </c>
    </row>
    <row r="407" spans="1:7" x14ac:dyDescent="0.45">
      <c r="A407" s="1" t="s">
        <v>1125</v>
      </c>
      <c r="B407" s="1" t="s">
        <v>1124</v>
      </c>
      <c r="C407" s="1" t="s">
        <v>237</v>
      </c>
      <c r="D407" s="1" t="s">
        <v>2403</v>
      </c>
      <c r="E407" s="1" t="s">
        <v>3919</v>
      </c>
      <c r="F407" s="1" t="s">
        <v>3918</v>
      </c>
      <c r="G407" s="1" t="s">
        <v>4983</v>
      </c>
    </row>
    <row r="408" spans="1:7" x14ac:dyDescent="0.45">
      <c r="A408" s="1" t="s">
        <v>1123</v>
      </c>
      <c r="B408" s="1" t="s">
        <v>1122</v>
      </c>
      <c r="C408" s="1" t="s">
        <v>237</v>
      </c>
      <c r="D408" s="1" t="s">
        <v>2404</v>
      </c>
      <c r="E408" s="1" t="s">
        <v>3917</v>
      </c>
      <c r="F408" s="1" t="s">
        <v>3918</v>
      </c>
      <c r="G408" s="1" t="s">
        <v>4983</v>
      </c>
    </row>
    <row r="409" spans="1:7" x14ac:dyDescent="0.45">
      <c r="A409" s="1" t="s">
        <v>541</v>
      </c>
      <c r="B409" s="1" t="s">
        <v>265</v>
      </c>
      <c r="C409" s="1" t="s">
        <v>237</v>
      </c>
      <c r="D409" s="1" t="s">
        <v>2405</v>
      </c>
      <c r="E409" s="1" t="s">
        <v>3917</v>
      </c>
      <c r="F409" s="1" t="s">
        <v>3918</v>
      </c>
      <c r="G409" s="1" t="s">
        <v>4983</v>
      </c>
    </row>
    <row r="410" spans="1:7" x14ac:dyDescent="0.45">
      <c r="A410" s="1" t="s">
        <v>1121</v>
      </c>
      <c r="B410" s="1" t="s">
        <v>1120</v>
      </c>
      <c r="C410" s="1" t="s">
        <v>237</v>
      </c>
      <c r="D410" s="1" t="s">
        <v>2406</v>
      </c>
      <c r="E410" s="1" t="s">
        <v>3917</v>
      </c>
      <c r="F410" s="1" t="s">
        <v>3918</v>
      </c>
      <c r="G410" s="1" t="s">
        <v>4983</v>
      </c>
    </row>
    <row r="411" spans="1:7" x14ac:dyDescent="0.45">
      <c r="A411" s="1" t="s">
        <v>1119</v>
      </c>
      <c r="B411" s="1" t="s">
        <v>1118</v>
      </c>
      <c r="C411" s="1" t="s">
        <v>237</v>
      </c>
      <c r="D411" s="1" t="s">
        <v>2407</v>
      </c>
      <c r="E411" s="1" t="s">
        <v>3917</v>
      </c>
      <c r="F411" s="1" t="s">
        <v>3918</v>
      </c>
      <c r="G411" s="1" t="s">
        <v>4983</v>
      </c>
    </row>
    <row r="412" spans="1:7" x14ac:dyDescent="0.45">
      <c r="A412" s="1" t="s">
        <v>1117</v>
      </c>
      <c r="B412" s="1" t="s">
        <v>1116</v>
      </c>
      <c r="C412" s="1" t="s">
        <v>237</v>
      </c>
      <c r="D412" s="1" t="s">
        <v>2408</v>
      </c>
      <c r="E412" s="1" t="s">
        <v>3917</v>
      </c>
      <c r="F412" s="1" t="s">
        <v>3918</v>
      </c>
      <c r="G412" s="1" t="s">
        <v>4983</v>
      </c>
    </row>
    <row r="413" spans="1:7" x14ac:dyDescent="0.45">
      <c r="A413" s="1" t="s">
        <v>1115</v>
      </c>
      <c r="B413" s="1" t="s">
        <v>1114</v>
      </c>
      <c r="C413" s="1" t="s">
        <v>237</v>
      </c>
      <c r="D413" s="1" t="s">
        <v>2409</v>
      </c>
      <c r="E413" s="1" t="s">
        <v>3917</v>
      </c>
      <c r="F413" s="1" t="s">
        <v>3918</v>
      </c>
      <c r="G413" s="1" t="s">
        <v>4983</v>
      </c>
    </row>
    <row r="414" spans="1:7" x14ac:dyDescent="0.45">
      <c r="A414" s="1" t="s">
        <v>4379</v>
      </c>
      <c r="B414" s="1" t="s">
        <v>4380</v>
      </c>
      <c r="C414" s="1" t="s">
        <v>237</v>
      </c>
      <c r="D414" s="1" t="s">
        <v>4848</v>
      </c>
      <c r="E414" s="1" t="s">
        <v>3917</v>
      </c>
      <c r="F414" s="1" t="s">
        <v>3918</v>
      </c>
      <c r="G414" s="1" t="s">
        <v>4983</v>
      </c>
    </row>
    <row r="415" spans="1:7" x14ac:dyDescent="0.45">
      <c r="A415" s="1" t="s">
        <v>1588</v>
      </c>
      <c r="B415" s="1" t="s">
        <v>1589</v>
      </c>
      <c r="C415" s="1" t="s">
        <v>237</v>
      </c>
      <c r="D415" s="1" t="s">
        <v>2410</v>
      </c>
      <c r="E415" s="1" t="s">
        <v>3917</v>
      </c>
      <c r="F415" s="1" t="s">
        <v>3918</v>
      </c>
      <c r="G415" s="1" t="s">
        <v>4983</v>
      </c>
    </row>
    <row r="416" spans="1:7" x14ac:dyDescent="0.45">
      <c r="A416" s="1" t="s">
        <v>1113</v>
      </c>
      <c r="B416" s="1" t="s">
        <v>1112</v>
      </c>
      <c r="C416" s="1" t="s">
        <v>237</v>
      </c>
      <c r="D416" s="1" t="s">
        <v>2411</v>
      </c>
      <c r="E416" s="1" t="s">
        <v>3917</v>
      </c>
      <c r="F416" s="1" t="s">
        <v>3918</v>
      </c>
      <c r="G416" s="1" t="s">
        <v>4983</v>
      </c>
    </row>
    <row r="417" spans="1:7" x14ac:dyDescent="0.45">
      <c r="A417" s="1" t="s">
        <v>536</v>
      </c>
      <c r="B417" s="1" t="s">
        <v>535</v>
      </c>
      <c r="C417" s="1" t="s">
        <v>237</v>
      </c>
      <c r="D417" s="1" t="s">
        <v>2412</v>
      </c>
      <c r="E417" s="1" t="s">
        <v>3917</v>
      </c>
      <c r="F417" s="1" t="s">
        <v>3918</v>
      </c>
      <c r="G417" s="1" t="s">
        <v>4983</v>
      </c>
    </row>
    <row r="418" spans="1:7" x14ac:dyDescent="0.45">
      <c r="A418" s="1" t="s">
        <v>534</v>
      </c>
      <c r="B418" s="1" t="s">
        <v>533</v>
      </c>
      <c r="C418" s="1" t="s">
        <v>237</v>
      </c>
      <c r="D418" s="1" t="s">
        <v>2413</v>
      </c>
      <c r="E418" s="1" t="s">
        <v>3919</v>
      </c>
      <c r="F418" s="1" t="s">
        <v>3918</v>
      </c>
      <c r="G418" s="1" t="s">
        <v>4983</v>
      </c>
    </row>
    <row r="419" spans="1:7" x14ac:dyDescent="0.45">
      <c r="A419" s="1" t="s">
        <v>7510</v>
      </c>
      <c r="B419" s="1" t="s">
        <v>7511</v>
      </c>
      <c r="C419" s="1" t="s">
        <v>237</v>
      </c>
      <c r="D419" s="1" t="s">
        <v>8239</v>
      </c>
      <c r="E419" s="1" t="s">
        <v>3917</v>
      </c>
      <c r="F419" s="1" t="s">
        <v>3918</v>
      </c>
      <c r="G419" s="1" t="s">
        <v>4983</v>
      </c>
    </row>
    <row r="420" spans="1:7" x14ac:dyDescent="0.45">
      <c r="A420" s="1" t="s">
        <v>1111</v>
      </c>
      <c r="B420" s="1" t="s">
        <v>264</v>
      </c>
      <c r="C420" s="1" t="s">
        <v>237</v>
      </c>
      <c r="D420" s="1" t="s">
        <v>2414</v>
      </c>
      <c r="E420" s="1" t="s">
        <v>3917</v>
      </c>
      <c r="F420" s="1" t="s">
        <v>3918</v>
      </c>
      <c r="G420" s="1" t="s">
        <v>4983</v>
      </c>
    </row>
    <row r="421" spans="1:7" x14ac:dyDescent="0.45">
      <c r="A421" s="1" t="s">
        <v>1110</v>
      </c>
      <c r="B421" s="1" t="s">
        <v>263</v>
      </c>
      <c r="C421" s="1" t="s">
        <v>237</v>
      </c>
      <c r="D421" s="1" t="s">
        <v>2415</v>
      </c>
      <c r="E421" s="1" t="s">
        <v>3917</v>
      </c>
      <c r="F421" s="1" t="s">
        <v>3918</v>
      </c>
      <c r="G421" s="1" t="s">
        <v>4983</v>
      </c>
    </row>
    <row r="422" spans="1:7" x14ac:dyDescent="0.45">
      <c r="A422" s="1" t="s">
        <v>4381</v>
      </c>
      <c r="B422" s="1" t="s">
        <v>4382</v>
      </c>
      <c r="C422" s="1" t="s">
        <v>237</v>
      </c>
      <c r="D422" s="1" t="s">
        <v>4849</v>
      </c>
      <c r="E422" s="1" t="s">
        <v>3917</v>
      </c>
      <c r="F422" s="1" t="s">
        <v>3918</v>
      </c>
      <c r="G422" s="1" t="s">
        <v>4983</v>
      </c>
    </row>
    <row r="423" spans="1:7" x14ac:dyDescent="0.45">
      <c r="A423" s="1" t="s">
        <v>4388</v>
      </c>
      <c r="B423" s="1" t="s">
        <v>4389</v>
      </c>
      <c r="C423" s="1" t="s">
        <v>237</v>
      </c>
      <c r="D423" s="1" t="s">
        <v>4852</v>
      </c>
      <c r="E423" s="1" t="s">
        <v>3917</v>
      </c>
      <c r="F423" s="1" t="s">
        <v>3918</v>
      </c>
      <c r="G423" s="1" t="s">
        <v>4983</v>
      </c>
    </row>
    <row r="424" spans="1:7" x14ac:dyDescent="0.45">
      <c r="A424" s="1" t="s">
        <v>1109</v>
      </c>
      <c r="B424" s="1" t="s">
        <v>1108</v>
      </c>
      <c r="C424" s="1" t="s">
        <v>237</v>
      </c>
      <c r="D424" s="1" t="s">
        <v>2416</v>
      </c>
      <c r="E424" s="1" t="s">
        <v>3917</v>
      </c>
      <c r="F424" s="1" t="s">
        <v>3918</v>
      </c>
      <c r="G424" s="1" t="s">
        <v>4983</v>
      </c>
    </row>
    <row r="425" spans="1:7" x14ac:dyDescent="0.45">
      <c r="A425" s="1" t="s">
        <v>1107</v>
      </c>
      <c r="B425" s="1" t="s">
        <v>1106</v>
      </c>
      <c r="C425" s="1" t="s">
        <v>237</v>
      </c>
      <c r="D425" s="1" t="s">
        <v>2417</v>
      </c>
      <c r="E425" s="1" t="s">
        <v>3917</v>
      </c>
      <c r="F425" s="1" t="s">
        <v>3918</v>
      </c>
      <c r="G425" s="1" t="s">
        <v>4983</v>
      </c>
    </row>
    <row r="426" spans="1:7" x14ac:dyDescent="0.45">
      <c r="A426" s="1" t="s">
        <v>1105</v>
      </c>
      <c r="B426" s="1" t="s">
        <v>1104</v>
      </c>
      <c r="C426" s="1" t="s">
        <v>237</v>
      </c>
      <c r="D426" s="1" t="s">
        <v>2418</v>
      </c>
      <c r="E426" s="1" t="s">
        <v>3917</v>
      </c>
      <c r="F426" s="1" t="s">
        <v>3918</v>
      </c>
      <c r="G426" s="1" t="s">
        <v>4983</v>
      </c>
    </row>
    <row r="427" spans="1:7" x14ac:dyDescent="0.45">
      <c r="A427" s="1" t="s">
        <v>4053</v>
      </c>
      <c r="B427" s="1" t="s">
        <v>4054</v>
      </c>
      <c r="C427" s="1" t="s">
        <v>237</v>
      </c>
      <c r="D427" s="1" t="s">
        <v>4695</v>
      </c>
      <c r="E427" s="1" t="s">
        <v>3917</v>
      </c>
      <c r="F427" s="1" t="s">
        <v>3918</v>
      </c>
      <c r="G427" s="1" t="s">
        <v>4983</v>
      </c>
    </row>
    <row r="428" spans="1:7" x14ac:dyDescent="0.45">
      <c r="A428" s="1" t="s">
        <v>10020</v>
      </c>
      <c r="B428" s="1" t="s">
        <v>10021</v>
      </c>
      <c r="C428" s="1" t="s">
        <v>237</v>
      </c>
      <c r="D428" s="1" t="s">
        <v>11285</v>
      </c>
      <c r="E428" s="1" t="s">
        <v>3917</v>
      </c>
      <c r="F428" s="1" t="s">
        <v>3918</v>
      </c>
      <c r="G428" s="1" t="s">
        <v>4983</v>
      </c>
    </row>
    <row r="429" spans="1:7" x14ac:dyDescent="0.45">
      <c r="A429" s="1" t="s">
        <v>2419</v>
      </c>
      <c r="B429" s="1" t="s">
        <v>2420</v>
      </c>
      <c r="C429" s="1" t="s">
        <v>237</v>
      </c>
      <c r="D429" s="1" t="s">
        <v>2421</v>
      </c>
      <c r="E429" s="1" t="s">
        <v>3917</v>
      </c>
      <c r="F429" s="1" t="s">
        <v>3918</v>
      </c>
      <c r="G429" s="1" t="s">
        <v>4983</v>
      </c>
    </row>
    <row r="430" spans="1:7" x14ac:dyDescent="0.45">
      <c r="A430" s="1" t="s">
        <v>10022</v>
      </c>
      <c r="B430" s="1" t="s">
        <v>10023</v>
      </c>
      <c r="C430" s="1" t="s">
        <v>237</v>
      </c>
      <c r="D430" s="1" t="s">
        <v>11286</v>
      </c>
      <c r="E430" s="1" t="s">
        <v>3917</v>
      </c>
      <c r="F430" s="1" t="s">
        <v>3918</v>
      </c>
      <c r="G430" s="1" t="s">
        <v>4983</v>
      </c>
    </row>
    <row r="431" spans="1:7" x14ac:dyDescent="0.45">
      <c r="A431" s="1" t="s">
        <v>1103</v>
      </c>
      <c r="B431" s="1" t="s">
        <v>244</v>
      </c>
      <c r="C431" s="1" t="s">
        <v>237</v>
      </c>
      <c r="D431" s="1" t="s">
        <v>2422</v>
      </c>
      <c r="E431" s="1" t="s">
        <v>3917</v>
      </c>
      <c r="F431" s="1" t="s">
        <v>3918</v>
      </c>
      <c r="G431" s="1" t="s">
        <v>4983</v>
      </c>
    </row>
    <row r="432" spans="1:7" x14ac:dyDescent="0.45">
      <c r="A432" s="1" t="s">
        <v>7548</v>
      </c>
      <c r="B432" s="1" t="s">
        <v>7549</v>
      </c>
      <c r="C432" s="1" t="s">
        <v>237</v>
      </c>
      <c r="D432" s="1" t="s">
        <v>8257</v>
      </c>
      <c r="E432" s="1" t="s">
        <v>3917</v>
      </c>
      <c r="F432" s="1" t="s">
        <v>3918</v>
      </c>
      <c r="G432" s="1" t="s">
        <v>4983</v>
      </c>
    </row>
    <row r="433" spans="1:7" x14ac:dyDescent="0.45">
      <c r="A433" s="1" t="s">
        <v>1757</v>
      </c>
      <c r="B433" s="1" t="s">
        <v>1758</v>
      </c>
      <c r="C433" s="1" t="s">
        <v>237</v>
      </c>
      <c r="D433" s="1" t="s">
        <v>2964</v>
      </c>
      <c r="E433" s="1" t="s">
        <v>3919</v>
      </c>
      <c r="F433" s="1" t="s">
        <v>3918</v>
      </c>
      <c r="G433" s="1" t="s">
        <v>4983</v>
      </c>
    </row>
    <row r="434" spans="1:7" x14ac:dyDescent="0.45">
      <c r="A434" s="1" t="s">
        <v>1102</v>
      </c>
      <c r="B434" s="1" t="s">
        <v>1101</v>
      </c>
      <c r="C434" s="1" t="s">
        <v>237</v>
      </c>
      <c r="D434" s="1" t="s">
        <v>2423</v>
      </c>
      <c r="E434" s="1" t="s">
        <v>3917</v>
      </c>
      <c r="F434" s="1" t="s">
        <v>3918</v>
      </c>
      <c r="G434" s="1" t="s">
        <v>4983</v>
      </c>
    </row>
    <row r="435" spans="1:7" x14ac:dyDescent="0.45">
      <c r="A435" s="1" t="s">
        <v>1100</v>
      </c>
      <c r="B435" s="1" t="s">
        <v>1099</v>
      </c>
      <c r="C435" s="1" t="s">
        <v>237</v>
      </c>
      <c r="D435" s="1" t="s">
        <v>2424</v>
      </c>
      <c r="E435" s="1" t="s">
        <v>3917</v>
      </c>
      <c r="F435" s="1" t="s">
        <v>3918</v>
      </c>
      <c r="G435" s="1" t="s">
        <v>4983</v>
      </c>
    </row>
    <row r="436" spans="1:7" x14ac:dyDescent="0.45">
      <c r="A436" s="1" t="s">
        <v>4055</v>
      </c>
      <c r="B436" s="1" t="s">
        <v>4056</v>
      </c>
      <c r="C436" s="1" t="s">
        <v>237</v>
      </c>
      <c r="D436" s="1" t="s">
        <v>4696</v>
      </c>
      <c r="E436" s="1" t="s">
        <v>3917</v>
      </c>
      <c r="F436" s="1" t="s">
        <v>3918</v>
      </c>
      <c r="G436" s="1" t="s">
        <v>4983</v>
      </c>
    </row>
    <row r="437" spans="1:7" x14ac:dyDescent="0.45">
      <c r="A437" s="1" t="s">
        <v>2425</v>
      </c>
      <c r="B437" s="1" t="s">
        <v>282</v>
      </c>
      <c r="C437" s="1" t="s">
        <v>237</v>
      </c>
      <c r="D437" s="1" t="s">
        <v>2426</v>
      </c>
      <c r="E437" s="1" t="s">
        <v>3917</v>
      </c>
      <c r="F437" s="1" t="s">
        <v>3918</v>
      </c>
      <c r="G437" s="1" t="s">
        <v>4983</v>
      </c>
    </row>
    <row r="438" spans="1:7" x14ac:dyDescent="0.45">
      <c r="A438" s="1" t="s">
        <v>1098</v>
      </c>
      <c r="B438" s="1" t="s">
        <v>1097</v>
      </c>
      <c r="C438" s="1" t="s">
        <v>237</v>
      </c>
      <c r="D438" s="1" t="s">
        <v>2427</v>
      </c>
      <c r="E438" s="1" t="s">
        <v>3917</v>
      </c>
      <c r="F438" s="1" t="s">
        <v>3918</v>
      </c>
      <c r="G438" s="1" t="s">
        <v>4983</v>
      </c>
    </row>
    <row r="439" spans="1:7" x14ac:dyDescent="0.45">
      <c r="A439" s="1" t="s">
        <v>3693</v>
      </c>
      <c r="B439" s="1" t="s">
        <v>3694</v>
      </c>
      <c r="C439" s="1" t="s">
        <v>237</v>
      </c>
      <c r="D439" s="1" t="s">
        <v>3695</v>
      </c>
      <c r="E439" s="1" t="s">
        <v>3917</v>
      </c>
      <c r="F439" s="1" t="s">
        <v>3918</v>
      </c>
      <c r="G439" s="1" t="s">
        <v>4983</v>
      </c>
    </row>
    <row r="440" spans="1:7" x14ac:dyDescent="0.45">
      <c r="A440" s="1" t="s">
        <v>521</v>
      </c>
      <c r="B440" s="1" t="s">
        <v>520</v>
      </c>
      <c r="C440" s="1" t="s">
        <v>237</v>
      </c>
      <c r="D440" s="1" t="s">
        <v>2428</v>
      </c>
      <c r="E440" s="1" t="s">
        <v>3917</v>
      </c>
      <c r="F440" s="1" t="s">
        <v>3918</v>
      </c>
      <c r="G440" s="1" t="s">
        <v>4983</v>
      </c>
    </row>
    <row r="441" spans="1:7" x14ac:dyDescent="0.45">
      <c r="A441" s="1" t="s">
        <v>1553</v>
      </c>
      <c r="B441" s="1" t="s">
        <v>238</v>
      </c>
      <c r="C441" s="1" t="s">
        <v>237</v>
      </c>
      <c r="D441" s="1" t="s">
        <v>2429</v>
      </c>
      <c r="E441" s="1" t="s">
        <v>3917</v>
      </c>
      <c r="F441" s="1" t="s">
        <v>3918</v>
      </c>
      <c r="G441" s="1" t="s">
        <v>4983</v>
      </c>
    </row>
    <row r="442" spans="1:7" x14ac:dyDescent="0.45">
      <c r="A442" s="1" t="s">
        <v>1096</v>
      </c>
      <c r="B442" s="1" t="s">
        <v>1095</v>
      </c>
      <c r="C442" s="1" t="s">
        <v>237</v>
      </c>
      <c r="D442" s="1" t="s">
        <v>2430</v>
      </c>
      <c r="E442" s="1" t="s">
        <v>3917</v>
      </c>
      <c r="F442" s="1" t="s">
        <v>3918</v>
      </c>
      <c r="G442" s="1" t="s">
        <v>4983</v>
      </c>
    </row>
    <row r="443" spans="1:7" x14ac:dyDescent="0.45">
      <c r="A443" s="1" t="s">
        <v>1759</v>
      </c>
      <c r="B443" s="1" t="s">
        <v>1094</v>
      </c>
      <c r="C443" s="1" t="s">
        <v>237</v>
      </c>
      <c r="D443" s="1" t="s">
        <v>2431</v>
      </c>
      <c r="E443" s="1" t="s">
        <v>3917</v>
      </c>
      <c r="F443" s="1" t="s">
        <v>3918</v>
      </c>
      <c r="G443" s="1" t="s">
        <v>4983</v>
      </c>
    </row>
    <row r="444" spans="1:7" x14ac:dyDescent="0.45">
      <c r="A444" s="1" t="s">
        <v>1093</v>
      </c>
      <c r="B444" s="1" t="s">
        <v>1092</v>
      </c>
      <c r="C444" s="1" t="s">
        <v>237</v>
      </c>
      <c r="D444" s="1" t="s">
        <v>2432</v>
      </c>
      <c r="E444" s="1" t="s">
        <v>3917</v>
      </c>
      <c r="F444" s="1" t="s">
        <v>3918</v>
      </c>
      <c r="G444" s="1" t="s">
        <v>4983</v>
      </c>
    </row>
    <row r="445" spans="1:7" x14ac:dyDescent="0.45">
      <c r="A445" s="1" t="s">
        <v>1091</v>
      </c>
      <c r="B445" s="1" t="s">
        <v>1090</v>
      </c>
      <c r="C445" s="1" t="s">
        <v>237</v>
      </c>
      <c r="D445" s="1" t="s">
        <v>2433</v>
      </c>
      <c r="E445" s="1" t="s">
        <v>3917</v>
      </c>
      <c r="F445" s="1" t="s">
        <v>3918</v>
      </c>
      <c r="G445" s="1" t="s">
        <v>4983</v>
      </c>
    </row>
    <row r="446" spans="1:7" x14ac:dyDescent="0.45">
      <c r="A446" s="1" t="s">
        <v>1590</v>
      </c>
      <c r="B446" s="1" t="s">
        <v>1591</v>
      </c>
      <c r="C446" s="1" t="s">
        <v>237</v>
      </c>
      <c r="D446" s="1" t="s">
        <v>2434</v>
      </c>
      <c r="E446" s="1" t="s">
        <v>3917</v>
      </c>
      <c r="F446" s="1" t="s">
        <v>3918</v>
      </c>
      <c r="G446" s="1" t="s">
        <v>4983</v>
      </c>
    </row>
    <row r="447" spans="1:7" x14ac:dyDescent="0.45">
      <c r="A447" s="1" t="s">
        <v>1089</v>
      </c>
      <c r="B447" s="1" t="s">
        <v>1088</v>
      </c>
      <c r="C447" s="1" t="s">
        <v>237</v>
      </c>
      <c r="D447" s="1" t="s">
        <v>2435</v>
      </c>
      <c r="E447" s="1" t="s">
        <v>3917</v>
      </c>
      <c r="F447" s="1" t="s">
        <v>3918</v>
      </c>
      <c r="G447" s="1" t="s">
        <v>4983</v>
      </c>
    </row>
    <row r="448" spans="1:7" x14ac:dyDescent="0.45">
      <c r="A448" s="1" t="s">
        <v>1087</v>
      </c>
      <c r="B448" s="1" t="s">
        <v>281</v>
      </c>
      <c r="C448" s="1" t="s">
        <v>237</v>
      </c>
      <c r="D448" s="1" t="s">
        <v>2436</v>
      </c>
      <c r="E448" s="1" t="s">
        <v>3917</v>
      </c>
      <c r="F448" s="1" t="s">
        <v>3918</v>
      </c>
      <c r="G448" s="1" t="s">
        <v>4983</v>
      </c>
    </row>
    <row r="449" spans="1:7" x14ac:dyDescent="0.45">
      <c r="A449" s="1" t="s">
        <v>1762</v>
      </c>
      <c r="B449" s="1" t="s">
        <v>1763</v>
      </c>
      <c r="C449" s="1" t="s">
        <v>237</v>
      </c>
      <c r="D449" s="1" t="s">
        <v>2437</v>
      </c>
      <c r="E449" s="1" t="s">
        <v>3917</v>
      </c>
      <c r="F449" s="1" t="s">
        <v>3918</v>
      </c>
      <c r="G449" s="1" t="s">
        <v>4983</v>
      </c>
    </row>
    <row r="450" spans="1:7" x14ac:dyDescent="0.45">
      <c r="A450" s="1" t="s">
        <v>1086</v>
      </c>
      <c r="B450" s="1" t="s">
        <v>1085</v>
      </c>
      <c r="C450" s="1" t="s">
        <v>237</v>
      </c>
      <c r="D450" s="1" t="s">
        <v>2438</v>
      </c>
      <c r="E450" s="1" t="s">
        <v>3917</v>
      </c>
      <c r="F450" s="1" t="s">
        <v>3918</v>
      </c>
      <c r="G450" s="1" t="s">
        <v>4983</v>
      </c>
    </row>
    <row r="451" spans="1:7" x14ac:dyDescent="0.45">
      <c r="A451" s="1" t="s">
        <v>3699</v>
      </c>
      <c r="B451" s="1" t="s">
        <v>3700</v>
      </c>
      <c r="C451" s="1" t="s">
        <v>237</v>
      </c>
      <c r="D451" s="1" t="s">
        <v>3701</v>
      </c>
      <c r="E451" s="1" t="s">
        <v>3917</v>
      </c>
      <c r="F451" s="1" t="s">
        <v>3918</v>
      </c>
      <c r="G451" s="1" t="s">
        <v>4983</v>
      </c>
    </row>
    <row r="452" spans="1:7" x14ac:dyDescent="0.45">
      <c r="A452" s="1" t="s">
        <v>1084</v>
      </c>
      <c r="B452" s="1" t="s">
        <v>1083</v>
      </c>
      <c r="C452" s="1" t="s">
        <v>237</v>
      </c>
      <c r="D452" s="1" t="s">
        <v>2439</v>
      </c>
      <c r="E452" s="1" t="s">
        <v>3917</v>
      </c>
      <c r="F452" s="1" t="s">
        <v>3918</v>
      </c>
      <c r="G452" s="1" t="s">
        <v>4983</v>
      </c>
    </row>
    <row r="453" spans="1:7" x14ac:dyDescent="0.45">
      <c r="A453" s="1" t="s">
        <v>10024</v>
      </c>
      <c r="B453" s="1" t="s">
        <v>10025</v>
      </c>
      <c r="C453" s="1" t="s">
        <v>237</v>
      </c>
      <c r="D453" s="1" t="s">
        <v>11287</v>
      </c>
      <c r="E453" s="1" t="s">
        <v>3917</v>
      </c>
      <c r="F453" s="1" t="s">
        <v>3918</v>
      </c>
      <c r="G453" s="1" t="s">
        <v>4983</v>
      </c>
    </row>
    <row r="454" spans="1:7" x14ac:dyDescent="0.45">
      <c r="A454" s="1" t="s">
        <v>6901</v>
      </c>
      <c r="B454" s="1" t="s">
        <v>6902</v>
      </c>
      <c r="C454" s="1" t="s">
        <v>237</v>
      </c>
      <c r="D454" s="1" t="s">
        <v>7964</v>
      </c>
      <c r="E454" s="1" t="s">
        <v>3917</v>
      </c>
      <c r="F454" s="1" t="s">
        <v>3918</v>
      </c>
      <c r="G454" s="1" t="s">
        <v>4983</v>
      </c>
    </row>
    <row r="455" spans="1:7" x14ac:dyDescent="0.45">
      <c r="A455" s="1" t="s">
        <v>1082</v>
      </c>
      <c r="B455" s="1" t="s">
        <v>1081</v>
      </c>
      <c r="C455" s="1" t="s">
        <v>237</v>
      </c>
      <c r="D455" s="1" t="s">
        <v>2440</v>
      </c>
      <c r="E455" s="1" t="s">
        <v>3917</v>
      </c>
      <c r="F455" s="1" t="s">
        <v>3918</v>
      </c>
      <c r="G455" s="1" t="s">
        <v>4983</v>
      </c>
    </row>
    <row r="456" spans="1:7" x14ac:dyDescent="0.45">
      <c r="A456" s="1" t="s">
        <v>10026</v>
      </c>
      <c r="B456" s="1" t="s">
        <v>10027</v>
      </c>
      <c r="C456" s="1" t="s">
        <v>237</v>
      </c>
      <c r="D456" s="1" t="s">
        <v>11288</v>
      </c>
      <c r="E456" s="1" t="s">
        <v>3917</v>
      </c>
      <c r="F456" s="1" t="s">
        <v>3918</v>
      </c>
      <c r="G456" s="1" t="s">
        <v>4983</v>
      </c>
    </row>
    <row r="457" spans="1:7" x14ac:dyDescent="0.45">
      <c r="A457" s="1" t="s">
        <v>4057</v>
      </c>
      <c r="B457" s="1" t="s">
        <v>1768</v>
      </c>
      <c r="C457" s="1" t="s">
        <v>237</v>
      </c>
      <c r="D457" s="1" t="s">
        <v>2441</v>
      </c>
      <c r="E457" s="1" t="s">
        <v>3917</v>
      </c>
      <c r="F457" s="1" t="s">
        <v>3918</v>
      </c>
      <c r="G457" s="1" t="s">
        <v>4983</v>
      </c>
    </row>
    <row r="458" spans="1:7" x14ac:dyDescent="0.45">
      <c r="A458" s="1" t="s">
        <v>1769</v>
      </c>
      <c r="B458" s="1" t="s">
        <v>1770</v>
      </c>
      <c r="C458" s="1" t="s">
        <v>237</v>
      </c>
      <c r="D458" s="1" t="s">
        <v>2983</v>
      </c>
      <c r="E458" s="1" t="s">
        <v>3917</v>
      </c>
      <c r="F458" s="1" t="s">
        <v>3918</v>
      </c>
      <c r="G458" s="1" t="s">
        <v>4983</v>
      </c>
    </row>
    <row r="459" spans="1:7" x14ac:dyDescent="0.45">
      <c r="A459" s="1" t="s">
        <v>1080</v>
      </c>
      <c r="B459" s="1" t="s">
        <v>1079</v>
      </c>
      <c r="C459" s="1" t="s">
        <v>237</v>
      </c>
      <c r="D459" s="1" t="s">
        <v>2445</v>
      </c>
      <c r="E459" s="1" t="s">
        <v>3917</v>
      </c>
      <c r="F459" s="1" t="s">
        <v>3918</v>
      </c>
      <c r="G459" s="1" t="s">
        <v>4983</v>
      </c>
    </row>
    <row r="460" spans="1:7" x14ac:dyDescent="0.45">
      <c r="A460" s="1" t="s">
        <v>1078</v>
      </c>
      <c r="B460" s="1" t="s">
        <v>1077</v>
      </c>
      <c r="C460" s="1" t="s">
        <v>237</v>
      </c>
      <c r="D460" s="1" t="s">
        <v>2446</v>
      </c>
      <c r="E460" s="1" t="s">
        <v>3917</v>
      </c>
      <c r="F460" s="1" t="s">
        <v>3918</v>
      </c>
      <c r="G460" s="1" t="s">
        <v>4983</v>
      </c>
    </row>
    <row r="461" spans="1:7" x14ac:dyDescent="0.45">
      <c r="A461" s="1" t="s">
        <v>4418</v>
      </c>
      <c r="B461" s="1" t="s">
        <v>4419</v>
      </c>
      <c r="C461" s="1" t="s">
        <v>237</v>
      </c>
      <c r="D461" s="1" t="s">
        <v>4866</v>
      </c>
      <c r="E461" s="1" t="s">
        <v>3919</v>
      </c>
      <c r="F461" s="1" t="s">
        <v>3918</v>
      </c>
      <c r="G461" s="1" t="s">
        <v>4983</v>
      </c>
    </row>
    <row r="462" spans="1:7" x14ac:dyDescent="0.45">
      <c r="A462" s="1" t="s">
        <v>1076</v>
      </c>
      <c r="B462" s="1" t="s">
        <v>1075</v>
      </c>
      <c r="C462" s="1" t="s">
        <v>237</v>
      </c>
      <c r="D462" s="1" t="s">
        <v>2447</v>
      </c>
      <c r="E462" s="1" t="s">
        <v>3917</v>
      </c>
      <c r="F462" s="1" t="s">
        <v>3918</v>
      </c>
      <c r="G462" s="1" t="s">
        <v>4983</v>
      </c>
    </row>
    <row r="463" spans="1:7" x14ac:dyDescent="0.45">
      <c r="A463" s="1" t="s">
        <v>1592</v>
      </c>
      <c r="B463" s="1" t="s">
        <v>1593</v>
      </c>
      <c r="C463" s="1" t="s">
        <v>237</v>
      </c>
      <c r="D463" s="1" t="s">
        <v>2448</v>
      </c>
      <c r="E463" s="1" t="s">
        <v>3917</v>
      </c>
      <c r="F463" s="1" t="s">
        <v>3918</v>
      </c>
      <c r="G463" s="1" t="s">
        <v>4983</v>
      </c>
    </row>
    <row r="464" spans="1:7" x14ac:dyDescent="0.45">
      <c r="A464" s="1" t="s">
        <v>1074</v>
      </c>
      <c r="B464" s="1" t="s">
        <v>1073</v>
      </c>
      <c r="C464" s="1" t="s">
        <v>237</v>
      </c>
      <c r="D464" s="1" t="s">
        <v>2449</v>
      </c>
      <c r="E464" s="1" t="s">
        <v>3917</v>
      </c>
      <c r="F464" s="1" t="s">
        <v>3918</v>
      </c>
      <c r="G464" s="1" t="s">
        <v>4983</v>
      </c>
    </row>
    <row r="465" spans="1:7" x14ac:dyDescent="0.45">
      <c r="A465" s="1" t="s">
        <v>1072</v>
      </c>
      <c r="B465" s="1" t="s">
        <v>1071</v>
      </c>
      <c r="C465" s="1" t="s">
        <v>237</v>
      </c>
      <c r="D465" s="1" t="s">
        <v>2450</v>
      </c>
      <c r="E465" s="1" t="s">
        <v>3917</v>
      </c>
      <c r="F465" s="1" t="s">
        <v>3918</v>
      </c>
      <c r="G465" s="1" t="s">
        <v>4983</v>
      </c>
    </row>
    <row r="466" spans="1:7" x14ac:dyDescent="0.45">
      <c r="A466" s="1" t="s">
        <v>1070</v>
      </c>
      <c r="B466" s="1" t="s">
        <v>1069</v>
      </c>
      <c r="C466" s="1" t="s">
        <v>237</v>
      </c>
      <c r="D466" s="1" t="s">
        <v>2451</v>
      </c>
      <c r="E466" s="1" t="s">
        <v>3917</v>
      </c>
      <c r="F466" s="1" t="s">
        <v>3918</v>
      </c>
      <c r="G466" s="1" t="s">
        <v>4983</v>
      </c>
    </row>
    <row r="467" spans="1:7" x14ac:dyDescent="0.45">
      <c r="A467" s="1" t="s">
        <v>1557</v>
      </c>
      <c r="B467" s="1" t="s">
        <v>1068</v>
      </c>
      <c r="C467" s="1" t="s">
        <v>237</v>
      </c>
      <c r="D467" s="1" t="s">
        <v>2452</v>
      </c>
      <c r="E467" s="1" t="s">
        <v>3917</v>
      </c>
      <c r="F467" s="1" t="s">
        <v>3918</v>
      </c>
      <c r="G467" s="1" t="s">
        <v>4983</v>
      </c>
    </row>
    <row r="468" spans="1:7" x14ac:dyDescent="0.45">
      <c r="A468" s="1" t="s">
        <v>1067</v>
      </c>
      <c r="B468" s="1" t="s">
        <v>1066</v>
      </c>
      <c r="C468" s="1" t="s">
        <v>237</v>
      </c>
      <c r="D468" s="1" t="s">
        <v>2453</v>
      </c>
      <c r="E468" s="1" t="s">
        <v>3917</v>
      </c>
      <c r="F468" s="1" t="s">
        <v>3918</v>
      </c>
      <c r="G468" s="1" t="s">
        <v>4983</v>
      </c>
    </row>
    <row r="469" spans="1:7" x14ac:dyDescent="0.45">
      <c r="A469" s="1" t="s">
        <v>2995</v>
      </c>
      <c r="B469" s="1" t="s">
        <v>2996</v>
      </c>
      <c r="C469" s="1" t="s">
        <v>237</v>
      </c>
      <c r="D469" s="1" t="s">
        <v>2997</v>
      </c>
      <c r="E469" s="1" t="s">
        <v>3917</v>
      </c>
      <c r="F469" s="1" t="s">
        <v>3918</v>
      </c>
      <c r="G469" s="1" t="s">
        <v>4983</v>
      </c>
    </row>
    <row r="470" spans="1:7" x14ac:dyDescent="0.45">
      <c r="A470" s="1" t="s">
        <v>7591</v>
      </c>
      <c r="B470" s="1" t="s">
        <v>7592</v>
      </c>
      <c r="C470" s="1" t="s">
        <v>237</v>
      </c>
      <c r="D470" s="1" t="s">
        <v>8274</v>
      </c>
      <c r="E470" s="1" t="s">
        <v>3917</v>
      </c>
      <c r="F470" s="1" t="s">
        <v>3918</v>
      </c>
      <c r="G470" s="1" t="s">
        <v>4983</v>
      </c>
    </row>
    <row r="471" spans="1:7" x14ac:dyDescent="0.45">
      <c r="A471" s="1" t="s">
        <v>4423</v>
      </c>
      <c r="B471" s="1" t="s">
        <v>4424</v>
      </c>
      <c r="C471" s="1" t="s">
        <v>237</v>
      </c>
      <c r="D471" s="1" t="s">
        <v>4868</v>
      </c>
      <c r="E471" s="1" t="s">
        <v>3917</v>
      </c>
      <c r="F471" s="1" t="s">
        <v>3918</v>
      </c>
      <c r="G471" s="1" t="s">
        <v>4983</v>
      </c>
    </row>
    <row r="472" spans="1:7" x14ac:dyDescent="0.45">
      <c r="A472" s="1" t="s">
        <v>1065</v>
      </c>
      <c r="B472" s="1" t="s">
        <v>1064</v>
      </c>
      <c r="C472" s="1" t="s">
        <v>237</v>
      </c>
      <c r="D472" s="1" t="s">
        <v>2454</v>
      </c>
      <c r="E472" s="1" t="s">
        <v>3917</v>
      </c>
      <c r="F472" s="1" t="s">
        <v>3918</v>
      </c>
      <c r="G472" s="1" t="s">
        <v>4983</v>
      </c>
    </row>
    <row r="473" spans="1:7" x14ac:dyDescent="0.45">
      <c r="A473" s="1" t="s">
        <v>1063</v>
      </c>
      <c r="B473" s="1" t="s">
        <v>1062</v>
      </c>
      <c r="C473" s="1" t="s">
        <v>237</v>
      </c>
      <c r="D473" s="1" t="s">
        <v>2455</v>
      </c>
      <c r="E473" s="1" t="s">
        <v>3917</v>
      </c>
      <c r="F473" s="1" t="s">
        <v>3918</v>
      </c>
      <c r="G473" s="1" t="s">
        <v>4983</v>
      </c>
    </row>
    <row r="474" spans="1:7" x14ac:dyDescent="0.45">
      <c r="A474" s="1" t="s">
        <v>4425</v>
      </c>
      <c r="B474" s="1" t="s">
        <v>4426</v>
      </c>
      <c r="C474" s="1" t="s">
        <v>237</v>
      </c>
      <c r="D474" s="1" t="s">
        <v>4869</v>
      </c>
      <c r="E474" s="1" t="s">
        <v>3917</v>
      </c>
      <c r="F474" s="1" t="s">
        <v>3918</v>
      </c>
      <c r="G474" s="1" t="s">
        <v>4983</v>
      </c>
    </row>
    <row r="475" spans="1:7" x14ac:dyDescent="0.45">
      <c r="A475" s="1" t="s">
        <v>1594</v>
      </c>
      <c r="B475" s="1" t="s">
        <v>1595</v>
      </c>
      <c r="C475" s="1" t="s">
        <v>237</v>
      </c>
      <c r="D475" s="1" t="s">
        <v>2456</v>
      </c>
      <c r="E475" s="1" t="s">
        <v>3917</v>
      </c>
      <c r="F475" s="1" t="s">
        <v>3918</v>
      </c>
      <c r="G475" s="1" t="s">
        <v>4983</v>
      </c>
    </row>
    <row r="476" spans="1:7" x14ac:dyDescent="0.45">
      <c r="A476" s="1" t="s">
        <v>492</v>
      </c>
      <c r="B476" s="1" t="s">
        <v>491</v>
      </c>
      <c r="C476" s="1" t="s">
        <v>237</v>
      </c>
      <c r="D476" s="1" t="s">
        <v>3006</v>
      </c>
      <c r="E476" s="1" t="s">
        <v>3917</v>
      </c>
      <c r="F476" s="1" t="s">
        <v>3918</v>
      </c>
      <c r="G476" s="1" t="s">
        <v>4983</v>
      </c>
    </row>
    <row r="477" spans="1:7" x14ac:dyDescent="0.45">
      <c r="A477" s="1" t="s">
        <v>488</v>
      </c>
      <c r="B477" s="1" t="s">
        <v>487</v>
      </c>
      <c r="C477" s="1" t="s">
        <v>237</v>
      </c>
      <c r="D477" s="1" t="s">
        <v>2457</v>
      </c>
      <c r="E477" s="1" t="s">
        <v>3917</v>
      </c>
      <c r="F477" s="1" t="s">
        <v>3918</v>
      </c>
      <c r="G477" s="1" t="s">
        <v>4983</v>
      </c>
    </row>
    <row r="478" spans="1:7" x14ac:dyDescent="0.45">
      <c r="A478" s="1" t="s">
        <v>3399</v>
      </c>
      <c r="B478" s="1" t="s">
        <v>482</v>
      </c>
      <c r="C478" s="1" t="s">
        <v>237</v>
      </c>
      <c r="D478" s="1" t="s">
        <v>3010</v>
      </c>
      <c r="E478" s="1" t="s">
        <v>3917</v>
      </c>
      <c r="F478" s="1" t="s">
        <v>3918</v>
      </c>
      <c r="G478" s="1" t="s">
        <v>4983</v>
      </c>
    </row>
    <row r="479" spans="1:7" x14ac:dyDescent="0.45">
      <c r="A479" s="1" t="s">
        <v>481</v>
      </c>
      <c r="B479" s="1" t="s">
        <v>480</v>
      </c>
      <c r="C479" s="1" t="s">
        <v>237</v>
      </c>
      <c r="D479" s="1" t="s">
        <v>2458</v>
      </c>
      <c r="E479" s="1" t="s">
        <v>3917</v>
      </c>
      <c r="F479" s="1" t="s">
        <v>3918</v>
      </c>
      <c r="G479" s="1" t="s">
        <v>4983</v>
      </c>
    </row>
    <row r="480" spans="1:7" x14ac:dyDescent="0.45">
      <c r="A480" s="1" t="s">
        <v>4431</v>
      </c>
      <c r="B480" s="1" t="s">
        <v>4432</v>
      </c>
      <c r="C480" s="1" t="s">
        <v>237</v>
      </c>
      <c r="D480" s="1" t="s">
        <v>4872</v>
      </c>
      <c r="E480" s="1" t="s">
        <v>3917</v>
      </c>
      <c r="F480" s="1" t="s">
        <v>3918</v>
      </c>
      <c r="G480" s="1" t="s">
        <v>4983</v>
      </c>
    </row>
    <row r="481" spans="1:7" x14ac:dyDescent="0.45">
      <c r="A481" s="1" t="s">
        <v>1777</v>
      </c>
      <c r="B481" s="1" t="s">
        <v>1778</v>
      </c>
      <c r="C481" s="1" t="s">
        <v>237</v>
      </c>
      <c r="D481" s="1" t="s">
        <v>2459</v>
      </c>
      <c r="E481" s="1" t="s">
        <v>3917</v>
      </c>
      <c r="F481" s="1" t="s">
        <v>3918</v>
      </c>
      <c r="G481" s="1" t="s">
        <v>4983</v>
      </c>
    </row>
    <row r="482" spans="1:7" x14ac:dyDescent="0.45">
      <c r="A482" s="1" t="s">
        <v>3400</v>
      </c>
      <c r="B482" s="1" t="s">
        <v>3401</v>
      </c>
      <c r="C482" s="1" t="s">
        <v>237</v>
      </c>
      <c r="D482" s="1" t="s">
        <v>3402</v>
      </c>
      <c r="E482" s="1" t="s">
        <v>3917</v>
      </c>
      <c r="F482" s="1" t="s">
        <v>3918</v>
      </c>
      <c r="G482" s="1" t="s">
        <v>4983</v>
      </c>
    </row>
    <row r="483" spans="1:7" x14ac:dyDescent="0.45">
      <c r="A483" s="1" t="s">
        <v>1061</v>
      </c>
      <c r="B483" s="1" t="s">
        <v>1060</v>
      </c>
      <c r="C483" s="1" t="s">
        <v>237</v>
      </c>
      <c r="D483" s="1" t="s">
        <v>2460</v>
      </c>
      <c r="E483" s="1" t="s">
        <v>3917</v>
      </c>
      <c r="F483" s="1" t="s">
        <v>3918</v>
      </c>
      <c r="G483" s="1" t="s">
        <v>4983</v>
      </c>
    </row>
    <row r="484" spans="1:7" x14ac:dyDescent="0.45">
      <c r="A484" s="1" t="s">
        <v>1059</v>
      </c>
      <c r="B484" s="1" t="s">
        <v>1058</v>
      </c>
      <c r="C484" s="1" t="s">
        <v>237</v>
      </c>
      <c r="D484" s="1" t="s">
        <v>2461</v>
      </c>
      <c r="E484" s="1" t="s">
        <v>3917</v>
      </c>
      <c r="F484" s="1" t="s">
        <v>3918</v>
      </c>
      <c r="G484" s="1" t="s">
        <v>4983</v>
      </c>
    </row>
    <row r="485" spans="1:7" x14ac:dyDescent="0.45">
      <c r="A485" s="1" t="s">
        <v>1057</v>
      </c>
      <c r="B485" s="1" t="s">
        <v>1056</v>
      </c>
      <c r="C485" s="1" t="s">
        <v>237</v>
      </c>
      <c r="D485" s="1" t="s">
        <v>2462</v>
      </c>
      <c r="E485" s="1" t="s">
        <v>3917</v>
      </c>
      <c r="F485" s="1" t="s">
        <v>3918</v>
      </c>
      <c r="G485" s="1" t="s">
        <v>4983</v>
      </c>
    </row>
    <row r="486" spans="1:7" x14ac:dyDescent="0.45">
      <c r="A486" s="1" t="s">
        <v>4059</v>
      </c>
      <c r="B486" s="1" t="s">
        <v>4060</v>
      </c>
      <c r="C486" s="1" t="s">
        <v>237</v>
      </c>
      <c r="D486" s="1" t="s">
        <v>4697</v>
      </c>
      <c r="E486" s="1" t="s">
        <v>3917</v>
      </c>
      <c r="F486" s="1" t="s">
        <v>3918</v>
      </c>
      <c r="G486" s="1" t="s">
        <v>4983</v>
      </c>
    </row>
    <row r="487" spans="1:7" x14ac:dyDescent="0.45">
      <c r="A487" s="1" t="s">
        <v>3712</v>
      </c>
      <c r="B487" s="1" t="s">
        <v>3713</v>
      </c>
      <c r="C487" s="1" t="s">
        <v>237</v>
      </c>
      <c r="D487" s="1" t="s">
        <v>3714</v>
      </c>
      <c r="E487" s="1" t="s">
        <v>3917</v>
      </c>
      <c r="F487" s="1" t="s">
        <v>3918</v>
      </c>
      <c r="G487" s="1" t="s">
        <v>4983</v>
      </c>
    </row>
    <row r="488" spans="1:7" x14ac:dyDescent="0.45">
      <c r="A488" s="1" t="s">
        <v>479</v>
      </c>
      <c r="B488" s="1" t="s">
        <v>478</v>
      </c>
      <c r="C488" s="1" t="s">
        <v>237</v>
      </c>
      <c r="D488" s="1" t="s">
        <v>3017</v>
      </c>
      <c r="E488" s="1" t="s">
        <v>3917</v>
      </c>
      <c r="F488" s="1" t="s">
        <v>3918</v>
      </c>
      <c r="G488" s="1" t="s">
        <v>4983</v>
      </c>
    </row>
    <row r="489" spans="1:7" x14ac:dyDescent="0.45">
      <c r="A489" s="1" t="s">
        <v>4061</v>
      </c>
      <c r="B489" s="1" t="s">
        <v>4062</v>
      </c>
      <c r="C489" s="1" t="s">
        <v>237</v>
      </c>
      <c r="D489" s="1" t="s">
        <v>4698</v>
      </c>
      <c r="E489" s="1" t="s">
        <v>3917</v>
      </c>
      <c r="F489" s="1" t="s">
        <v>3918</v>
      </c>
      <c r="G489" s="1" t="s">
        <v>4983</v>
      </c>
    </row>
    <row r="490" spans="1:7" x14ac:dyDescent="0.45">
      <c r="A490" s="1" t="s">
        <v>477</v>
      </c>
      <c r="B490" s="1" t="s">
        <v>476</v>
      </c>
      <c r="C490" s="1" t="s">
        <v>237</v>
      </c>
      <c r="D490" s="1" t="s">
        <v>2464</v>
      </c>
      <c r="E490" s="1" t="s">
        <v>3917</v>
      </c>
      <c r="F490" s="1" t="s">
        <v>3918</v>
      </c>
      <c r="G490" s="1" t="s">
        <v>4983</v>
      </c>
    </row>
    <row r="491" spans="1:7" x14ac:dyDescent="0.45">
      <c r="A491" s="1" t="s">
        <v>1055</v>
      </c>
      <c r="B491" s="1" t="s">
        <v>1054</v>
      </c>
      <c r="C491" s="1" t="s">
        <v>237</v>
      </c>
      <c r="D491" s="1" t="s">
        <v>2465</v>
      </c>
      <c r="E491" s="1" t="s">
        <v>3919</v>
      </c>
      <c r="F491" s="1" t="s">
        <v>3918</v>
      </c>
      <c r="G491" s="1" t="s">
        <v>4983</v>
      </c>
    </row>
    <row r="492" spans="1:7" x14ac:dyDescent="0.45">
      <c r="A492" s="1" t="s">
        <v>3023</v>
      </c>
      <c r="B492" s="1" t="s">
        <v>3024</v>
      </c>
      <c r="C492" s="1" t="s">
        <v>237</v>
      </c>
      <c r="D492" s="1" t="s">
        <v>3025</v>
      </c>
      <c r="E492" s="1" t="s">
        <v>3917</v>
      </c>
      <c r="F492" s="1" t="s">
        <v>3918</v>
      </c>
      <c r="G492" s="1" t="s">
        <v>4983</v>
      </c>
    </row>
    <row r="493" spans="1:7" x14ac:dyDescent="0.45">
      <c r="A493" s="1" t="s">
        <v>1596</v>
      </c>
      <c r="B493" s="1" t="s">
        <v>1597</v>
      </c>
      <c r="C493" s="1" t="s">
        <v>237</v>
      </c>
      <c r="D493" s="1" t="s">
        <v>2466</v>
      </c>
      <c r="E493" s="1" t="s">
        <v>3917</v>
      </c>
      <c r="F493" s="1" t="s">
        <v>3918</v>
      </c>
      <c r="G493" s="1" t="s">
        <v>4983</v>
      </c>
    </row>
    <row r="494" spans="1:7" x14ac:dyDescent="0.45">
      <c r="A494" s="1" t="s">
        <v>6903</v>
      </c>
      <c r="B494" s="1" t="s">
        <v>6904</v>
      </c>
      <c r="C494" s="1" t="s">
        <v>237</v>
      </c>
      <c r="D494" s="1" t="s">
        <v>7965</v>
      </c>
      <c r="E494" s="1" t="s">
        <v>3917</v>
      </c>
      <c r="F494" s="1" t="s">
        <v>3918</v>
      </c>
      <c r="G494" s="1" t="s">
        <v>4983</v>
      </c>
    </row>
    <row r="495" spans="1:7" x14ac:dyDescent="0.45">
      <c r="A495" s="1" t="s">
        <v>465</v>
      </c>
      <c r="B495" s="1" t="s">
        <v>464</v>
      </c>
      <c r="C495" s="1" t="s">
        <v>237</v>
      </c>
      <c r="D495" s="1" t="s">
        <v>2467</v>
      </c>
      <c r="E495" s="1" t="s">
        <v>3917</v>
      </c>
      <c r="F495" s="1" t="s">
        <v>3918</v>
      </c>
      <c r="G495" s="1" t="s">
        <v>4983</v>
      </c>
    </row>
    <row r="496" spans="1:7" x14ac:dyDescent="0.45">
      <c r="A496" s="1" t="s">
        <v>3403</v>
      </c>
      <c r="B496" s="1" t="s">
        <v>3404</v>
      </c>
      <c r="C496" s="1" t="s">
        <v>237</v>
      </c>
      <c r="D496" s="1" t="s">
        <v>3405</v>
      </c>
      <c r="E496" s="1" t="s">
        <v>3917</v>
      </c>
      <c r="F496" s="1" t="s">
        <v>3918</v>
      </c>
      <c r="G496" s="1" t="s">
        <v>4983</v>
      </c>
    </row>
    <row r="497" spans="1:7" x14ac:dyDescent="0.45">
      <c r="A497" s="1" t="s">
        <v>1053</v>
      </c>
      <c r="B497" s="1" t="s">
        <v>1052</v>
      </c>
      <c r="C497" s="1" t="s">
        <v>237</v>
      </c>
      <c r="D497" s="1" t="s">
        <v>2468</v>
      </c>
      <c r="E497" s="1" t="s">
        <v>3917</v>
      </c>
      <c r="F497" s="1" t="s">
        <v>3918</v>
      </c>
      <c r="G497" s="1" t="s">
        <v>4983</v>
      </c>
    </row>
    <row r="498" spans="1:7" x14ac:dyDescent="0.45">
      <c r="A498" s="1" t="s">
        <v>1051</v>
      </c>
      <c r="B498" s="1" t="s">
        <v>1050</v>
      </c>
      <c r="C498" s="1" t="s">
        <v>237</v>
      </c>
      <c r="D498" s="1" t="s">
        <v>2469</v>
      </c>
      <c r="E498" s="1" t="s">
        <v>3917</v>
      </c>
      <c r="F498" s="1" t="s">
        <v>3918</v>
      </c>
      <c r="G498" s="1" t="s">
        <v>4983</v>
      </c>
    </row>
    <row r="499" spans="1:7" x14ac:dyDescent="0.45">
      <c r="A499" s="1" t="s">
        <v>1781</v>
      </c>
      <c r="B499" s="1" t="s">
        <v>1782</v>
      </c>
      <c r="C499" s="1" t="s">
        <v>237</v>
      </c>
      <c r="D499" s="1" t="s">
        <v>3034</v>
      </c>
      <c r="E499" s="1" t="s">
        <v>3917</v>
      </c>
      <c r="F499" s="1" t="s">
        <v>3918</v>
      </c>
      <c r="G499" s="1" t="s">
        <v>4983</v>
      </c>
    </row>
    <row r="500" spans="1:7" x14ac:dyDescent="0.45">
      <c r="A500" s="1" t="s">
        <v>3043</v>
      </c>
      <c r="B500" s="1" t="s">
        <v>3044</v>
      </c>
      <c r="C500" s="1" t="s">
        <v>237</v>
      </c>
      <c r="D500" s="1" t="s">
        <v>3045</v>
      </c>
      <c r="E500" s="1" t="s">
        <v>3917</v>
      </c>
      <c r="F500" s="1" t="s">
        <v>3918</v>
      </c>
      <c r="G500" s="1" t="s">
        <v>4983</v>
      </c>
    </row>
    <row r="501" spans="1:7" x14ac:dyDescent="0.45">
      <c r="A501" s="1" t="s">
        <v>4462</v>
      </c>
      <c r="B501" s="1" t="s">
        <v>4463</v>
      </c>
      <c r="C501" s="1" t="s">
        <v>237</v>
      </c>
      <c r="D501" s="1" t="s">
        <v>4883</v>
      </c>
      <c r="E501" s="1" t="s">
        <v>3917</v>
      </c>
      <c r="F501" s="1" t="s">
        <v>3918</v>
      </c>
      <c r="G501" s="1" t="s">
        <v>4983</v>
      </c>
    </row>
    <row r="502" spans="1:7" x14ac:dyDescent="0.45">
      <c r="A502" s="1" t="s">
        <v>1786</v>
      </c>
      <c r="B502" s="1" t="s">
        <v>1787</v>
      </c>
      <c r="C502" s="1" t="s">
        <v>237</v>
      </c>
      <c r="D502" s="1" t="s">
        <v>3052</v>
      </c>
      <c r="E502" s="1" t="s">
        <v>3917</v>
      </c>
      <c r="F502" s="1" t="s">
        <v>3918</v>
      </c>
      <c r="G502" s="1" t="s">
        <v>4983</v>
      </c>
    </row>
    <row r="503" spans="1:7" x14ac:dyDescent="0.45">
      <c r="A503" s="1" t="s">
        <v>1049</v>
      </c>
      <c r="B503" s="1" t="s">
        <v>1048</v>
      </c>
      <c r="C503" s="1" t="s">
        <v>237</v>
      </c>
      <c r="D503" s="1" t="s">
        <v>2470</v>
      </c>
      <c r="E503" s="1" t="s">
        <v>3917</v>
      </c>
      <c r="F503" s="1" t="s">
        <v>3918</v>
      </c>
      <c r="G503" s="1" t="s">
        <v>4983</v>
      </c>
    </row>
    <row r="504" spans="1:7" x14ac:dyDescent="0.45">
      <c r="A504" s="1" t="s">
        <v>1788</v>
      </c>
      <c r="B504" s="1" t="s">
        <v>1789</v>
      </c>
      <c r="C504" s="1" t="s">
        <v>237</v>
      </c>
      <c r="D504" s="1" t="s">
        <v>3053</v>
      </c>
      <c r="E504" s="1" t="s">
        <v>3917</v>
      </c>
      <c r="F504" s="1" t="s">
        <v>3918</v>
      </c>
      <c r="G504" s="1" t="s">
        <v>4983</v>
      </c>
    </row>
    <row r="505" spans="1:7" x14ac:dyDescent="0.45">
      <c r="A505" s="1" t="s">
        <v>4470</v>
      </c>
      <c r="B505" s="1" t="s">
        <v>4471</v>
      </c>
      <c r="C505" s="1" t="s">
        <v>237</v>
      </c>
      <c r="D505" s="1" t="s">
        <v>4887</v>
      </c>
      <c r="E505" s="1" t="s">
        <v>3917</v>
      </c>
      <c r="F505" s="1" t="s">
        <v>3918</v>
      </c>
      <c r="G505" s="1" t="s">
        <v>4983</v>
      </c>
    </row>
    <row r="506" spans="1:7" x14ac:dyDescent="0.45">
      <c r="A506" s="1" t="s">
        <v>451</v>
      </c>
      <c r="B506" s="1" t="s">
        <v>450</v>
      </c>
      <c r="C506" s="1" t="s">
        <v>237</v>
      </c>
      <c r="D506" s="1" t="s">
        <v>2471</v>
      </c>
      <c r="E506" s="1" t="s">
        <v>3917</v>
      </c>
      <c r="F506" s="1" t="s">
        <v>3918</v>
      </c>
      <c r="G506" s="1" t="s">
        <v>4983</v>
      </c>
    </row>
    <row r="507" spans="1:7" x14ac:dyDescent="0.45">
      <c r="A507" s="1" t="s">
        <v>449</v>
      </c>
      <c r="B507" s="1" t="s">
        <v>448</v>
      </c>
      <c r="C507" s="1" t="s">
        <v>237</v>
      </c>
      <c r="D507" s="1" t="s">
        <v>2472</v>
      </c>
      <c r="E507" s="1" t="s">
        <v>3917</v>
      </c>
      <c r="F507" s="1" t="s">
        <v>3918</v>
      </c>
      <c r="G507" s="1" t="s">
        <v>4983</v>
      </c>
    </row>
    <row r="508" spans="1:7" x14ac:dyDescent="0.45">
      <c r="A508" s="1" t="s">
        <v>1047</v>
      </c>
      <c r="B508" s="1" t="s">
        <v>1046</v>
      </c>
      <c r="C508" s="1" t="s">
        <v>237</v>
      </c>
      <c r="D508" s="1" t="s">
        <v>2473</v>
      </c>
      <c r="E508" s="1" t="s">
        <v>3917</v>
      </c>
      <c r="F508" s="1" t="s">
        <v>3918</v>
      </c>
      <c r="G508" s="1" t="s">
        <v>4983</v>
      </c>
    </row>
    <row r="509" spans="1:7" x14ac:dyDescent="0.45">
      <c r="A509" s="1" t="s">
        <v>3734</v>
      </c>
      <c r="B509" s="1" t="s">
        <v>3735</v>
      </c>
      <c r="C509" s="1" t="s">
        <v>237</v>
      </c>
      <c r="D509" s="1" t="s">
        <v>3736</v>
      </c>
      <c r="E509" s="1" t="s">
        <v>3917</v>
      </c>
      <c r="F509" s="1" t="s">
        <v>3918</v>
      </c>
      <c r="G509" s="1" t="s">
        <v>4983</v>
      </c>
    </row>
    <row r="510" spans="1:7" x14ac:dyDescent="0.45">
      <c r="A510" s="1" t="s">
        <v>445</v>
      </c>
      <c r="B510" s="1" t="s">
        <v>444</v>
      </c>
      <c r="C510" s="1" t="s">
        <v>237</v>
      </c>
      <c r="D510" s="1" t="s">
        <v>2474</v>
      </c>
      <c r="E510" s="1" t="s">
        <v>3919</v>
      </c>
      <c r="F510" s="1" t="s">
        <v>3918</v>
      </c>
      <c r="G510" s="1" t="s">
        <v>4983</v>
      </c>
    </row>
    <row r="511" spans="1:7" x14ac:dyDescent="0.45">
      <c r="A511" s="1" t="s">
        <v>1790</v>
      </c>
      <c r="B511" s="1" t="s">
        <v>443</v>
      </c>
      <c r="C511" s="1" t="s">
        <v>237</v>
      </c>
      <c r="D511" s="1" t="s">
        <v>2475</v>
      </c>
      <c r="E511" s="1" t="s">
        <v>3919</v>
      </c>
      <c r="F511" s="1" t="s">
        <v>3918</v>
      </c>
      <c r="G511" s="1" t="s">
        <v>4983</v>
      </c>
    </row>
    <row r="512" spans="1:7" x14ac:dyDescent="0.45">
      <c r="A512" s="1" t="s">
        <v>1481</v>
      </c>
      <c r="B512" s="1" t="s">
        <v>1480</v>
      </c>
      <c r="C512" s="1" t="s">
        <v>237</v>
      </c>
      <c r="D512" s="1" t="s">
        <v>2476</v>
      </c>
      <c r="E512" s="1" t="s">
        <v>3917</v>
      </c>
      <c r="F512" s="1" t="s">
        <v>3918</v>
      </c>
      <c r="G512" s="1" t="s">
        <v>4983</v>
      </c>
    </row>
    <row r="513" spans="1:7" x14ac:dyDescent="0.45">
      <c r="A513" s="1" t="s">
        <v>6905</v>
      </c>
      <c r="B513" s="1" t="s">
        <v>6906</v>
      </c>
      <c r="C513" s="1" t="s">
        <v>237</v>
      </c>
      <c r="D513" s="1" t="s">
        <v>7966</v>
      </c>
      <c r="E513" s="1" t="s">
        <v>3917</v>
      </c>
      <c r="F513" s="1" t="s">
        <v>3918</v>
      </c>
      <c r="G513" s="1" t="s">
        <v>4983</v>
      </c>
    </row>
    <row r="514" spans="1:7" x14ac:dyDescent="0.45">
      <c r="A514" s="1" t="s">
        <v>3749</v>
      </c>
      <c r="B514" s="1" t="s">
        <v>3750</v>
      </c>
      <c r="C514" s="1" t="s">
        <v>237</v>
      </c>
      <c r="D514" s="1" t="s">
        <v>3751</v>
      </c>
      <c r="E514" s="1" t="s">
        <v>3917</v>
      </c>
      <c r="F514" s="1" t="s">
        <v>3918</v>
      </c>
      <c r="G514" s="1" t="s">
        <v>4983</v>
      </c>
    </row>
    <row r="515" spans="1:7" x14ac:dyDescent="0.45">
      <c r="A515" s="1" t="s">
        <v>1045</v>
      </c>
      <c r="B515" s="1" t="s">
        <v>1044</v>
      </c>
      <c r="C515" s="1" t="s">
        <v>237</v>
      </c>
      <c r="D515" s="1" t="s">
        <v>2477</v>
      </c>
      <c r="E515" s="1" t="s">
        <v>3917</v>
      </c>
      <c r="F515" s="1" t="s">
        <v>3918</v>
      </c>
      <c r="G515" s="1" t="s">
        <v>4983</v>
      </c>
    </row>
    <row r="516" spans="1:7" x14ac:dyDescent="0.45">
      <c r="A516" s="1" t="s">
        <v>1043</v>
      </c>
      <c r="B516" s="1" t="s">
        <v>1042</v>
      </c>
      <c r="C516" s="1" t="s">
        <v>237</v>
      </c>
      <c r="D516" s="1" t="s">
        <v>2478</v>
      </c>
      <c r="E516" s="1" t="s">
        <v>3917</v>
      </c>
      <c r="F516" s="1" t="s">
        <v>3918</v>
      </c>
      <c r="G516" s="1" t="s">
        <v>4983</v>
      </c>
    </row>
    <row r="517" spans="1:7" x14ac:dyDescent="0.45">
      <c r="A517" s="1" t="s">
        <v>6907</v>
      </c>
      <c r="B517" s="1" t="s">
        <v>6908</v>
      </c>
      <c r="C517" s="1" t="s">
        <v>237</v>
      </c>
      <c r="D517" s="1" t="s">
        <v>7967</v>
      </c>
      <c r="E517" s="1" t="s">
        <v>3917</v>
      </c>
      <c r="F517" s="1" t="s">
        <v>3918</v>
      </c>
      <c r="G517" s="1" t="s">
        <v>4983</v>
      </c>
    </row>
    <row r="518" spans="1:7" x14ac:dyDescent="0.45">
      <c r="A518" s="1" t="s">
        <v>1041</v>
      </c>
      <c r="B518" s="1" t="s">
        <v>1040</v>
      </c>
      <c r="C518" s="1" t="s">
        <v>237</v>
      </c>
      <c r="D518" s="1" t="s">
        <v>2479</v>
      </c>
      <c r="E518" s="1" t="s">
        <v>3917</v>
      </c>
      <c r="F518" s="1" t="s">
        <v>3918</v>
      </c>
      <c r="G518" s="1" t="s">
        <v>4983</v>
      </c>
    </row>
    <row r="519" spans="1:7" x14ac:dyDescent="0.45">
      <c r="A519" s="1" t="s">
        <v>1039</v>
      </c>
      <c r="B519" s="1" t="s">
        <v>1038</v>
      </c>
      <c r="C519" s="1" t="s">
        <v>237</v>
      </c>
      <c r="D519" s="1" t="s">
        <v>2480</v>
      </c>
      <c r="E519" s="1" t="s">
        <v>3917</v>
      </c>
      <c r="F519" s="1" t="s">
        <v>3918</v>
      </c>
      <c r="G519" s="1" t="s">
        <v>4983</v>
      </c>
    </row>
    <row r="520" spans="1:7" x14ac:dyDescent="0.45">
      <c r="A520" s="1" t="s">
        <v>432</v>
      </c>
      <c r="B520" s="1" t="s">
        <v>431</v>
      </c>
      <c r="C520" s="1" t="s">
        <v>237</v>
      </c>
      <c r="D520" s="1" t="s">
        <v>3067</v>
      </c>
      <c r="E520" s="1" t="s">
        <v>3917</v>
      </c>
      <c r="F520" s="1" t="s">
        <v>3918</v>
      </c>
      <c r="G520" s="1" t="s">
        <v>4983</v>
      </c>
    </row>
    <row r="521" spans="1:7" x14ac:dyDescent="0.45">
      <c r="A521" s="1" t="s">
        <v>1037</v>
      </c>
      <c r="B521" s="1" t="s">
        <v>1036</v>
      </c>
      <c r="C521" s="1" t="s">
        <v>237</v>
      </c>
      <c r="D521" s="1" t="s">
        <v>2482</v>
      </c>
      <c r="E521" s="1" t="s">
        <v>3917</v>
      </c>
      <c r="F521" s="1" t="s">
        <v>3918</v>
      </c>
      <c r="G521" s="1" t="s">
        <v>4983</v>
      </c>
    </row>
    <row r="522" spans="1:7" x14ac:dyDescent="0.45">
      <c r="A522" s="1" t="s">
        <v>1035</v>
      </c>
      <c r="B522" s="1" t="s">
        <v>1034</v>
      </c>
      <c r="C522" s="1" t="s">
        <v>237</v>
      </c>
      <c r="D522" s="1" t="s">
        <v>2483</v>
      </c>
      <c r="E522" s="1" t="s">
        <v>3917</v>
      </c>
      <c r="F522" s="1" t="s">
        <v>3918</v>
      </c>
      <c r="G522" s="1" t="s">
        <v>4983</v>
      </c>
    </row>
    <row r="523" spans="1:7" x14ac:dyDescent="0.45">
      <c r="A523" s="1" t="s">
        <v>1033</v>
      </c>
      <c r="B523" s="1" t="s">
        <v>1032</v>
      </c>
      <c r="C523" s="1" t="s">
        <v>237</v>
      </c>
      <c r="D523" s="1" t="s">
        <v>2484</v>
      </c>
      <c r="E523" s="1" t="s">
        <v>3917</v>
      </c>
      <c r="F523" s="1" t="s">
        <v>3918</v>
      </c>
      <c r="G523" s="1" t="s">
        <v>4983</v>
      </c>
    </row>
    <row r="524" spans="1:7" x14ac:dyDescent="0.45">
      <c r="A524" s="1" t="s">
        <v>3764</v>
      </c>
      <c r="B524" s="1" t="s">
        <v>3765</v>
      </c>
      <c r="C524" s="1" t="s">
        <v>237</v>
      </c>
      <c r="D524" s="1" t="s">
        <v>3766</v>
      </c>
      <c r="E524" s="1" t="s">
        <v>3917</v>
      </c>
      <c r="F524" s="1" t="s">
        <v>3918</v>
      </c>
      <c r="G524" s="1" t="s">
        <v>4983</v>
      </c>
    </row>
    <row r="525" spans="1:7" x14ac:dyDescent="0.45">
      <c r="A525" s="1" t="s">
        <v>10028</v>
      </c>
      <c r="B525" s="1" t="s">
        <v>10029</v>
      </c>
      <c r="C525" s="1" t="s">
        <v>237</v>
      </c>
      <c r="D525" s="1" t="s">
        <v>11289</v>
      </c>
      <c r="E525" s="1" t="s">
        <v>3917</v>
      </c>
      <c r="F525" s="1" t="s">
        <v>3918</v>
      </c>
      <c r="G525" s="1" t="s">
        <v>4983</v>
      </c>
    </row>
    <row r="526" spans="1:7" x14ac:dyDescent="0.45">
      <c r="A526" s="1" t="s">
        <v>7686</v>
      </c>
      <c r="B526" s="1" t="s">
        <v>7687</v>
      </c>
      <c r="C526" s="1" t="s">
        <v>237</v>
      </c>
      <c r="D526" s="1" t="s">
        <v>8316</v>
      </c>
      <c r="E526" s="1" t="s">
        <v>3917</v>
      </c>
      <c r="F526" s="1" t="s">
        <v>3918</v>
      </c>
      <c r="G526" s="1" t="s">
        <v>4983</v>
      </c>
    </row>
    <row r="527" spans="1:7" x14ac:dyDescent="0.45">
      <c r="A527" s="1" t="s">
        <v>6909</v>
      </c>
      <c r="B527" s="1" t="s">
        <v>6910</v>
      </c>
      <c r="C527" s="1" t="s">
        <v>237</v>
      </c>
      <c r="D527" s="1" t="s">
        <v>7968</v>
      </c>
      <c r="E527" s="1" t="s">
        <v>3919</v>
      </c>
      <c r="F527" s="1" t="s">
        <v>3918</v>
      </c>
      <c r="G527" s="1" t="s">
        <v>4983</v>
      </c>
    </row>
    <row r="528" spans="1:7" x14ac:dyDescent="0.45">
      <c r="A528" s="1" t="s">
        <v>3406</v>
      </c>
      <c r="B528" s="1" t="s">
        <v>3407</v>
      </c>
      <c r="C528" s="1" t="s">
        <v>237</v>
      </c>
      <c r="D528" s="1" t="s">
        <v>3408</v>
      </c>
      <c r="E528" s="1" t="s">
        <v>3917</v>
      </c>
      <c r="F528" s="1" t="s">
        <v>3918</v>
      </c>
      <c r="G528" s="1" t="s">
        <v>4983</v>
      </c>
    </row>
    <row r="529" spans="1:7" x14ac:dyDescent="0.45">
      <c r="A529" s="1" t="s">
        <v>1031</v>
      </c>
      <c r="B529" s="1" t="s">
        <v>261</v>
      </c>
      <c r="C529" s="1" t="s">
        <v>237</v>
      </c>
      <c r="D529" s="1" t="s">
        <v>2485</v>
      </c>
      <c r="E529" s="1" t="s">
        <v>3917</v>
      </c>
      <c r="F529" s="1" t="s">
        <v>3918</v>
      </c>
      <c r="G529" s="1" t="s">
        <v>4983</v>
      </c>
    </row>
    <row r="530" spans="1:7" x14ac:dyDescent="0.45">
      <c r="A530" s="1" t="s">
        <v>424</v>
      </c>
      <c r="B530" s="1" t="s">
        <v>423</v>
      </c>
      <c r="C530" s="1" t="s">
        <v>237</v>
      </c>
      <c r="D530" s="1" t="s">
        <v>3076</v>
      </c>
      <c r="E530" s="1" t="s">
        <v>3917</v>
      </c>
      <c r="F530" s="1" t="s">
        <v>3918</v>
      </c>
      <c r="G530" s="1" t="s">
        <v>4983</v>
      </c>
    </row>
    <row r="531" spans="1:7" x14ac:dyDescent="0.45">
      <c r="A531" s="1" t="s">
        <v>4494</v>
      </c>
      <c r="B531" s="1" t="s">
        <v>4495</v>
      </c>
      <c r="C531" s="1" t="s">
        <v>237</v>
      </c>
      <c r="D531" s="1" t="s">
        <v>4898</v>
      </c>
      <c r="E531" s="1" t="s">
        <v>3917</v>
      </c>
      <c r="F531" s="1" t="s">
        <v>3918</v>
      </c>
      <c r="G531" s="1" t="s">
        <v>4983</v>
      </c>
    </row>
    <row r="532" spans="1:7" x14ac:dyDescent="0.45">
      <c r="A532" s="1" t="s">
        <v>1797</v>
      </c>
      <c r="B532" s="1" t="s">
        <v>1798</v>
      </c>
      <c r="C532" s="1" t="s">
        <v>237</v>
      </c>
      <c r="D532" s="1" t="s">
        <v>3082</v>
      </c>
      <c r="E532" s="1" t="s">
        <v>3917</v>
      </c>
      <c r="F532" s="1" t="s">
        <v>3918</v>
      </c>
      <c r="G532" s="1" t="s">
        <v>4983</v>
      </c>
    </row>
    <row r="533" spans="1:7" x14ac:dyDescent="0.45">
      <c r="A533" s="1" t="s">
        <v>1030</v>
      </c>
      <c r="B533" s="1" t="s">
        <v>1029</v>
      </c>
      <c r="C533" s="1" t="s">
        <v>237</v>
      </c>
      <c r="D533" s="1" t="s">
        <v>2486</v>
      </c>
      <c r="E533" s="1" t="s">
        <v>3917</v>
      </c>
      <c r="F533" s="1" t="s">
        <v>3918</v>
      </c>
      <c r="G533" s="1" t="s">
        <v>4983</v>
      </c>
    </row>
    <row r="534" spans="1:7" x14ac:dyDescent="0.45">
      <c r="A534" s="1" t="s">
        <v>418</v>
      </c>
      <c r="B534" s="1" t="s">
        <v>417</v>
      </c>
      <c r="C534" s="1" t="s">
        <v>237</v>
      </c>
      <c r="D534" s="1" t="s">
        <v>3083</v>
      </c>
      <c r="E534" s="1" t="s">
        <v>3917</v>
      </c>
      <c r="F534" s="1" t="s">
        <v>3918</v>
      </c>
      <c r="G534" s="1" t="s">
        <v>4983</v>
      </c>
    </row>
    <row r="535" spans="1:7" x14ac:dyDescent="0.45">
      <c r="A535" s="1" t="s">
        <v>4063</v>
      </c>
      <c r="B535" s="1" t="s">
        <v>4064</v>
      </c>
      <c r="C535" s="1" t="s">
        <v>237</v>
      </c>
      <c r="D535" s="1" t="s">
        <v>4699</v>
      </c>
      <c r="E535" s="1" t="s">
        <v>3917</v>
      </c>
      <c r="F535" s="1" t="s">
        <v>3918</v>
      </c>
      <c r="G535" s="1" t="s">
        <v>4983</v>
      </c>
    </row>
    <row r="536" spans="1:7" x14ac:dyDescent="0.45">
      <c r="A536" s="1" t="s">
        <v>1028</v>
      </c>
      <c r="B536" s="1" t="s">
        <v>1027</v>
      </c>
      <c r="C536" s="1" t="s">
        <v>237</v>
      </c>
      <c r="D536" s="1" t="s">
        <v>2487</v>
      </c>
      <c r="E536" s="1" t="s">
        <v>3917</v>
      </c>
      <c r="F536" s="1" t="s">
        <v>3918</v>
      </c>
      <c r="G536" s="1" t="s">
        <v>4983</v>
      </c>
    </row>
    <row r="537" spans="1:7" x14ac:dyDescent="0.45">
      <c r="A537" s="1" t="s">
        <v>1558</v>
      </c>
      <c r="B537" s="1" t="s">
        <v>1026</v>
      </c>
      <c r="C537" s="1" t="s">
        <v>237</v>
      </c>
      <c r="D537" s="1" t="s">
        <v>2488</v>
      </c>
      <c r="E537" s="1" t="s">
        <v>3917</v>
      </c>
      <c r="F537" s="1" t="s">
        <v>3918</v>
      </c>
      <c r="G537" s="1" t="s">
        <v>4983</v>
      </c>
    </row>
    <row r="538" spans="1:7" x14ac:dyDescent="0.45">
      <c r="A538" s="1" t="s">
        <v>1025</v>
      </c>
      <c r="B538" s="1" t="s">
        <v>1024</v>
      </c>
      <c r="C538" s="1" t="s">
        <v>237</v>
      </c>
      <c r="D538" s="1" t="s">
        <v>2489</v>
      </c>
      <c r="E538" s="1" t="s">
        <v>3917</v>
      </c>
      <c r="F538" s="1" t="s">
        <v>3918</v>
      </c>
      <c r="G538" s="1" t="s">
        <v>4983</v>
      </c>
    </row>
    <row r="539" spans="1:7" x14ac:dyDescent="0.45">
      <c r="A539" s="1" t="s">
        <v>4506</v>
      </c>
      <c r="B539" s="1" t="s">
        <v>4507</v>
      </c>
      <c r="C539" s="1" t="s">
        <v>237</v>
      </c>
      <c r="D539" s="1" t="s">
        <v>4904</v>
      </c>
      <c r="E539" s="1" t="s">
        <v>3917</v>
      </c>
      <c r="F539" s="1" t="s">
        <v>3918</v>
      </c>
      <c r="G539" s="1" t="s">
        <v>4983</v>
      </c>
    </row>
    <row r="540" spans="1:7" x14ac:dyDescent="0.45">
      <c r="A540" s="1" t="s">
        <v>1023</v>
      </c>
      <c r="B540" s="1" t="s">
        <v>278</v>
      </c>
      <c r="C540" s="1" t="s">
        <v>237</v>
      </c>
      <c r="D540" s="1" t="s">
        <v>2490</v>
      </c>
      <c r="E540" s="1" t="s">
        <v>3917</v>
      </c>
      <c r="F540" s="1" t="s">
        <v>3918</v>
      </c>
      <c r="G540" s="1" t="s">
        <v>4983</v>
      </c>
    </row>
    <row r="541" spans="1:7" x14ac:dyDescent="0.45">
      <c r="A541" s="1" t="s">
        <v>1022</v>
      </c>
      <c r="B541" s="1" t="s">
        <v>1021</v>
      </c>
      <c r="C541" s="1" t="s">
        <v>237</v>
      </c>
      <c r="D541" s="1" t="s">
        <v>2491</v>
      </c>
      <c r="E541" s="1" t="s">
        <v>3917</v>
      </c>
      <c r="F541" s="1" t="s">
        <v>3918</v>
      </c>
      <c r="G541" s="1" t="s">
        <v>4983</v>
      </c>
    </row>
    <row r="542" spans="1:7" x14ac:dyDescent="0.45">
      <c r="A542" s="1" t="s">
        <v>3779</v>
      </c>
      <c r="B542" s="1" t="s">
        <v>3780</v>
      </c>
      <c r="C542" s="1" t="s">
        <v>237</v>
      </c>
      <c r="D542" s="1" t="s">
        <v>3781</v>
      </c>
      <c r="E542" s="1" t="s">
        <v>3917</v>
      </c>
      <c r="F542" s="1" t="s">
        <v>3918</v>
      </c>
      <c r="G542" s="1" t="s">
        <v>4983</v>
      </c>
    </row>
    <row r="543" spans="1:7" x14ac:dyDescent="0.45">
      <c r="A543" s="1" t="s">
        <v>4512</v>
      </c>
      <c r="B543" s="1" t="s">
        <v>4513</v>
      </c>
      <c r="C543" s="1" t="s">
        <v>237</v>
      </c>
      <c r="D543" s="1" t="s">
        <v>4907</v>
      </c>
      <c r="E543" s="1" t="s">
        <v>3917</v>
      </c>
      <c r="F543" s="1" t="s">
        <v>3918</v>
      </c>
      <c r="G543" s="1" t="s">
        <v>4983</v>
      </c>
    </row>
    <row r="544" spans="1:7" x14ac:dyDescent="0.45">
      <c r="A544" s="1" t="s">
        <v>1020</v>
      </c>
      <c r="B544" s="1" t="s">
        <v>260</v>
      </c>
      <c r="C544" s="1" t="s">
        <v>237</v>
      </c>
      <c r="D544" s="1" t="s">
        <v>2492</v>
      </c>
      <c r="E544" s="1" t="s">
        <v>3917</v>
      </c>
      <c r="F544" s="1" t="s">
        <v>3918</v>
      </c>
      <c r="G544" s="1" t="s">
        <v>4983</v>
      </c>
    </row>
    <row r="545" spans="1:7" x14ac:dyDescent="0.45">
      <c r="A545" s="1" t="s">
        <v>4516</v>
      </c>
      <c r="B545" s="1" t="s">
        <v>4517</v>
      </c>
      <c r="C545" s="1" t="s">
        <v>237</v>
      </c>
      <c r="D545" s="1" t="s">
        <v>4909</v>
      </c>
      <c r="E545" s="1" t="s">
        <v>3917</v>
      </c>
      <c r="F545" s="1" t="s">
        <v>3918</v>
      </c>
      <c r="G545" s="1" t="s">
        <v>4983</v>
      </c>
    </row>
    <row r="546" spans="1:7" x14ac:dyDescent="0.45">
      <c r="A546" s="1" t="s">
        <v>1804</v>
      </c>
      <c r="B546" s="1" t="s">
        <v>1805</v>
      </c>
      <c r="C546" s="1" t="s">
        <v>237</v>
      </c>
      <c r="D546" s="1" t="s">
        <v>3095</v>
      </c>
      <c r="E546" s="1" t="s">
        <v>3917</v>
      </c>
      <c r="F546" s="1" t="s">
        <v>3918</v>
      </c>
      <c r="G546" s="1" t="s">
        <v>4983</v>
      </c>
    </row>
    <row r="547" spans="1:7" x14ac:dyDescent="0.45">
      <c r="A547" s="1" t="s">
        <v>1019</v>
      </c>
      <c r="B547" s="1" t="s">
        <v>1018</v>
      </c>
      <c r="C547" s="1" t="s">
        <v>237</v>
      </c>
      <c r="D547" s="1" t="s">
        <v>2493</v>
      </c>
      <c r="E547" s="1" t="s">
        <v>3917</v>
      </c>
      <c r="F547" s="1" t="s">
        <v>3918</v>
      </c>
      <c r="G547" s="1" t="s">
        <v>4983</v>
      </c>
    </row>
    <row r="548" spans="1:7" x14ac:dyDescent="0.45">
      <c r="A548" s="1" t="s">
        <v>3783</v>
      </c>
      <c r="B548" s="1" t="s">
        <v>3784</v>
      </c>
      <c r="C548" s="1" t="s">
        <v>237</v>
      </c>
      <c r="D548" s="1" t="s">
        <v>3785</v>
      </c>
      <c r="E548" s="1" t="s">
        <v>3917</v>
      </c>
      <c r="F548" s="1" t="s">
        <v>3918</v>
      </c>
      <c r="G548" s="1" t="s">
        <v>4983</v>
      </c>
    </row>
    <row r="549" spans="1:7" x14ac:dyDescent="0.45">
      <c r="A549" s="1" t="s">
        <v>404</v>
      </c>
      <c r="B549" s="1" t="s">
        <v>403</v>
      </c>
      <c r="C549" s="1" t="s">
        <v>237</v>
      </c>
      <c r="D549" s="1" t="s">
        <v>2494</v>
      </c>
      <c r="E549" s="1" t="s">
        <v>3917</v>
      </c>
      <c r="F549" s="1" t="s">
        <v>3918</v>
      </c>
      <c r="G549" s="1" t="s">
        <v>4983</v>
      </c>
    </row>
    <row r="550" spans="1:7" x14ac:dyDescent="0.45">
      <c r="A550" s="1" t="s">
        <v>1017</v>
      </c>
      <c r="B550" s="1" t="s">
        <v>1016</v>
      </c>
      <c r="C550" s="1" t="s">
        <v>237</v>
      </c>
      <c r="D550" s="1" t="s">
        <v>2495</v>
      </c>
      <c r="E550" s="1" t="s">
        <v>3917</v>
      </c>
      <c r="F550" s="1" t="s">
        <v>3918</v>
      </c>
      <c r="G550" s="1" t="s">
        <v>4983</v>
      </c>
    </row>
    <row r="551" spans="1:7" x14ac:dyDescent="0.45">
      <c r="A551" s="1" t="s">
        <v>1015</v>
      </c>
      <c r="B551" s="1" t="s">
        <v>1014</v>
      </c>
      <c r="C551" s="1" t="s">
        <v>237</v>
      </c>
      <c r="D551" s="1" t="s">
        <v>2496</v>
      </c>
      <c r="E551" s="1" t="s">
        <v>3917</v>
      </c>
      <c r="F551" s="1" t="s">
        <v>3918</v>
      </c>
      <c r="G551" s="1" t="s">
        <v>4983</v>
      </c>
    </row>
    <row r="552" spans="1:7" x14ac:dyDescent="0.45">
      <c r="A552" s="1" t="s">
        <v>394</v>
      </c>
      <c r="B552" s="1" t="s">
        <v>393</v>
      </c>
      <c r="C552" s="1" t="s">
        <v>237</v>
      </c>
      <c r="D552" s="1" t="s">
        <v>2497</v>
      </c>
      <c r="E552" s="1" t="s">
        <v>3917</v>
      </c>
      <c r="F552" s="1" t="s">
        <v>3918</v>
      </c>
      <c r="G552" s="1" t="s">
        <v>4983</v>
      </c>
    </row>
    <row r="553" spans="1:7" x14ac:dyDescent="0.45">
      <c r="A553" s="1" t="s">
        <v>1013</v>
      </c>
      <c r="B553" s="1" t="s">
        <v>1012</v>
      </c>
      <c r="C553" s="1" t="s">
        <v>237</v>
      </c>
      <c r="D553" s="1" t="s">
        <v>2498</v>
      </c>
      <c r="E553" s="1" t="s">
        <v>3917</v>
      </c>
      <c r="F553" s="1" t="s">
        <v>3918</v>
      </c>
      <c r="G553" s="1" t="s">
        <v>4983</v>
      </c>
    </row>
    <row r="554" spans="1:7" x14ac:dyDescent="0.45">
      <c r="A554" s="1" t="s">
        <v>1011</v>
      </c>
      <c r="B554" s="1" t="s">
        <v>1010</v>
      </c>
      <c r="C554" s="1" t="s">
        <v>237</v>
      </c>
      <c r="D554" s="1" t="s">
        <v>2499</v>
      </c>
      <c r="E554" s="1" t="s">
        <v>3917</v>
      </c>
      <c r="F554" s="1" t="s">
        <v>3918</v>
      </c>
      <c r="G554" s="1" t="s">
        <v>4983</v>
      </c>
    </row>
    <row r="555" spans="1:7" x14ac:dyDescent="0.45">
      <c r="A555" s="1" t="s">
        <v>1009</v>
      </c>
      <c r="B555" s="1" t="s">
        <v>1008</v>
      </c>
      <c r="C555" s="1" t="s">
        <v>237</v>
      </c>
      <c r="D555" s="1" t="s">
        <v>2500</v>
      </c>
      <c r="E555" s="1" t="s">
        <v>3917</v>
      </c>
      <c r="F555" s="1" t="s">
        <v>3918</v>
      </c>
      <c r="G555" s="1" t="s">
        <v>4983</v>
      </c>
    </row>
    <row r="556" spans="1:7" x14ac:dyDescent="0.45">
      <c r="A556" s="1" t="s">
        <v>4529</v>
      </c>
      <c r="B556" s="1" t="s">
        <v>3804</v>
      </c>
      <c r="C556" s="1" t="s">
        <v>237</v>
      </c>
      <c r="D556" s="1" t="s">
        <v>3805</v>
      </c>
      <c r="E556" s="1" t="s">
        <v>3917</v>
      </c>
      <c r="F556" s="1" t="s">
        <v>3918</v>
      </c>
      <c r="G556" s="1" t="s">
        <v>4983</v>
      </c>
    </row>
    <row r="557" spans="1:7" x14ac:dyDescent="0.45">
      <c r="A557" s="1" t="s">
        <v>1007</v>
      </c>
      <c r="B557" s="1" t="s">
        <v>1006</v>
      </c>
      <c r="C557" s="1" t="s">
        <v>237</v>
      </c>
      <c r="D557" s="1" t="s">
        <v>2501</v>
      </c>
      <c r="E557" s="1" t="s">
        <v>3917</v>
      </c>
      <c r="F557" s="1" t="s">
        <v>3918</v>
      </c>
      <c r="G557" s="1" t="s">
        <v>4983</v>
      </c>
    </row>
    <row r="558" spans="1:7" x14ac:dyDescent="0.45">
      <c r="A558" s="1" t="s">
        <v>1005</v>
      </c>
      <c r="B558" s="1" t="s">
        <v>1004</v>
      </c>
      <c r="C558" s="1" t="s">
        <v>237</v>
      </c>
      <c r="D558" s="1" t="s">
        <v>2502</v>
      </c>
      <c r="E558" s="1" t="s">
        <v>3917</v>
      </c>
      <c r="F558" s="1" t="s">
        <v>3918</v>
      </c>
      <c r="G558" s="1" t="s">
        <v>4983</v>
      </c>
    </row>
    <row r="559" spans="1:7" x14ac:dyDescent="0.45">
      <c r="A559" s="1" t="s">
        <v>1003</v>
      </c>
      <c r="B559" s="1" t="s">
        <v>1002</v>
      </c>
      <c r="C559" s="1" t="s">
        <v>237</v>
      </c>
      <c r="D559" s="1" t="s">
        <v>2503</v>
      </c>
      <c r="E559" s="1" t="s">
        <v>3917</v>
      </c>
      <c r="F559" s="1" t="s">
        <v>3918</v>
      </c>
      <c r="G559" s="1" t="s">
        <v>4983</v>
      </c>
    </row>
    <row r="560" spans="1:7" x14ac:dyDescent="0.45">
      <c r="A560" s="1" t="s">
        <v>1001</v>
      </c>
      <c r="B560" s="1" t="s">
        <v>1000</v>
      </c>
      <c r="C560" s="1" t="s">
        <v>237</v>
      </c>
      <c r="D560" s="1" t="s">
        <v>2504</v>
      </c>
      <c r="E560" s="1" t="s">
        <v>3917</v>
      </c>
      <c r="F560" s="1" t="s">
        <v>3918</v>
      </c>
      <c r="G560" s="1" t="s">
        <v>4983</v>
      </c>
    </row>
    <row r="561" spans="1:7" x14ac:dyDescent="0.45">
      <c r="A561" s="1" t="s">
        <v>389</v>
      </c>
      <c r="B561" s="1" t="s">
        <v>388</v>
      </c>
      <c r="C561" s="1" t="s">
        <v>237</v>
      </c>
      <c r="D561" s="1" t="s">
        <v>3108</v>
      </c>
      <c r="E561" s="1" t="s">
        <v>3917</v>
      </c>
      <c r="F561" s="1" t="s">
        <v>3918</v>
      </c>
      <c r="G561" s="1" t="s">
        <v>4983</v>
      </c>
    </row>
    <row r="562" spans="1:7" x14ac:dyDescent="0.45">
      <c r="A562" s="1" t="s">
        <v>999</v>
      </c>
      <c r="B562" s="1" t="s">
        <v>998</v>
      </c>
      <c r="C562" s="1" t="s">
        <v>237</v>
      </c>
      <c r="D562" s="1" t="s">
        <v>2505</v>
      </c>
      <c r="E562" s="1" t="s">
        <v>3917</v>
      </c>
      <c r="F562" s="1" t="s">
        <v>3918</v>
      </c>
      <c r="G562" s="1" t="s">
        <v>4983</v>
      </c>
    </row>
    <row r="563" spans="1:7" x14ac:dyDescent="0.45">
      <c r="A563" s="1" t="s">
        <v>997</v>
      </c>
      <c r="B563" s="1" t="s">
        <v>996</v>
      </c>
      <c r="C563" s="1" t="s">
        <v>237</v>
      </c>
      <c r="D563" s="1" t="s">
        <v>2506</v>
      </c>
      <c r="E563" s="1" t="s">
        <v>3917</v>
      </c>
      <c r="F563" s="1" t="s">
        <v>3918</v>
      </c>
      <c r="G563" s="1" t="s">
        <v>4983</v>
      </c>
    </row>
    <row r="564" spans="1:7" x14ac:dyDescent="0.45">
      <c r="A564" s="1" t="s">
        <v>7763</v>
      </c>
      <c r="B564" s="1" t="s">
        <v>7764</v>
      </c>
      <c r="C564" s="1" t="s">
        <v>237</v>
      </c>
      <c r="D564" s="1" t="s">
        <v>8349</v>
      </c>
      <c r="E564" s="1" t="s">
        <v>3919</v>
      </c>
      <c r="F564" s="1" t="s">
        <v>3918</v>
      </c>
      <c r="G564" s="1" t="s">
        <v>4983</v>
      </c>
    </row>
    <row r="565" spans="1:7" x14ac:dyDescent="0.45">
      <c r="A565" s="1" t="s">
        <v>1600</v>
      </c>
      <c r="B565" s="1" t="s">
        <v>1601</v>
      </c>
      <c r="C565" s="1" t="s">
        <v>237</v>
      </c>
      <c r="D565" s="1" t="s">
        <v>2507</v>
      </c>
      <c r="E565" s="1" t="s">
        <v>3917</v>
      </c>
      <c r="F565" s="1" t="s">
        <v>3918</v>
      </c>
      <c r="G565" s="1" t="s">
        <v>4983</v>
      </c>
    </row>
    <row r="566" spans="1:7" x14ac:dyDescent="0.45">
      <c r="A566" s="1" t="s">
        <v>995</v>
      </c>
      <c r="B566" s="1" t="s">
        <v>994</v>
      </c>
      <c r="C566" s="1" t="s">
        <v>237</v>
      </c>
      <c r="D566" s="1" t="s">
        <v>2508</v>
      </c>
      <c r="E566" s="1" t="s">
        <v>3917</v>
      </c>
      <c r="F566" s="1" t="s">
        <v>3918</v>
      </c>
      <c r="G566" s="1" t="s">
        <v>4983</v>
      </c>
    </row>
    <row r="567" spans="1:7" x14ac:dyDescent="0.45">
      <c r="A567" s="1" t="s">
        <v>4065</v>
      </c>
      <c r="B567" s="1" t="s">
        <v>4066</v>
      </c>
      <c r="C567" s="1" t="s">
        <v>237</v>
      </c>
      <c r="D567" s="1" t="s">
        <v>4700</v>
      </c>
      <c r="E567" s="1" t="s">
        <v>3917</v>
      </c>
      <c r="F567" s="1" t="s">
        <v>3918</v>
      </c>
      <c r="G567" s="1" t="s">
        <v>4983</v>
      </c>
    </row>
    <row r="568" spans="1:7" x14ac:dyDescent="0.45">
      <c r="A568" s="1" t="s">
        <v>993</v>
      </c>
      <c r="B568" s="1" t="s">
        <v>258</v>
      </c>
      <c r="C568" s="1" t="s">
        <v>237</v>
      </c>
      <c r="D568" s="1" t="s">
        <v>258</v>
      </c>
      <c r="E568" s="1" t="s">
        <v>3917</v>
      </c>
      <c r="F568" s="1" t="s">
        <v>3918</v>
      </c>
      <c r="G568" s="1" t="s">
        <v>4983</v>
      </c>
    </row>
    <row r="569" spans="1:7" x14ac:dyDescent="0.45">
      <c r="A569" s="1" t="s">
        <v>992</v>
      </c>
      <c r="B569" s="1" t="s">
        <v>991</v>
      </c>
      <c r="C569" s="1" t="s">
        <v>237</v>
      </c>
      <c r="D569" s="1" t="s">
        <v>2509</v>
      </c>
      <c r="E569" s="1" t="s">
        <v>3917</v>
      </c>
      <c r="F569" s="1" t="s">
        <v>3918</v>
      </c>
      <c r="G569" s="1" t="s">
        <v>4983</v>
      </c>
    </row>
    <row r="570" spans="1:7" x14ac:dyDescent="0.45">
      <c r="A570" s="1" t="s">
        <v>990</v>
      </c>
      <c r="B570" s="1" t="s">
        <v>989</v>
      </c>
      <c r="C570" s="1" t="s">
        <v>237</v>
      </c>
      <c r="D570" s="1" t="s">
        <v>2510</v>
      </c>
      <c r="E570" s="1" t="s">
        <v>3917</v>
      </c>
      <c r="F570" s="1" t="s">
        <v>3918</v>
      </c>
      <c r="G570" s="1" t="s">
        <v>4983</v>
      </c>
    </row>
    <row r="571" spans="1:7" x14ac:dyDescent="0.45">
      <c r="A571" s="1" t="s">
        <v>10030</v>
      </c>
      <c r="B571" s="1" t="s">
        <v>10031</v>
      </c>
      <c r="C571" s="1" t="s">
        <v>237</v>
      </c>
      <c r="D571" s="1" t="s">
        <v>11290</v>
      </c>
      <c r="E571" s="1" t="s">
        <v>3917</v>
      </c>
      <c r="F571" s="1" t="s">
        <v>3918</v>
      </c>
      <c r="G571" s="1" t="s">
        <v>4983</v>
      </c>
    </row>
    <row r="572" spans="1:7" x14ac:dyDescent="0.45">
      <c r="A572" s="1" t="s">
        <v>988</v>
      </c>
      <c r="B572" s="1" t="s">
        <v>987</v>
      </c>
      <c r="C572" s="1" t="s">
        <v>237</v>
      </c>
      <c r="D572" s="1" t="s">
        <v>2511</v>
      </c>
      <c r="E572" s="1" t="s">
        <v>3917</v>
      </c>
      <c r="F572" s="1" t="s">
        <v>3918</v>
      </c>
      <c r="G572" s="1" t="s">
        <v>4983</v>
      </c>
    </row>
    <row r="573" spans="1:7" x14ac:dyDescent="0.45">
      <c r="A573" s="1" t="s">
        <v>986</v>
      </c>
      <c r="B573" s="1" t="s">
        <v>985</v>
      </c>
      <c r="C573" s="1" t="s">
        <v>237</v>
      </c>
      <c r="D573" s="1" t="s">
        <v>2512</v>
      </c>
      <c r="E573" s="1" t="s">
        <v>3917</v>
      </c>
      <c r="F573" s="1" t="s">
        <v>3918</v>
      </c>
      <c r="G573" s="1" t="s">
        <v>4983</v>
      </c>
    </row>
    <row r="574" spans="1:7" x14ac:dyDescent="0.45">
      <c r="A574" s="1" t="s">
        <v>377</v>
      </c>
      <c r="B574" s="1" t="s">
        <v>376</v>
      </c>
      <c r="C574" s="1" t="s">
        <v>237</v>
      </c>
      <c r="D574" s="1" t="s">
        <v>3116</v>
      </c>
      <c r="E574" s="1" t="s">
        <v>3917</v>
      </c>
      <c r="F574" s="1" t="s">
        <v>3918</v>
      </c>
      <c r="G574" s="1" t="s">
        <v>4983</v>
      </c>
    </row>
    <row r="575" spans="1:7" x14ac:dyDescent="0.45">
      <c r="A575" s="1" t="s">
        <v>4555</v>
      </c>
      <c r="B575" s="1" t="s">
        <v>4556</v>
      </c>
      <c r="C575" s="1" t="s">
        <v>237</v>
      </c>
      <c r="D575" s="1" t="s">
        <v>4927</v>
      </c>
      <c r="E575" s="1" t="s">
        <v>3917</v>
      </c>
      <c r="F575" s="1" t="s">
        <v>3918</v>
      </c>
      <c r="G575" s="1" t="s">
        <v>4983</v>
      </c>
    </row>
    <row r="576" spans="1:7" x14ac:dyDescent="0.45">
      <c r="A576" s="1" t="s">
        <v>984</v>
      </c>
      <c r="B576" s="1" t="s">
        <v>983</v>
      </c>
      <c r="C576" s="1" t="s">
        <v>237</v>
      </c>
      <c r="D576" s="1" t="s">
        <v>2513</v>
      </c>
      <c r="E576" s="1" t="s">
        <v>3917</v>
      </c>
      <c r="F576" s="1" t="s">
        <v>3918</v>
      </c>
      <c r="G576" s="1" t="s">
        <v>4983</v>
      </c>
    </row>
    <row r="577" spans="1:7" x14ac:dyDescent="0.45">
      <c r="A577" s="1" t="s">
        <v>982</v>
      </c>
      <c r="B577" s="1" t="s">
        <v>981</v>
      </c>
      <c r="C577" s="1" t="s">
        <v>237</v>
      </c>
      <c r="D577" s="1" t="s">
        <v>2514</v>
      </c>
      <c r="E577" s="1" t="s">
        <v>3919</v>
      </c>
      <c r="F577" s="1" t="s">
        <v>3918</v>
      </c>
      <c r="G577" s="1" t="s">
        <v>4983</v>
      </c>
    </row>
    <row r="578" spans="1:7" x14ac:dyDescent="0.45">
      <c r="A578" s="1" t="s">
        <v>7803</v>
      </c>
      <c r="B578" s="1" t="s">
        <v>7804</v>
      </c>
      <c r="C578" s="1" t="s">
        <v>237</v>
      </c>
      <c r="D578" s="1" t="s">
        <v>8367</v>
      </c>
      <c r="E578" s="1" t="s">
        <v>3917</v>
      </c>
      <c r="F578" s="1" t="s">
        <v>3918</v>
      </c>
      <c r="G578" s="1" t="s">
        <v>4983</v>
      </c>
    </row>
    <row r="579" spans="1:7" x14ac:dyDescent="0.45">
      <c r="A579" s="1" t="s">
        <v>4067</v>
      </c>
      <c r="B579" s="1" t="s">
        <v>4068</v>
      </c>
      <c r="C579" s="1" t="s">
        <v>237</v>
      </c>
      <c r="D579" s="1" t="s">
        <v>4701</v>
      </c>
      <c r="E579" s="1" t="s">
        <v>3917</v>
      </c>
      <c r="F579" s="1" t="s">
        <v>3918</v>
      </c>
      <c r="G579" s="1" t="s">
        <v>4983</v>
      </c>
    </row>
    <row r="580" spans="1:7" x14ac:dyDescent="0.45">
      <c r="A580" s="1" t="s">
        <v>980</v>
      </c>
      <c r="B580" s="1" t="s">
        <v>979</v>
      </c>
      <c r="C580" s="1" t="s">
        <v>237</v>
      </c>
      <c r="D580" s="1" t="s">
        <v>2515</v>
      </c>
      <c r="E580" s="1" t="s">
        <v>3917</v>
      </c>
      <c r="F580" s="1" t="s">
        <v>3918</v>
      </c>
      <c r="G580" s="1" t="s">
        <v>4983</v>
      </c>
    </row>
    <row r="581" spans="1:7" x14ac:dyDescent="0.45">
      <c r="A581" s="1" t="s">
        <v>978</v>
      </c>
      <c r="B581" s="1" t="s">
        <v>977</v>
      </c>
      <c r="C581" s="1" t="s">
        <v>237</v>
      </c>
      <c r="D581" s="1" t="s">
        <v>2517</v>
      </c>
      <c r="E581" s="1" t="s">
        <v>3917</v>
      </c>
      <c r="F581" s="1" t="s">
        <v>3918</v>
      </c>
      <c r="G581" s="1" t="s">
        <v>4983</v>
      </c>
    </row>
    <row r="582" spans="1:7" x14ac:dyDescent="0.45">
      <c r="A582" s="1" t="s">
        <v>3409</v>
      </c>
      <c r="B582" s="1" t="s">
        <v>3410</v>
      </c>
      <c r="C582" s="1" t="s">
        <v>237</v>
      </c>
      <c r="D582" s="1" t="s">
        <v>3411</v>
      </c>
      <c r="E582" s="1" t="s">
        <v>3917</v>
      </c>
      <c r="F582" s="1" t="s">
        <v>3918</v>
      </c>
      <c r="G582" s="1" t="s">
        <v>4983</v>
      </c>
    </row>
    <row r="583" spans="1:7" x14ac:dyDescent="0.45">
      <c r="A583" s="1" t="s">
        <v>976</v>
      </c>
      <c r="B583" s="1" t="s">
        <v>975</v>
      </c>
      <c r="C583" s="1" t="s">
        <v>237</v>
      </c>
      <c r="D583" s="1" t="s">
        <v>2518</v>
      </c>
      <c r="E583" s="1" t="s">
        <v>3917</v>
      </c>
      <c r="F583" s="1" t="s">
        <v>3918</v>
      </c>
      <c r="G583" s="1" t="s">
        <v>4983</v>
      </c>
    </row>
    <row r="584" spans="1:7" x14ac:dyDescent="0.45">
      <c r="A584" s="1" t="s">
        <v>974</v>
      </c>
      <c r="B584" s="1" t="s">
        <v>973</v>
      </c>
      <c r="C584" s="1" t="s">
        <v>237</v>
      </c>
      <c r="D584" s="1" t="s">
        <v>2522</v>
      </c>
      <c r="E584" s="1" t="s">
        <v>3917</v>
      </c>
      <c r="F584" s="1" t="s">
        <v>3918</v>
      </c>
      <c r="G584" s="1" t="s">
        <v>4983</v>
      </c>
    </row>
    <row r="585" spans="1:7" x14ac:dyDescent="0.45">
      <c r="A585" s="1" t="s">
        <v>3123</v>
      </c>
      <c r="B585" s="1" t="s">
        <v>3124</v>
      </c>
      <c r="C585" s="1" t="s">
        <v>237</v>
      </c>
      <c r="D585" s="1" t="s">
        <v>3125</v>
      </c>
      <c r="E585" s="1" t="s">
        <v>3917</v>
      </c>
      <c r="F585" s="1" t="s">
        <v>3918</v>
      </c>
      <c r="G585" s="1" t="s">
        <v>4983</v>
      </c>
    </row>
    <row r="586" spans="1:7" x14ac:dyDescent="0.45">
      <c r="A586" s="1" t="s">
        <v>3375</v>
      </c>
      <c r="B586" s="1" t="s">
        <v>3376</v>
      </c>
      <c r="C586" s="1" t="s">
        <v>237</v>
      </c>
      <c r="D586" s="1" t="s">
        <v>3377</v>
      </c>
      <c r="E586" s="1" t="s">
        <v>3917</v>
      </c>
      <c r="F586" s="1" t="s">
        <v>3918</v>
      </c>
      <c r="G586" s="1" t="s">
        <v>4983</v>
      </c>
    </row>
    <row r="587" spans="1:7" x14ac:dyDescent="0.45">
      <c r="A587" s="1" t="s">
        <v>972</v>
      </c>
      <c r="B587" s="1" t="s">
        <v>971</v>
      </c>
      <c r="C587" s="1" t="s">
        <v>237</v>
      </c>
      <c r="D587" s="1" t="s">
        <v>2523</v>
      </c>
      <c r="E587" s="1" t="s">
        <v>3917</v>
      </c>
      <c r="F587" s="1" t="s">
        <v>3918</v>
      </c>
      <c r="G587" s="1" t="s">
        <v>4983</v>
      </c>
    </row>
    <row r="588" spans="1:7" x14ac:dyDescent="0.45">
      <c r="A588" s="1" t="s">
        <v>970</v>
      </c>
      <c r="B588" s="1" t="s">
        <v>969</v>
      </c>
      <c r="C588" s="1" t="s">
        <v>237</v>
      </c>
      <c r="D588" s="1" t="s">
        <v>2524</v>
      </c>
      <c r="E588" s="1" t="s">
        <v>3917</v>
      </c>
      <c r="F588" s="1" t="s">
        <v>3918</v>
      </c>
      <c r="G588" s="1" t="s">
        <v>4983</v>
      </c>
    </row>
    <row r="589" spans="1:7" x14ac:dyDescent="0.45">
      <c r="A589" s="1" t="s">
        <v>968</v>
      </c>
      <c r="B589" s="1" t="s">
        <v>967</v>
      </c>
      <c r="C589" s="1" t="s">
        <v>237</v>
      </c>
      <c r="D589" s="1" t="s">
        <v>2525</v>
      </c>
      <c r="E589" s="1" t="s">
        <v>3917</v>
      </c>
      <c r="F589" s="1" t="s">
        <v>3918</v>
      </c>
      <c r="G589" s="1" t="s">
        <v>4983</v>
      </c>
    </row>
    <row r="590" spans="1:7" x14ac:dyDescent="0.45">
      <c r="A590" s="1" t="s">
        <v>966</v>
      </c>
      <c r="B590" s="1" t="s">
        <v>965</v>
      </c>
      <c r="C590" s="1" t="s">
        <v>237</v>
      </c>
      <c r="D590" s="1" t="s">
        <v>2526</v>
      </c>
      <c r="E590" s="1" t="s">
        <v>3917</v>
      </c>
      <c r="F590" s="1" t="s">
        <v>3918</v>
      </c>
      <c r="G590" s="1" t="s">
        <v>4983</v>
      </c>
    </row>
    <row r="591" spans="1:7" x14ac:dyDescent="0.45">
      <c r="A591" s="1" t="s">
        <v>964</v>
      </c>
      <c r="B591" s="1" t="s">
        <v>963</v>
      </c>
      <c r="C591" s="1" t="s">
        <v>237</v>
      </c>
      <c r="D591" s="1" t="s">
        <v>2527</v>
      </c>
      <c r="E591" s="1" t="s">
        <v>3917</v>
      </c>
      <c r="F591" s="1" t="s">
        <v>3918</v>
      </c>
      <c r="G591" s="1" t="s">
        <v>4983</v>
      </c>
    </row>
    <row r="592" spans="1:7" x14ac:dyDescent="0.45">
      <c r="A592" s="1" t="s">
        <v>962</v>
      </c>
      <c r="B592" s="1" t="s">
        <v>961</v>
      </c>
      <c r="C592" s="1" t="s">
        <v>237</v>
      </c>
      <c r="D592" s="1" t="s">
        <v>2528</v>
      </c>
      <c r="E592" s="1" t="s">
        <v>3917</v>
      </c>
      <c r="F592" s="1" t="s">
        <v>3918</v>
      </c>
      <c r="G592" s="1" t="s">
        <v>4983</v>
      </c>
    </row>
    <row r="593" spans="1:7" x14ac:dyDescent="0.45">
      <c r="A593" s="1" t="s">
        <v>3133</v>
      </c>
      <c r="B593" s="1" t="s">
        <v>3134</v>
      </c>
      <c r="C593" s="1" t="s">
        <v>237</v>
      </c>
      <c r="D593" s="1" t="s">
        <v>3135</v>
      </c>
      <c r="E593" s="1" t="s">
        <v>3917</v>
      </c>
      <c r="F593" s="1" t="s">
        <v>3918</v>
      </c>
      <c r="G593" s="1" t="s">
        <v>4983</v>
      </c>
    </row>
    <row r="594" spans="1:7" x14ac:dyDescent="0.45">
      <c r="A594" s="1" t="s">
        <v>960</v>
      </c>
      <c r="B594" s="1" t="s">
        <v>959</v>
      </c>
      <c r="C594" s="1" t="s">
        <v>237</v>
      </c>
      <c r="D594" s="1" t="s">
        <v>2529</v>
      </c>
      <c r="E594" s="1" t="s">
        <v>3917</v>
      </c>
      <c r="F594" s="1" t="s">
        <v>3918</v>
      </c>
      <c r="G594" s="1" t="s">
        <v>4983</v>
      </c>
    </row>
    <row r="595" spans="1:7" x14ac:dyDescent="0.45">
      <c r="A595" s="1" t="s">
        <v>958</v>
      </c>
      <c r="B595" s="1" t="s">
        <v>957</v>
      </c>
      <c r="C595" s="1" t="s">
        <v>237</v>
      </c>
      <c r="D595" s="1" t="s">
        <v>2530</v>
      </c>
      <c r="E595" s="1" t="s">
        <v>3917</v>
      </c>
      <c r="F595" s="1" t="s">
        <v>3918</v>
      </c>
      <c r="G595" s="1" t="s">
        <v>4983</v>
      </c>
    </row>
    <row r="596" spans="1:7" x14ac:dyDescent="0.45">
      <c r="A596" s="1" t="s">
        <v>956</v>
      </c>
      <c r="B596" s="1" t="s">
        <v>4069</v>
      </c>
      <c r="C596" s="1" t="s">
        <v>237</v>
      </c>
      <c r="D596" s="1" t="s">
        <v>2531</v>
      </c>
      <c r="E596" s="1" t="s">
        <v>3917</v>
      </c>
      <c r="F596" s="1" t="s">
        <v>3918</v>
      </c>
      <c r="G596" s="1" t="s">
        <v>4983</v>
      </c>
    </row>
    <row r="597" spans="1:7" x14ac:dyDescent="0.45">
      <c r="A597" s="1" t="s">
        <v>1602</v>
      </c>
      <c r="B597" s="1" t="s">
        <v>1603</v>
      </c>
      <c r="C597" s="1" t="s">
        <v>237</v>
      </c>
      <c r="D597" s="1" t="s">
        <v>2532</v>
      </c>
      <c r="E597" s="1" t="s">
        <v>3917</v>
      </c>
      <c r="F597" s="1" t="s">
        <v>3918</v>
      </c>
      <c r="G597" s="1" t="s">
        <v>4983</v>
      </c>
    </row>
    <row r="598" spans="1:7" x14ac:dyDescent="0.45">
      <c r="A598" s="1" t="s">
        <v>7823</v>
      </c>
      <c r="B598" s="1" t="s">
        <v>7824</v>
      </c>
      <c r="C598" s="1" t="s">
        <v>237</v>
      </c>
      <c r="D598" s="1" t="s">
        <v>8374</v>
      </c>
      <c r="E598" s="1" t="s">
        <v>3917</v>
      </c>
      <c r="F598" s="1" t="s">
        <v>3918</v>
      </c>
      <c r="G598" s="1" t="s">
        <v>4983</v>
      </c>
    </row>
    <row r="599" spans="1:7" x14ac:dyDescent="0.45">
      <c r="A599" s="1" t="s">
        <v>4070</v>
      </c>
      <c r="B599" s="1" t="s">
        <v>4071</v>
      </c>
      <c r="C599" s="1" t="s">
        <v>237</v>
      </c>
      <c r="D599" s="1" t="s">
        <v>4702</v>
      </c>
      <c r="E599" s="1" t="s">
        <v>3917</v>
      </c>
      <c r="F599" s="1" t="s">
        <v>3918</v>
      </c>
      <c r="G599" s="1" t="s">
        <v>4983</v>
      </c>
    </row>
    <row r="600" spans="1:7" x14ac:dyDescent="0.45">
      <c r="A600" s="1" t="s">
        <v>955</v>
      </c>
      <c r="B600" s="1" t="s">
        <v>954</v>
      </c>
      <c r="C600" s="1" t="s">
        <v>237</v>
      </c>
      <c r="D600" s="1" t="s">
        <v>2533</v>
      </c>
      <c r="E600" s="1" t="s">
        <v>3917</v>
      </c>
      <c r="F600" s="1" t="s">
        <v>3918</v>
      </c>
      <c r="G600" s="1" t="s">
        <v>4983</v>
      </c>
    </row>
    <row r="601" spans="1:7" x14ac:dyDescent="0.45">
      <c r="A601" s="1" t="s">
        <v>3138</v>
      </c>
      <c r="B601" s="1" t="s">
        <v>3139</v>
      </c>
      <c r="C601" s="1" t="s">
        <v>237</v>
      </c>
      <c r="D601" s="1" t="s">
        <v>3850</v>
      </c>
      <c r="E601" s="1" t="s">
        <v>3919</v>
      </c>
      <c r="F601" s="1" t="s">
        <v>3918</v>
      </c>
      <c r="G601" s="1" t="s">
        <v>4983</v>
      </c>
    </row>
    <row r="602" spans="1:7" x14ac:dyDescent="0.45">
      <c r="A602" s="1" t="s">
        <v>352</v>
      </c>
      <c r="B602" s="1" t="s">
        <v>351</v>
      </c>
      <c r="C602" s="1" t="s">
        <v>237</v>
      </c>
      <c r="D602" s="1" t="s">
        <v>2534</v>
      </c>
      <c r="E602" s="1" t="s">
        <v>3917</v>
      </c>
      <c r="F602" s="1" t="s">
        <v>3918</v>
      </c>
      <c r="G602" s="1" t="s">
        <v>4983</v>
      </c>
    </row>
    <row r="603" spans="1:7" x14ac:dyDescent="0.45">
      <c r="A603" s="1" t="s">
        <v>953</v>
      </c>
      <c r="B603" s="1" t="s">
        <v>952</v>
      </c>
      <c r="C603" s="1" t="s">
        <v>237</v>
      </c>
      <c r="D603" s="1" t="s">
        <v>2535</v>
      </c>
      <c r="E603" s="1" t="s">
        <v>3917</v>
      </c>
      <c r="F603" s="1" t="s">
        <v>3918</v>
      </c>
      <c r="G603" s="1" t="s">
        <v>4983</v>
      </c>
    </row>
    <row r="604" spans="1:7" x14ac:dyDescent="0.45">
      <c r="A604" s="1" t="s">
        <v>1559</v>
      </c>
      <c r="B604" s="1" t="s">
        <v>951</v>
      </c>
      <c r="C604" s="1" t="s">
        <v>237</v>
      </c>
      <c r="D604" s="1" t="s">
        <v>2536</v>
      </c>
      <c r="E604" s="1" t="s">
        <v>3917</v>
      </c>
      <c r="F604" s="1" t="s">
        <v>3918</v>
      </c>
      <c r="G604" s="1" t="s">
        <v>4983</v>
      </c>
    </row>
    <row r="605" spans="1:7" x14ac:dyDescent="0.45">
      <c r="A605" s="1" t="s">
        <v>2537</v>
      </c>
      <c r="B605" s="1" t="s">
        <v>242</v>
      </c>
      <c r="C605" s="1" t="s">
        <v>237</v>
      </c>
      <c r="D605" s="1" t="s">
        <v>2538</v>
      </c>
      <c r="E605" s="1" t="s">
        <v>3917</v>
      </c>
      <c r="F605" s="1" t="s">
        <v>3918</v>
      </c>
      <c r="G605" s="1" t="s">
        <v>4983</v>
      </c>
    </row>
    <row r="606" spans="1:7" x14ac:dyDescent="0.45">
      <c r="A606" s="1" t="s">
        <v>950</v>
      </c>
      <c r="B606" s="1" t="s">
        <v>949</v>
      </c>
      <c r="C606" s="1" t="s">
        <v>237</v>
      </c>
      <c r="D606" s="1" t="s">
        <v>2539</v>
      </c>
      <c r="E606" s="1" t="s">
        <v>3917</v>
      </c>
      <c r="F606" s="1" t="s">
        <v>3918</v>
      </c>
      <c r="G606" s="1" t="s">
        <v>4983</v>
      </c>
    </row>
    <row r="607" spans="1:7" x14ac:dyDescent="0.45">
      <c r="A607" s="1" t="s">
        <v>948</v>
      </c>
      <c r="B607" s="1" t="s">
        <v>947</v>
      </c>
      <c r="C607" s="1" t="s">
        <v>237</v>
      </c>
      <c r="D607" s="1" t="s">
        <v>2540</v>
      </c>
      <c r="E607" s="1" t="s">
        <v>3917</v>
      </c>
      <c r="F607" s="1" t="s">
        <v>3918</v>
      </c>
      <c r="G607" s="1" t="s">
        <v>4983</v>
      </c>
    </row>
    <row r="608" spans="1:7" x14ac:dyDescent="0.45">
      <c r="A608" s="1" t="s">
        <v>344</v>
      </c>
      <c r="B608" s="1" t="s">
        <v>343</v>
      </c>
      <c r="C608" s="1" t="s">
        <v>237</v>
      </c>
      <c r="D608" s="1" t="s">
        <v>2541</v>
      </c>
      <c r="E608" s="1" t="s">
        <v>3917</v>
      </c>
      <c r="F608" s="1" t="s">
        <v>3918</v>
      </c>
      <c r="G608" s="1" t="s">
        <v>4983</v>
      </c>
    </row>
    <row r="609" spans="1:7" x14ac:dyDescent="0.45">
      <c r="A609" s="1" t="s">
        <v>1828</v>
      </c>
      <c r="B609" s="1" t="s">
        <v>340</v>
      </c>
      <c r="C609" s="1" t="s">
        <v>237</v>
      </c>
      <c r="D609" s="1" t="s">
        <v>2542</v>
      </c>
      <c r="E609" s="1" t="s">
        <v>3917</v>
      </c>
      <c r="F609" s="1" t="s">
        <v>3918</v>
      </c>
      <c r="G609" s="1" t="s">
        <v>4983</v>
      </c>
    </row>
    <row r="610" spans="1:7" x14ac:dyDescent="0.45">
      <c r="A610" s="1" t="s">
        <v>339</v>
      </c>
      <c r="B610" s="1" t="s">
        <v>338</v>
      </c>
      <c r="C610" s="1" t="s">
        <v>237</v>
      </c>
      <c r="D610" s="1" t="s">
        <v>3160</v>
      </c>
      <c r="E610" s="1" t="s">
        <v>3917</v>
      </c>
      <c r="F610" s="1" t="s">
        <v>3918</v>
      </c>
      <c r="G610" s="1" t="s">
        <v>4983</v>
      </c>
    </row>
    <row r="611" spans="1:7" x14ac:dyDescent="0.45">
      <c r="A611" s="1" t="s">
        <v>335</v>
      </c>
      <c r="B611" s="1" t="s">
        <v>334</v>
      </c>
      <c r="C611" s="1" t="s">
        <v>237</v>
      </c>
      <c r="D611" s="1" t="s">
        <v>2543</v>
      </c>
      <c r="E611" s="1" t="s">
        <v>3917</v>
      </c>
      <c r="F611" s="1" t="s">
        <v>3918</v>
      </c>
      <c r="G611" s="1" t="s">
        <v>4983</v>
      </c>
    </row>
    <row r="612" spans="1:7" x14ac:dyDescent="0.45">
      <c r="A612" s="1" t="s">
        <v>6911</v>
      </c>
      <c r="B612" s="1" t="s">
        <v>6912</v>
      </c>
      <c r="C612" s="1" t="s">
        <v>237</v>
      </c>
      <c r="D612" s="1" t="s">
        <v>7969</v>
      </c>
      <c r="E612" s="1" t="s">
        <v>3917</v>
      </c>
      <c r="F612" s="1" t="s">
        <v>3918</v>
      </c>
      <c r="G612" s="1" t="s">
        <v>4983</v>
      </c>
    </row>
    <row r="613" spans="1:7" x14ac:dyDescent="0.45">
      <c r="A613" s="1" t="s">
        <v>946</v>
      </c>
      <c r="B613" s="1" t="s">
        <v>945</v>
      </c>
      <c r="C613" s="1" t="s">
        <v>237</v>
      </c>
      <c r="D613" s="1" t="s">
        <v>2544</v>
      </c>
      <c r="E613" s="1" t="s">
        <v>3917</v>
      </c>
      <c r="F613" s="1" t="s">
        <v>3918</v>
      </c>
      <c r="G613" s="1" t="s">
        <v>4983</v>
      </c>
    </row>
    <row r="614" spans="1:7" x14ac:dyDescent="0.45">
      <c r="A614" s="1" t="s">
        <v>944</v>
      </c>
      <c r="B614" s="1" t="s">
        <v>943</v>
      </c>
      <c r="C614" s="1" t="s">
        <v>237</v>
      </c>
      <c r="D614" s="1" t="s">
        <v>2545</v>
      </c>
      <c r="E614" s="1" t="s">
        <v>3917</v>
      </c>
      <c r="F614" s="1" t="s">
        <v>3918</v>
      </c>
      <c r="G614" s="1" t="s">
        <v>4983</v>
      </c>
    </row>
    <row r="615" spans="1:7" x14ac:dyDescent="0.45">
      <c r="A615" s="1" t="s">
        <v>333</v>
      </c>
      <c r="B615" s="1" t="s">
        <v>332</v>
      </c>
      <c r="C615" s="1" t="s">
        <v>237</v>
      </c>
      <c r="D615" s="1" t="s">
        <v>2546</v>
      </c>
      <c r="E615" s="1" t="s">
        <v>3917</v>
      </c>
      <c r="F615" s="1" t="s">
        <v>3918</v>
      </c>
      <c r="G615" s="1" t="s">
        <v>4983</v>
      </c>
    </row>
    <row r="616" spans="1:7" x14ac:dyDescent="0.45">
      <c r="A616" s="1" t="s">
        <v>942</v>
      </c>
      <c r="B616" s="1" t="s">
        <v>941</v>
      </c>
      <c r="C616" s="1" t="s">
        <v>237</v>
      </c>
      <c r="D616" s="1" t="s">
        <v>2547</v>
      </c>
      <c r="E616" s="1" t="s">
        <v>3917</v>
      </c>
      <c r="F616" s="1" t="s">
        <v>3918</v>
      </c>
      <c r="G616" s="1" t="s">
        <v>4983</v>
      </c>
    </row>
    <row r="617" spans="1:7" x14ac:dyDescent="0.45">
      <c r="A617" s="1" t="s">
        <v>1832</v>
      </c>
      <c r="B617" s="1" t="s">
        <v>1833</v>
      </c>
      <c r="C617" s="1" t="s">
        <v>237</v>
      </c>
      <c r="D617" s="1" t="s">
        <v>2548</v>
      </c>
      <c r="E617" s="1" t="s">
        <v>3917</v>
      </c>
      <c r="F617" s="1" t="s">
        <v>3918</v>
      </c>
      <c r="G617" s="1" t="s">
        <v>4983</v>
      </c>
    </row>
    <row r="618" spans="1:7" x14ac:dyDescent="0.45">
      <c r="A618" s="1" t="s">
        <v>6913</v>
      </c>
      <c r="B618" s="1" t="s">
        <v>6914</v>
      </c>
      <c r="C618" s="1" t="s">
        <v>237</v>
      </c>
      <c r="D618" s="1" t="s">
        <v>7970</v>
      </c>
      <c r="E618" s="1" t="s">
        <v>3917</v>
      </c>
      <c r="F618" s="1" t="s">
        <v>3918</v>
      </c>
      <c r="G618" s="1" t="s">
        <v>4983</v>
      </c>
    </row>
    <row r="619" spans="1:7" x14ac:dyDescent="0.45">
      <c r="A619" s="1" t="s">
        <v>940</v>
      </c>
      <c r="B619" s="1" t="s">
        <v>939</v>
      </c>
      <c r="C619" s="1" t="s">
        <v>237</v>
      </c>
      <c r="D619" s="1" t="s">
        <v>2549</v>
      </c>
      <c r="E619" s="1" t="s">
        <v>3917</v>
      </c>
      <c r="F619" s="1" t="s">
        <v>3918</v>
      </c>
      <c r="G619" s="1" t="s">
        <v>4983</v>
      </c>
    </row>
    <row r="620" spans="1:7" x14ac:dyDescent="0.45">
      <c r="A620" s="1" t="s">
        <v>938</v>
      </c>
      <c r="B620" s="1" t="s">
        <v>937</v>
      </c>
      <c r="C620" s="1" t="s">
        <v>237</v>
      </c>
      <c r="D620" s="1" t="s">
        <v>2550</v>
      </c>
      <c r="E620" s="1" t="s">
        <v>3917</v>
      </c>
      <c r="F620" s="1" t="s">
        <v>3918</v>
      </c>
      <c r="G620" s="1" t="s">
        <v>4983</v>
      </c>
    </row>
    <row r="621" spans="1:7" x14ac:dyDescent="0.45">
      <c r="A621" s="1" t="s">
        <v>936</v>
      </c>
      <c r="B621" s="1" t="s">
        <v>935</v>
      </c>
      <c r="C621" s="1" t="s">
        <v>237</v>
      </c>
      <c r="D621" s="1" t="s">
        <v>2551</v>
      </c>
      <c r="E621" s="1" t="s">
        <v>3917</v>
      </c>
      <c r="F621" s="1" t="s">
        <v>3918</v>
      </c>
      <c r="G621" s="1" t="s">
        <v>4983</v>
      </c>
    </row>
    <row r="622" spans="1:7" x14ac:dyDescent="0.45">
      <c r="A622" s="1" t="s">
        <v>934</v>
      </c>
      <c r="B622" s="1" t="s">
        <v>277</v>
      </c>
      <c r="C622" s="1" t="s">
        <v>237</v>
      </c>
      <c r="D622" s="1" t="s">
        <v>2552</v>
      </c>
      <c r="E622" s="1" t="s">
        <v>3917</v>
      </c>
      <c r="F622" s="1" t="s">
        <v>3918</v>
      </c>
      <c r="G622" s="1" t="s">
        <v>4983</v>
      </c>
    </row>
    <row r="623" spans="1:7" x14ac:dyDescent="0.45">
      <c r="A623" s="1" t="s">
        <v>933</v>
      </c>
      <c r="B623" s="1" t="s">
        <v>932</v>
      </c>
      <c r="C623" s="1" t="s">
        <v>237</v>
      </c>
      <c r="D623" s="1" t="s">
        <v>2553</v>
      </c>
      <c r="E623" s="1" t="s">
        <v>3917</v>
      </c>
      <c r="F623" s="1" t="s">
        <v>3918</v>
      </c>
      <c r="G623" s="1" t="s">
        <v>4983</v>
      </c>
    </row>
    <row r="624" spans="1:7" x14ac:dyDescent="0.45">
      <c r="A624" s="1" t="s">
        <v>931</v>
      </c>
      <c r="B624" s="1" t="s">
        <v>930</v>
      </c>
      <c r="C624" s="1" t="s">
        <v>237</v>
      </c>
      <c r="D624" s="1" t="s">
        <v>2554</v>
      </c>
      <c r="E624" s="1" t="s">
        <v>3917</v>
      </c>
      <c r="F624" s="1" t="s">
        <v>3918</v>
      </c>
      <c r="G624" s="1" t="s">
        <v>4983</v>
      </c>
    </row>
    <row r="625" spans="1:7" x14ac:dyDescent="0.45">
      <c r="A625" s="1" t="s">
        <v>327</v>
      </c>
      <c r="B625" s="1" t="s">
        <v>326</v>
      </c>
      <c r="C625" s="1" t="s">
        <v>237</v>
      </c>
      <c r="D625" s="1" t="s">
        <v>2555</v>
      </c>
      <c r="E625" s="1" t="s">
        <v>3917</v>
      </c>
      <c r="F625" s="1" t="s">
        <v>3918</v>
      </c>
      <c r="G625" s="1" t="s">
        <v>4983</v>
      </c>
    </row>
    <row r="626" spans="1:7" x14ac:dyDescent="0.45">
      <c r="A626" s="1" t="s">
        <v>10032</v>
      </c>
      <c r="B626" s="1" t="s">
        <v>10033</v>
      </c>
      <c r="C626" s="1" t="s">
        <v>237</v>
      </c>
      <c r="D626" s="1" t="s">
        <v>11291</v>
      </c>
      <c r="E626" s="1" t="s">
        <v>3917</v>
      </c>
      <c r="F626" s="1" t="s">
        <v>3918</v>
      </c>
      <c r="G626" s="1" t="s">
        <v>4983</v>
      </c>
    </row>
    <row r="627" spans="1:7" x14ac:dyDescent="0.45">
      <c r="A627" s="1" t="s">
        <v>325</v>
      </c>
      <c r="B627" s="1" t="s">
        <v>324</v>
      </c>
      <c r="C627" s="1" t="s">
        <v>237</v>
      </c>
      <c r="D627" s="1" t="s">
        <v>2556</v>
      </c>
      <c r="E627" s="1" t="s">
        <v>3917</v>
      </c>
      <c r="F627" s="1" t="s">
        <v>3918</v>
      </c>
      <c r="G627" s="1" t="s">
        <v>4983</v>
      </c>
    </row>
    <row r="628" spans="1:7" x14ac:dyDescent="0.45">
      <c r="A628" s="1" t="s">
        <v>927</v>
      </c>
      <c r="B628" s="1" t="s">
        <v>926</v>
      </c>
      <c r="C628" s="1" t="s">
        <v>237</v>
      </c>
      <c r="D628" s="1" t="s">
        <v>2558</v>
      </c>
      <c r="E628" s="1" t="s">
        <v>3917</v>
      </c>
      <c r="F628" s="1" t="s">
        <v>3918</v>
      </c>
      <c r="G628" s="1" t="s">
        <v>4983</v>
      </c>
    </row>
    <row r="629" spans="1:7" x14ac:dyDescent="0.45">
      <c r="A629" s="1" t="s">
        <v>925</v>
      </c>
      <c r="B629" s="1" t="s">
        <v>924</v>
      </c>
      <c r="C629" s="1" t="s">
        <v>237</v>
      </c>
      <c r="D629" s="1" t="s">
        <v>2559</v>
      </c>
      <c r="E629" s="1" t="s">
        <v>3917</v>
      </c>
      <c r="F629" s="1" t="s">
        <v>3918</v>
      </c>
      <c r="G629" s="1" t="s">
        <v>4983</v>
      </c>
    </row>
    <row r="630" spans="1:7" x14ac:dyDescent="0.45">
      <c r="A630" s="1" t="s">
        <v>2560</v>
      </c>
      <c r="B630" s="1" t="s">
        <v>2561</v>
      </c>
      <c r="C630" s="1" t="s">
        <v>237</v>
      </c>
      <c r="D630" s="1" t="s">
        <v>2562</v>
      </c>
      <c r="E630" s="1" t="s">
        <v>3917</v>
      </c>
      <c r="F630" s="1" t="s">
        <v>3918</v>
      </c>
      <c r="G630" s="1" t="s">
        <v>4983</v>
      </c>
    </row>
    <row r="631" spans="1:7" x14ac:dyDescent="0.45">
      <c r="A631" s="1" t="s">
        <v>3412</v>
      </c>
      <c r="B631" s="1" t="s">
        <v>3413</v>
      </c>
      <c r="C631" s="1" t="s">
        <v>237</v>
      </c>
      <c r="D631" s="1" t="s">
        <v>3414</v>
      </c>
      <c r="E631" s="1" t="s">
        <v>3917</v>
      </c>
      <c r="F631" s="1" t="s">
        <v>3918</v>
      </c>
      <c r="G631" s="1" t="s">
        <v>4983</v>
      </c>
    </row>
    <row r="632" spans="1:7" x14ac:dyDescent="0.45">
      <c r="A632" s="1" t="s">
        <v>923</v>
      </c>
      <c r="B632" s="1" t="s">
        <v>922</v>
      </c>
      <c r="C632" s="1" t="s">
        <v>237</v>
      </c>
      <c r="D632" s="1" t="s">
        <v>2563</v>
      </c>
      <c r="E632" s="1" t="s">
        <v>3917</v>
      </c>
      <c r="F632" s="1" t="s">
        <v>3918</v>
      </c>
      <c r="G632" s="1" t="s">
        <v>4983</v>
      </c>
    </row>
    <row r="633" spans="1:7" x14ac:dyDescent="0.45">
      <c r="A633" s="1" t="s">
        <v>319</v>
      </c>
      <c r="B633" s="1" t="s">
        <v>318</v>
      </c>
      <c r="C633" s="1" t="s">
        <v>237</v>
      </c>
      <c r="D633" s="1" t="s">
        <v>2564</v>
      </c>
      <c r="E633" s="1" t="s">
        <v>3917</v>
      </c>
      <c r="F633" s="1" t="s">
        <v>3918</v>
      </c>
      <c r="G633" s="1" t="s">
        <v>4983</v>
      </c>
    </row>
    <row r="634" spans="1:7" x14ac:dyDescent="0.45">
      <c r="A634" s="1" t="s">
        <v>1836</v>
      </c>
      <c r="B634" s="1" t="s">
        <v>1837</v>
      </c>
      <c r="C634" s="1" t="s">
        <v>237</v>
      </c>
      <c r="D634" s="1" t="s">
        <v>2565</v>
      </c>
      <c r="E634" s="1" t="s">
        <v>3917</v>
      </c>
      <c r="F634" s="1" t="s">
        <v>3918</v>
      </c>
      <c r="G634" s="1" t="s">
        <v>4983</v>
      </c>
    </row>
    <row r="635" spans="1:7" x14ac:dyDescent="0.45">
      <c r="A635" s="1" t="s">
        <v>3885</v>
      </c>
      <c r="B635" s="1" t="s">
        <v>3886</v>
      </c>
      <c r="C635" s="1" t="s">
        <v>237</v>
      </c>
      <c r="D635" s="1" t="s">
        <v>3887</v>
      </c>
      <c r="E635" s="1" t="s">
        <v>3917</v>
      </c>
      <c r="F635" s="1" t="s">
        <v>3918</v>
      </c>
      <c r="G635" s="1" t="s">
        <v>4983</v>
      </c>
    </row>
    <row r="636" spans="1:7" x14ac:dyDescent="0.45">
      <c r="A636" s="1" t="s">
        <v>921</v>
      </c>
      <c r="B636" s="1" t="s">
        <v>920</v>
      </c>
      <c r="C636" s="1" t="s">
        <v>237</v>
      </c>
      <c r="D636" s="1" t="s">
        <v>2566</v>
      </c>
      <c r="E636" s="1" t="s">
        <v>3917</v>
      </c>
      <c r="F636" s="1" t="s">
        <v>3918</v>
      </c>
      <c r="G636" s="1" t="s">
        <v>4983</v>
      </c>
    </row>
    <row r="637" spans="1:7" x14ac:dyDescent="0.45">
      <c r="A637" s="1" t="s">
        <v>919</v>
      </c>
      <c r="B637" s="1" t="s">
        <v>918</v>
      </c>
      <c r="C637" s="1" t="s">
        <v>237</v>
      </c>
      <c r="D637" s="1" t="s">
        <v>2567</v>
      </c>
      <c r="E637" s="1" t="s">
        <v>3917</v>
      </c>
      <c r="F637" s="1" t="s">
        <v>3918</v>
      </c>
      <c r="G637" s="1" t="s">
        <v>4983</v>
      </c>
    </row>
    <row r="638" spans="1:7" x14ac:dyDescent="0.45">
      <c r="A638" s="1" t="s">
        <v>917</v>
      </c>
      <c r="B638" s="1" t="s">
        <v>916</v>
      </c>
      <c r="C638" s="1" t="s">
        <v>237</v>
      </c>
      <c r="D638" s="1" t="s">
        <v>2568</v>
      </c>
      <c r="E638" s="1" t="s">
        <v>3917</v>
      </c>
      <c r="F638" s="1" t="s">
        <v>3918</v>
      </c>
      <c r="G638" s="1" t="s">
        <v>4983</v>
      </c>
    </row>
    <row r="639" spans="1:7" x14ac:dyDescent="0.45">
      <c r="A639" s="1" t="s">
        <v>315</v>
      </c>
      <c r="B639" s="1" t="s">
        <v>314</v>
      </c>
      <c r="C639" s="1" t="s">
        <v>237</v>
      </c>
      <c r="D639" s="1" t="s">
        <v>2569</v>
      </c>
      <c r="E639" s="1" t="s">
        <v>3917</v>
      </c>
      <c r="F639" s="1" t="s">
        <v>3918</v>
      </c>
      <c r="G639" s="1" t="s">
        <v>4983</v>
      </c>
    </row>
    <row r="640" spans="1:7" x14ac:dyDescent="0.45">
      <c r="A640" s="1" t="s">
        <v>1604</v>
      </c>
      <c r="B640" s="1" t="s">
        <v>1605</v>
      </c>
      <c r="C640" s="1" t="s">
        <v>237</v>
      </c>
      <c r="D640" s="1" t="s">
        <v>2570</v>
      </c>
      <c r="E640" s="1" t="s">
        <v>3917</v>
      </c>
      <c r="F640" s="1" t="s">
        <v>3918</v>
      </c>
      <c r="G640" s="1" t="s">
        <v>4983</v>
      </c>
    </row>
    <row r="641" spans="1:7" x14ac:dyDescent="0.45">
      <c r="A641" s="1" t="s">
        <v>308</v>
      </c>
      <c r="B641" s="1" t="s">
        <v>307</v>
      </c>
      <c r="C641" s="1" t="s">
        <v>237</v>
      </c>
      <c r="D641" s="1" t="s">
        <v>3196</v>
      </c>
      <c r="E641" s="1" t="s">
        <v>3917</v>
      </c>
      <c r="F641" s="1" t="s">
        <v>3918</v>
      </c>
      <c r="G641" s="1" t="s">
        <v>4983</v>
      </c>
    </row>
    <row r="642" spans="1:7" x14ac:dyDescent="0.45">
      <c r="A642" s="1" t="s">
        <v>3198</v>
      </c>
      <c r="B642" s="1" t="s">
        <v>3199</v>
      </c>
      <c r="C642" s="1" t="s">
        <v>237</v>
      </c>
      <c r="D642" s="1" t="s">
        <v>3200</v>
      </c>
      <c r="E642" s="1" t="s">
        <v>3917</v>
      </c>
      <c r="F642" s="1" t="s">
        <v>3918</v>
      </c>
      <c r="G642" s="1" t="s">
        <v>4983</v>
      </c>
    </row>
    <row r="643" spans="1:7" x14ac:dyDescent="0.45">
      <c r="A643" s="1" t="s">
        <v>915</v>
      </c>
      <c r="B643" s="1" t="s">
        <v>914</v>
      </c>
      <c r="C643" s="1" t="s">
        <v>237</v>
      </c>
      <c r="D643" s="1" t="s">
        <v>2571</v>
      </c>
      <c r="E643" s="1" t="s">
        <v>3917</v>
      </c>
      <c r="F643" s="1" t="s">
        <v>3918</v>
      </c>
      <c r="G643" s="1" t="s">
        <v>4983</v>
      </c>
    </row>
    <row r="644" spans="1:7" x14ac:dyDescent="0.45">
      <c r="A644" s="1" t="s">
        <v>3201</v>
      </c>
      <c r="B644" s="1" t="s">
        <v>1842</v>
      </c>
      <c r="C644" s="1" t="s">
        <v>237</v>
      </c>
      <c r="D644" s="1" t="s">
        <v>3202</v>
      </c>
      <c r="E644" s="1" t="s">
        <v>3917</v>
      </c>
      <c r="F644" s="1" t="s">
        <v>3918</v>
      </c>
      <c r="G644" s="1" t="s">
        <v>4983</v>
      </c>
    </row>
    <row r="645" spans="1:7" x14ac:dyDescent="0.45">
      <c r="A645" s="1" t="s">
        <v>913</v>
      </c>
      <c r="B645" s="1" t="s">
        <v>276</v>
      </c>
      <c r="C645" s="1" t="s">
        <v>237</v>
      </c>
      <c r="D645" s="1" t="s">
        <v>2572</v>
      </c>
      <c r="E645" s="1" t="s">
        <v>3917</v>
      </c>
      <c r="F645" s="1" t="s">
        <v>3918</v>
      </c>
      <c r="G645" s="1" t="s">
        <v>4983</v>
      </c>
    </row>
    <row r="646" spans="1:7" x14ac:dyDescent="0.45">
      <c r="A646" s="1" t="s">
        <v>7892</v>
      </c>
      <c r="B646" s="1" t="s">
        <v>7893</v>
      </c>
      <c r="C646" s="1" t="s">
        <v>237</v>
      </c>
      <c r="D646" s="1" t="s">
        <v>8401</v>
      </c>
      <c r="E646" s="1" t="s">
        <v>3917</v>
      </c>
      <c r="F646" s="1" t="s">
        <v>3918</v>
      </c>
      <c r="G646" s="1" t="s">
        <v>4983</v>
      </c>
    </row>
    <row r="647" spans="1:7" x14ac:dyDescent="0.45">
      <c r="A647" s="1" t="s">
        <v>912</v>
      </c>
      <c r="B647" s="1" t="s">
        <v>911</v>
      </c>
      <c r="C647" s="1" t="s">
        <v>237</v>
      </c>
      <c r="D647" s="1" t="s">
        <v>2573</v>
      </c>
      <c r="E647" s="1" t="s">
        <v>3917</v>
      </c>
      <c r="F647" s="1" t="s">
        <v>3918</v>
      </c>
      <c r="G647" s="1" t="s">
        <v>4983</v>
      </c>
    </row>
    <row r="648" spans="1:7" x14ac:dyDescent="0.45">
      <c r="A648" s="1" t="s">
        <v>1843</v>
      </c>
      <c r="B648" s="1" t="s">
        <v>1844</v>
      </c>
      <c r="C648" s="1" t="s">
        <v>237</v>
      </c>
      <c r="D648" s="1" t="s">
        <v>3203</v>
      </c>
      <c r="E648" s="1" t="s">
        <v>3917</v>
      </c>
      <c r="F648" s="1" t="s">
        <v>3918</v>
      </c>
      <c r="G648" s="1" t="s">
        <v>4983</v>
      </c>
    </row>
    <row r="649" spans="1:7" x14ac:dyDescent="0.45">
      <c r="A649" s="1" t="s">
        <v>10034</v>
      </c>
      <c r="B649" s="1" t="s">
        <v>10035</v>
      </c>
      <c r="C649" s="1" t="s">
        <v>237</v>
      </c>
      <c r="D649" s="1" t="s">
        <v>11292</v>
      </c>
      <c r="E649" s="1" t="s">
        <v>3917</v>
      </c>
      <c r="F649" s="1" t="s">
        <v>3918</v>
      </c>
      <c r="G649" s="1" t="s">
        <v>4983</v>
      </c>
    </row>
    <row r="650" spans="1:7" x14ac:dyDescent="0.45">
      <c r="A650" s="1" t="s">
        <v>7894</v>
      </c>
      <c r="B650" s="1" t="s">
        <v>7895</v>
      </c>
      <c r="C650" s="1" t="s">
        <v>237</v>
      </c>
      <c r="D650" s="1" t="s">
        <v>8402</v>
      </c>
      <c r="E650" s="1" t="s">
        <v>3917</v>
      </c>
      <c r="F650" s="1" t="s">
        <v>3918</v>
      </c>
      <c r="G650" s="1" t="s">
        <v>4983</v>
      </c>
    </row>
    <row r="651" spans="1:7" x14ac:dyDescent="0.45">
      <c r="A651" s="1" t="s">
        <v>908</v>
      </c>
      <c r="B651" s="1" t="s">
        <v>907</v>
      </c>
      <c r="C651" s="1" t="s">
        <v>237</v>
      </c>
      <c r="D651" s="1" t="s">
        <v>2574</v>
      </c>
      <c r="E651" s="1" t="s">
        <v>3917</v>
      </c>
      <c r="F651" s="1" t="s">
        <v>3918</v>
      </c>
      <c r="G651" s="1" t="s">
        <v>4983</v>
      </c>
    </row>
    <row r="652" spans="1:7" x14ac:dyDescent="0.45">
      <c r="A652" s="1" t="s">
        <v>906</v>
      </c>
      <c r="B652" s="1" t="s">
        <v>256</v>
      </c>
      <c r="C652" s="1" t="s">
        <v>237</v>
      </c>
      <c r="D652" s="1" t="s">
        <v>2575</v>
      </c>
      <c r="E652" s="1" t="s">
        <v>3917</v>
      </c>
      <c r="F652" s="1" t="s">
        <v>3918</v>
      </c>
      <c r="G652" s="1" t="s">
        <v>4983</v>
      </c>
    </row>
    <row r="653" spans="1:7" x14ac:dyDescent="0.45">
      <c r="A653" s="1" t="s">
        <v>905</v>
      </c>
      <c r="B653" s="1" t="s">
        <v>904</v>
      </c>
      <c r="C653" s="1" t="s">
        <v>237</v>
      </c>
      <c r="D653" s="1" t="s">
        <v>2576</v>
      </c>
      <c r="E653" s="1" t="s">
        <v>3917</v>
      </c>
      <c r="F653" s="1" t="s">
        <v>3918</v>
      </c>
      <c r="G653" s="1" t="s">
        <v>4983</v>
      </c>
    </row>
    <row r="654" spans="1:7" x14ac:dyDescent="0.45">
      <c r="A654" s="1" t="s">
        <v>6915</v>
      </c>
      <c r="B654" s="1" t="s">
        <v>6916</v>
      </c>
      <c r="C654" s="1" t="s">
        <v>237</v>
      </c>
      <c r="D654" s="1" t="s">
        <v>7971</v>
      </c>
      <c r="E654" s="1" t="s">
        <v>3917</v>
      </c>
      <c r="F654" s="1" t="s">
        <v>3918</v>
      </c>
      <c r="G654" s="1" t="s">
        <v>4983</v>
      </c>
    </row>
    <row r="655" spans="1:7" x14ac:dyDescent="0.45">
      <c r="A655" s="1" t="s">
        <v>903</v>
      </c>
      <c r="B655" s="1" t="s">
        <v>902</v>
      </c>
      <c r="C655" s="1" t="s">
        <v>237</v>
      </c>
      <c r="D655" s="1" t="s">
        <v>2577</v>
      </c>
      <c r="E655" s="1" t="s">
        <v>3917</v>
      </c>
      <c r="F655" s="1" t="s">
        <v>3918</v>
      </c>
      <c r="G655" s="1" t="s">
        <v>4983</v>
      </c>
    </row>
    <row r="656" spans="1:7" x14ac:dyDescent="0.45">
      <c r="A656" s="1" t="s">
        <v>901</v>
      </c>
      <c r="B656" s="1" t="s">
        <v>900</v>
      </c>
      <c r="C656" s="1" t="s">
        <v>237</v>
      </c>
      <c r="D656" s="1" t="s">
        <v>2578</v>
      </c>
      <c r="E656" s="1" t="s">
        <v>3917</v>
      </c>
      <c r="F656" s="1" t="s">
        <v>3918</v>
      </c>
      <c r="G656" s="1" t="s">
        <v>4983</v>
      </c>
    </row>
    <row r="657" spans="1:7" x14ac:dyDescent="0.45">
      <c r="A657" s="1" t="s">
        <v>899</v>
      </c>
      <c r="B657" s="1" t="s">
        <v>898</v>
      </c>
      <c r="C657" s="1" t="s">
        <v>237</v>
      </c>
      <c r="D657" s="1" t="s">
        <v>2579</v>
      </c>
      <c r="E657" s="1" t="s">
        <v>3917</v>
      </c>
      <c r="F657" s="1" t="s">
        <v>3918</v>
      </c>
      <c r="G657" s="1" t="s">
        <v>4983</v>
      </c>
    </row>
    <row r="658" spans="1:7" x14ac:dyDescent="0.45">
      <c r="A658" s="1" t="s">
        <v>897</v>
      </c>
      <c r="B658" s="1" t="s">
        <v>896</v>
      </c>
      <c r="C658" s="1" t="s">
        <v>237</v>
      </c>
      <c r="D658" s="1" t="s">
        <v>2580</v>
      </c>
      <c r="E658" s="1" t="s">
        <v>3917</v>
      </c>
      <c r="F658" s="1" t="s">
        <v>3918</v>
      </c>
      <c r="G658" s="1" t="s">
        <v>4983</v>
      </c>
    </row>
    <row r="659" spans="1:7" x14ac:dyDescent="0.45">
      <c r="A659" s="1" t="s">
        <v>10036</v>
      </c>
      <c r="B659" s="1" t="s">
        <v>10037</v>
      </c>
      <c r="C659" s="1" t="s">
        <v>237</v>
      </c>
      <c r="D659" s="1" t="s">
        <v>11293</v>
      </c>
      <c r="E659" s="1" t="s">
        <v>3917</v>
      </c>
      <c r="F659" s="1" t="s">
        <v>3918</v>
      </c>
      <c r="G659" s="1" t="s">
        <v>4983</v>
      </c>
    </row>
    <row r="660" spans="1:7" x14ac:dyDescent="0.45">
      <c r="A660" s="1" t="s">
        <v>895</v>
      </c>
      <c r="B660" s="1" t="s">
        <v>894</v>
      </c>
      <c r="C660" s="1" t="s">
        <v>237</v>
      </c>
      <c r="D660" s="1" t="s">
        <v>2581</v>
      </c>
      <c r="E660" s="1" t="s">
        <v>3917</v>
      </c>
      <c r="F660" s="1" t="s">
        <v>3918</v>
      </c>
      <c r="G660" s="1" t="s">
        <v>4983</v>
      </c>
    </row>
    <row r="661" spans="1:7" x14ac:dyDescent="0.45">
      <c r="A661" s="1" t="s">
        <v>893</v>
      </c>
      <c r="B661" s="1" t="s">
        <v>892</v>
      </c>
      <c r="C661" s="1" t="s">
        <v>237</v>
      </c>
      <c r="D661" s="1" t="s">
        <v>2582</v>
      </c>
      <c r="E661" s="1" t="s">
        <v>3917</v>
      </c>
      <c r="F661" s="1" t="s">
        <v>3918</v>
      </c>
      <c r="G661" s="1" t="s">
        <v>4983</v>
      </c>
    </row>
    <row r="662" spans="1:7" x14ac:dyDescent="0.45">
      <c r="A662" s="1" t="s">
        <v>891</v>
      </c>
      <c r="B662" s="1" t="s">
        <v>890</v>
      </c>
      <c r="C662" s="1" t="s">
        <v>237</v>
      </c>
      <c r="D662" s="1" t="s">
        <v>2583</v>
      </c>
      <c r="E662" s="1" t="s">
        <v>3917</v>
      </c>
      <c r="F662" s="1" t="s">
        <v>3918</v>
      </c>
      <c r="G662" s="1" t="s">
        <v>4983</v>
      </c>
    </row>
    <row r="663" spans="1:7" x14ac:dyDescent="0.45">
      <c r="A663" s="1" t="s">
        <v>4663</v>
      </c>
      <c r="B663" s="1" t="s">
        <v>4664</v>
      </c>
      <c r="C663" s="1" t="s">
        <v>237</v>
      </c>
      <c r="D663" s="1" t="s">
        <v>4978</v>
      </c>
      <c r="E663" s="1" t="s">
        <v>3919</v>
      </c>
      <c r="F663" s="1" t="s">
        <v>3918</v>
      </c>
      <c r="G663" s="1" t="s">
        <v>4983</v>
      </c>
    </row>
    <row r="664" spans="1:7" x14ac:dyDescent="0.45">
      <c r="A664" s="1" t="s">
        <v>1854</v>
      </c>
      <c r="B664" s="1" t="s">
        <v>1855</v>
      </c>
      <c r="C664" s="1" t="s">
        <v>237</v>
      </c>
      <c r="D664" s="1" t="s">
        <v>3225</v>
      </c>
      <c r="E664" s="1" t="s">
        <v>3917</v>
      </c>
      <c r="F664" s="1" t="s">
        <v>3918</v>
      </c>
      <c r="G664" s="1" t="s">
        <v>4983</v>
      </c>
    </row>
    <row r="665" spans="1:7" x14ac:dyDescent="0.45">
      <c r="A665" s="1" t="s">
        <v>292</v>
      </c>
      <c r="B665" s="1" t="s">
        <v>275</v>
      </c>
      <c r="C665" s="1" t="s">
        <v>237</v>
      </c>
      <c r="D665" s="1" t="s">
        <v>2585</v>
      </c>
      <c r="E665" s="1" t="s">
        <v>3917</v>
      </c>
      <c r="F665" s="1" t="s">
        <v>3918</v>
      </c>
      <c r="G665" s="1" t="s">
        <v>4983</v>
      </c>
    </row>
    <row r="666" spans="1:7" x14ac:dyDescent="0.45">
      <c r="A666" s="1" t="s">
        <v>291</v>
      </c>
      <c r="B666" s="1" t="s">
        <v>290</v>
      </c>
      <c r="C666" s="1" t="s">
        <v>237</v>
      </c>
      <c r="D666" s="1" t="s">
        <v>3227</v>
      </c>
      <c r="E666" s="1" t="s">
        <v>3917</v>
      </c>
      <c r="F666" s="1" t="s">
        <v>3918</v>
      </c>
      <c r="G666" s="1" t="s">
        <v>4983</v>
      </c>
    </row>
    <row r="667" spans="1:7" x14ac:dyDescent="0.45">
      <c r="A667" s="1" t="s">
        <v>888</v>
      </c>
      <c r="B667" s="1" t="s">
        <v>887</v>
      </c>
      <c r="C667" s="1" t="s">
        <v>237</v>
      </c>
      <c r="D667" s="1" t="s">
        <v>2586</v>
      </c>
      <c r="E667" s="1" t="s">
        <v>3917</v>
      </c>
      <c r="F667" s="1" t="s">
        <v>3918</v>
      </c>
      <c r="G667" s="1" t="s">
        <v>4983</v>
      </c>
    </row>
    <row r="668" spans="1:7" x14ac:dyDescent="0.45">
      <c r="A668" s="1" t="s">
        <v>4669</v>
      </c>
      <c r="B668" s="1" t="s">
        <v>4670</v>
      </c>
      <c r="C668" s="1" t="s">
        <v>237</v>
      </c>
      <c r="D668" s="1" t="s">
        <v>4980</v>
      </c>
      <c r="E668" s="1" t="s">
        <v>3917</v>
      </c>
      <c r="F668" s="1" t="s">
        <v>3918</v>
      </c>
      <c r="G668" s="1" t="s">
        <v>4983</v>
      </c>
    </row>
    <row r="669" spans="1:7" x14ac:dyDescent="0.45">
      <c r="A669" s="1" t="s">
        <v>886</v>
      </c>
      <c r="B669" s="1" t="s">
        <v>885</v>
      </c>
      <c r="C669" s="1" t="s">
        <v>237</v>
      </c>
      <c r="D669" s="1" t="s">
        <v>2587</v>
      </c>
      <c r="E669" s="1" t="s">
        <v>3917</v>
      </c>
      <c r="F669" s="1" t="s">
        <v>3918</v>
      </c>
      <c r="G669" s="1" t="s">
        <v>4983</v>
      </c>
    </row>
    <row r="670" spans="1:7" x14ac:dyDescent="0.45">
      <c r="A670" s="1" t="s">
        <v>884</v>
      </c>
      <c r="B670" s="1" t="s">
        <v>883</v>
      </c>
      <c r="C670" s="1" t="s">
        <v>237</v>
      </c>
      <c r="D670" s="1" t="s">
        <v>2588</v>
      </c>
      <c r="E670" s="1" t="s">
        <v>3917</v>
      </c>
      <c r="F670" s="1" t="s">
        <v>3918</v>
      </c>
      <c r="G670" s="1" t="s">
        <v>4983</v>
      </c>
    </row>
    <row r="671" spans="1:7" x14ac:dyDescent="0.45">
      <c r="A671" s="1" t="s">
        <v>882</v>
      </c>
      <c r="B671" s="1" t="s">
        <v>881</v>
      </c>
      <c r="C671" s="1" t="s">
        <v>237</v>
      </c>
      <c r="D671" s="1" t="s">
        <v>2589</v>
      </c>
      <c r="E671" s="1" t="s">
        <v>3917</v>
      </c>
      <c r="F671" s="1" t="s">
        <v>3918</v>
      </c>
      <c r="G671" s="1" t="s">
        <v>4983</v>
      </c>
    </row>
    <row r="672" spans="1:7" x14ac:dyDescent="0.45">
      <c r="A672" s="1" t="s">
        <v>880</v>
      </c>
      <c r="B672" s="1" t="s">
        <v>879</v>
      </c>
      <c r="C672" s="1" t="s">
        <v>237</v>
      </c>
      <c r="D672" s="1" t="s">
        <v>2590</v>
      </c>
      <c r="E672" s="1" t="s">
        <v>3917</v>
      </c>
      <c r="F672" s="1" t="s">
        <v>3918</v>
      </c>
      <c r="G672" s="1" t="s">
        <v>4983</v>
      </c>
    </row>
    <row r="673" spans="1:7" x14ac:dyDescent="0.45">
      <c r="A673" s="1" t="s">
        <v>6917</v>
      </c>
      <c r="B673" s="1" t="s">
        <v>6918</v>
      </c>
      <c r="C673" s="1" t="s">
        <v>255</v>
      </c>
      <c r="D673" s="1" t="s">
        <v>7972</v>
      </c>
      <c r="E673" s="1" t="s">
        <v>3917</v>
      </c>
      <c r="F673" s="1" t="s">
        <v>3918</v>
      </c>
      <c r="G673" s="1" t="s">
        <v>4983</v>
      </c>
    </row>
    <row r="674" spans="1:7" x14ac:dyDescent="0.45">
      <c r="A674" s="1" t="s">
        <v>4073</v>
      </c>
      <c r="B674" s="1" t="s">
        <v>4074</v>
      </c>
      <c r="C674" s="1" t="s">
        <v>255</v>
      </c>
      <c r="D674" s="1" t="s">
        <v>4704</v>
      </c>
      <c r="E674" s="1" t="s">
        <v>3917</v>
      </c>
      <c r="F674" s="1" t="s">
        <v>3918</v>
      </c>
      <c r="G674" s="1" t="s">
        <v>4983</v>
      </c>
    </row>
    <row r="675" spans="1:7" x14ac:dyDescent="0.45">
      <c r="A675" s="1" t="s">
        <v>10038</v>
      </c>
      <c r="B675" s="1" t="s">
        <v>10039</v>
      </c>
      <c r="C675" s="1" t="s">
        <v>255</v>
      </c>
      <c r="D675" s="1" t="s">
        <v>11294</v>
      </c>
      <c r="E675" s="1" t="s">
        <v>3917</v>
      </c>
      <c r="F675" s="1" t="s">
        <v>3918</v>
      </c>
      <c r="G675" s="1" t="s">
        <v>4983</v>
      </c>
    </row>
    <row r="676" spans="1:7" x14ac:dyDescent="0.45">
      <c r="A676" s="1" t="s">
        <v>1608</v>
      </c>
      <c r="B676" s="1" t="s">
        <v>1609</v>
      </c>
      <c r="C676" s="1" t="s">
        <v>255</v>
      </c>
      <c r="D676" s="1" t="s">
        <v>2592</v>
      </c>
      <c r="E676" s="1" t="s">
        <v>3917</v>
      </c>
      <c r="F676" s="1" t="s">
        <v>3918</v>
      </c>
      <c r="G676" s="1" t="s">
        <v>4983</v>
      </c>
    </row>
    <row r="677" spans="1:7" x14ac:dyDescent="0.45">
      <c r="A677" s="1" t="s">
        <v>6919</v>
      </c>
      <c r="B677" s="1" t="s">
        <v>6920</v>
      </c>
      <c r="C677" s="1" t="s">
        <v>255</v>
      </c>
      <c r="D677" s="1" t="s">
        <v>7973</v>
      </c>
      <c r="E677" s="1" t="s">
        <v>3917</v>
      </c>
      <c r="F677" s="1" t="s">
        <v>3918</v>
      </c>
      <c r="G677" s="1" t="s">
        <v>4983</v>
      </c>
    </row>
    <row r="678" spans="1:7" x14ac:dyDescent="0.45">
      <c r="A678" s="1" t="s">
        <v>10040</v>
      </c>
      <c r="B678" s="1" t="s">
        <v>10041</v>
      </c>
      <c r="C678" s="1" t="s">
        <v>255</v>
      </c>
      <c r="D678" s="1" t="s">
        <v>11295</v>
      </c>
      <c r="E678" s="1" t="s">
        <v>3919</v>
      </c>
      <c r="F678" s="1" t="s">
        <v>3918</v>
      </c>
      <c r="G678" s="1" t="s">
        <v>4983</v>
      </c>
    </row>
    <row r="679" spans="1:7" x14ac:dyDescent="0.45">
      <c r="A679" s="1" t="s">
        <v>2593</v>
      </c>
      <c r="B679" s="1" t="s">
        <v>2594</v>
      </c>
      <c r="C679" s="1" t="s">
        <v>255</v>
      </c>
      <c r="D679" s="1" t="s">
        <v>2595</v>
      </c>
      <c r="E679" s="1" t="s">
        <v>3917</v>
      </c>
      <c r="F679" s="1" t="s">
        <v>3918</v>
      </c>
      <c r="G679" s="1" t="s">
        <v>4983</v>
      </c>
    </row>
    <row r="680" spans="1:7" x14ac:dyDescent="0.45">
      <c r="A680" s="1" t="s">
        <v>4075</v>
      </c>
      <c r="B680" s="1" t="s">
        <v>4076</v>
      </c>
      <c r="C680" s="1" t="s">
        <v>255</v>
      </c>
      <c r="D680" s="1" t="s">
        <v>4705</v>
      </c>
      <c r="E680" s="1" t="s">
        <v>3917</v>
      </c>
      <c r="F680" s="1" t="s">
        <v>3918</v>
      </c>
      <c r="G680" s="1" t="s">
        <v>4983</v>
      </c>
    </row>
    <row r="681" spans="1:7" x14ac:dyDescent="0.45">
      <c r="A681" s="1" t="s">
        <v>6921</v>
      </c>
      <c r="B681" s="1" t="s">
        <v>3370</v>
      </c>
      <c r="C681" s="1" t="s">
        <v>255</v>
      </c>
      <c r="D681" s="1" t="s">
        <v>3371</v>
      </c>
      <c r="E681" s="1" t="s">
        <v>3917</v>
      </c>
      <c r="F681" s="1" t="s">
        <v>3918</v>
      </c>
      <c r="G681" s="1" t="s">
        <v>4983</v>
      </c>
    </row>
    <row r="682" spans="1:7" x14ac:dyDescent="0.45">
      <c r="A682" s="1" t="s">
        <v>1610</v>
      </c>
      <c r="B682" s="1" t="s">
        <v>1611</v>
      </c>
      <c r="C682" s="1" t="s">
        <v>255</v>
      </c>
      <c r="D682" s="1" t="s">
        <v>2596</v>
      </c>
      <c r="E682" s="1" t="s">
        <v>3917</v>
      </c>
      <c r="F682" s="1" t="s">
        <v>3918</v>
      </c>
      <c r="G682" s="1" t="s">
        <v>4983</v>
      </c>
    </row>
    <row r="683" spans="1:7" x14ac:dyDescent="0.45">
      <c r="A683" s="1" t="s">
        <v>10042</v>
      </c>
      <c r="B683" s="1" t="s">
        <v>10043</v>
      </c>
      <c r="C683" s="1" t="s">
        <v>255</v>
      </c>
      <c r="D683" s="1" t="s">
        <v>11296</v>
      </c>
      <c r="E683" s="1" t="s">
        <v>3917</v>
      </c>
      <c r="F683" s="1" t="s">
        <v>3918</v>
      </c>
      <c r="G683" s="1" t="s">
        <v>4983</v>
      </c>
    </row>
    <row r="684" spans="1:7" x14ac:dyDescent="0.45">
      <c r="A684" s="1" t="s">
        <v>2771</v>
      </c>
      <c r="B684" s="1" t="s">
        <v>6922</v>
      </c>
      <c r="C684" s="1" t="s">
        <v>255</v>
      </c>
      <c r="D684" s="1" t="s">
        <v>7974</v>
      </c>
      <c r="E684" s="1" t="s">
        <v>3919</v>
      </c>
      <c r="F684" s="1" t="s">
        <v>3918</v>
      </c>
      <c r="G684" s="1" t="s">
        <v>4983</v>
      </c>
    </row>
    <row r="685" spans="1:7" x14ac:dyDescent="0.45">
      <c r="A685" s="1" t="s">
        <v>878</v>
      </c>
      <c r="B685" s="1" t="s">
        <v>877</v>
      </c>
      <c r="C685" s="1" t="s">
        <v>255</v>
      </c>
      <c r="D685" s="1" t="s">
        <v>2597</v>
      </c>
      <c r="E685" s="1" t="s">
        <v>3917</v>
      </c>
      <c r="F685" s="1" t="s">
        <v>3918</v>
      </c>
      <c r="G685" s="1" t="s">
        <v>4983</v>
      </c>
    </row>
    <row r="686" spans="1:7" x14ac:dyDescent="0.45">
      <c r="A686" s="1" t="s">
        <v>4077</v>
      </c>
      <c r="B686" s="1" t="s">
        <v>3358</v>
      </c>
      <c r="C686" s="1" t="s">
        <v>255</v>
      </c>
      <c r="D686" s="1" t="s">
        <v>3359</v>
      </c>
      <c r="E686" s="1" t="s">
        <v>3917</v>
      </c>
      <c r="F686" s="1" t="s">
        <v>3918</v>
      </c>
      <c r="G686" s="1" t="s">
        <v>4983</v>
      </c>
    </row>
    <row r="687" spans="1:7" x14ac:dyDescent="0.45">
      <c r="A687" s="1" t="s">
        <v>876</v>
      </c>
      <c r="B687" s="1" t="s">
        <v>875</v>
      </c>
      <c r="C687" s="1" t="s">
        <v>255</v>
      </c>
      <c r="D687" s="1" t="s">
        <v>2598</v>
      </c>
      <c r="E687" s="1" t="s">
        <v>3917</v>
      </c>
      <c r="F687" s="1" t="s">
        <v>3918</v>
      </c>
      <c r="G687" s="1" t="s">
        <v>4983</v>
      </c>
    </row>
    <row r="688" spans="1:7" x14ac:dyDescent="0.45">
      <c r="A688" s="1" t="s">
        <v>1612</v>
      </c>
      <c r="B688" s="1" t="s">
        <v>1613</v>
      </c>
      <c r="C688" s="1" t="s">
        <v>255</v>
      </c>
      <c r="D688" s="1" t="s">
        <v>2599</v>
      </c>
      <c r="E688" s="1" t="s">
        <v>3917</v>
      </c>
      <c r="F688" s="1" t="s">
        <v>3918</v>
      </c>
      <c r="G688" s="1" t="s">
        <v>4983</v>
      </c>
    </row>
    <row r="689" spans="1:7" x14ac:dyDescent="0.45">
      <c r="A689" s="1" t="s">
        <v>6923</v>
      </c>
      <c r="B689" s="1" t="s">
        <v>6924</v>
      </c>
      <c r="C689" s="1" t="s">
        <v>255</v>
      </c>
      <c r="D689" s="1" t="s">
        <v>7975</v>
      </c>
      <c r="E689" s="1" t="s">
        <v>3917</v>
      </c>
      <c r="F689" s="1" t="s">
        <v>3918</v>
      </c>
      <c r="G689" s="1" t="s">
        <v>4983</v>
      </c>
    </row>
    <row r="690" spans="1:7" x14ac:dyDescent="0.45">
      <c r="A690" s="1" t="s">
        <v>10044</v>
      </c>
      <c r="B690" s="1" t="s">
        <v>10045</v>
      </c>
      <c r="C690" s="1" t="s">
        <v>255</v>
      </c>
      <c r="D690" s="1" t="s">
        <v>11297</v>
      </c>
      <c r="E690" s="1" t="s">
        <v>3917</v>
      </c>
      <c r="F690" s="1" t="s">
        <v>3918</v>
      </c>
      <c r="G690" s="1" t="s">
        <v>4983</v>
      </c>
    </row>
    <row r="691" spans="1:7" x14ac:dyDescent="0.45">
      <c r="A691" s="1" t="s">
        <v>3415</v>
      </c>
      <c r="B691" s="1" t="s">
        <v>3416</v>
      </c>
      <c r="C691" s="1" t="s">
        <v>255</v>
      </c>
      <c r="D691" s="1" t="s">
        <v>3417</v>
      </c>
      <c r="E691" s="1" t="s">
        <v>3917</v>
      </c>
      <c r="F691" s="1" t="s">
        <v>3918</v>
      </c>
      <c r="G691" s="1" t="s">
        <v>4983</v>
      </c>
    </row>
    <row r="692" spans="1:7" x14ac:dyDescent="0.45">
      <c r="A692" s="1" t="s">
        <v>3418</v>
      </c>
      <c r="B692" s="1" t="s">
        <v>3419</v>
      </c>
      <c r="C692" s="1" t="s">
        <v>255</v>
      </c>
      <c r="D692" s="1" t="s">
        <v>3420</v>
      </c>
      <c r="E692" s="1" t="s">
        <v>3919</v>
      </c>
      <c r="F692" s="1" t="s">
        <v>3918</v>
      </c>
      <c r="G692" s="1" t="s">
        <v>4983</v>
      </c>
    </row>
    <row r="693" spans="1:7" x14ac:dyDescent="0.45">
      <c r="A693" s="1" t="s">
        <v>874</v>
      </c>
      <c r="B693" s="1" t="s">
        <v>873</v>
      </c>
      <c r="C693" s="1" t="s">
        <v>255</v>
      </c>
      <c r="D693" s="1" t="s">
        <v>2600</v>
      </c>
      <c r="E693" s="1" t="s">
        <v>3917</v>
      </c>
      <c r="F693" s="1" t="s">
        <v>3918</v>
      </c>
      <c r="G693" s="1" t="s">
        <v>4983</v>
      </c>
    </row>
    <row r="694" spans="1:7" x14ac:dyDescent="0.45">
      <c r="A694" s="1" t="s">
        <v>10046</v>
      </c>
      <c r="B694" s="1" t="s">
        <v>10047</v>
      </c>
      <c r="C694" s="1" t="s">
        <v>255</v>
      </c>
      <c r="D694" s="1" t="s">
        <v>11298</v>
      </c>
      <c r="E694" s="1" t="s">
        <v>3917</v>
      </c>
      <c r="F694" s="1" t="s">
        <v>3918</v>
      </c>
      <c r="G694" s="1" t="s">
        <v>4983</v>
      </c>
    </row>
    <row r="695" spans="1:7" x14ac:dyDescent="0.45">
      <c r="A695" s="1" t="s">
        <v>10048</v>
      </c>
      <c r="B695" s="1" t="s">
        <v>10049</v>
      </c>
      <c r="C695" s="1" t="s">
        <v>255</v>
      </c>
      <c r="D695" s="1" t="s">
        <v>11299</v>
      </c>
      <c r="E695" s="1" t="s">
        <v>3917</v>
      </c>
      <c r="F695" s="1" t="s">
        <v>3918</v>
      </c>
      <c r="G695" s="1" t="s">
        <v>4983</v>
      </c>
    </row>
    <row r="696" spans="1:7" x14ac:dyDescent="0.45">
      <c r="A696" s="1" t="s">
        <v>6925</v>
      </c>
      <c r="B696" s="1" t="s">
        <v>6926</v>
      </c>
      <c r="C696" s="1" t="s">
        <v>255</v>
      </c>
      <c r="D696" s="1" t="s">
        <v>7976</v>
      </c>
      <c r="E696" s="1" t="s">
        <v>3917</v>
      </c>
      <c r="F696" s="1" t="s">
        <v>3918</v>
      </c>
      <c r="G696" s="1" t="s">
        <v>4983</v>
      </c>
    </row>
    <row r="697" spans="1:7" x14ac:dyDescent="0.45">
      <c r="A697" s="1" t="s">
        <v>10050</v>
      </c>
      <c r="B697" s="1" t="s">
        <v>10051</v>
      </c>
      <c r="C697" s="1" t="s">
        <v>255</v>
      </c>
      <c r="D697" s="1" t="s">
        <v>11300</v>
      </c>
      <c r="E697" s="1" t="s">
        <v>3917</v>
      </c>
      <c r="F697" s="1" t="s">
        <v>3918</v>
      </c>
      <c r="G697" s="1" t="s">
        <v>4983</v>
      </c>
    </row>
    <row r="698" spans="1:7" x14ac:dyDescent="0.45">
      <c r="A698" s="1" t="s">
        <v>10052</v>
      </c>
      <c r="B698" s="1" t="s">
        <v>10053</v>
      </c>
      <c r="C698" s="1" t="s">
        <v>255</v>
      </c>
      <c r="D698" s="1" t="s">
        <v>11301</v>
      </c>
      <c r="E698" s="1" t="s">
        <v>3917</v>
      </c>
      <c r="F698" s="1" t="s">
        <v>3918</v>
      </c>
      <c r="G698" s="1" t="s">
        <v>4983</v>
      </c>
    </row>
    <row r="699" spans="1:7" x14ac:dyDescent="0.45">
      <c r="A699" s="1" t="s">
        <v>10054</v>
      </c>
      <c r="B699" s="1" t="s">
        <v>10055</v>
      </c>
      <c r="C699" s="1" t="s">
        <v>255</v>
      </c>
      <c r="D699" s="1" t="s">
        <v>11302</v>
      </c>
      <c r="E699" s="1" t="s">
        <v>3917</v>
      </c>
      <c r="F699" s="1" t="s">
        <v>3918</v>
      </c>
      <c r="G699" s="1" t="s">
        <v>4983</v>
      </c>
    </row>
    <row r="700" spans="1:7" x14ac:dyDescent="0.45">
      <c r="A700" s="1" t="s">
        <v>10056</v>
      </c>
      <c r="B700" s="1" t="s">
        <v>10057</v>
      </c>
      <c r="C700" s="1" t="s">
        <v>255</v>
      </c>
      <c r="D700" s="1" t="s">
        <v>11303</v>
      </c>
      <c r="E700" s="1" t="s">
        <v>3917</v>
      </c>
      <c r="F700" s="1" t="s">
        <v>3918</v>
      </c>
      <c r="G700" s="1" t="s">
        <v>4983</v>
      </c>
    </row>
    <row r="701" spans="1:7" x14ac:dyDescent="0.45">
      <c r="A701" s="1" t="s">
        <v>6927</v>
      </c>
      <c r="B701" s="1" t="s">
        <v>6928</v>
      </c>
      <c r="C701" s="1" t="s">
        <v>255</v>
      </c>
      <c r="D701" s="1" t="s">
        <v>7977</v>
      </c>
      <c r="E701" s="1" t="s">
        <v>3917</v>
      </c>
      <c r="F701" s="1" t="s">
        <v>3918</v>
      </c>
      <c r="G701" s="1" t="s">
        <v>4983</v>
      </c>
    </row>
    <row r="702" spans="1:7" x14ac:dyDescent="0.45">
      <c r="A702" s="1" t="s">
        <v>10058</v>
      </c>
      <c r="B702" s="1" t="s">
        <v>10059</v>
      </c>
      <c r="C702" s="1" t="s">
        <v>255</v>
      </c>
      <c r="D702" s="1" t="s">
        <v>11304</v>
      </c>
      <c r="E702" s="1" t="s">
        <v>3917</v>
      </c>
      <c r="F702" s="1" t="s">
        <v>3918</v>
      </c>
      <c r="G702" s="1" t="s">
        <v>4983</v>
      </c>
    </row>
    <row r="703" spans="1:7" x14ac:dyDescent="0.45">
      <c r="A703" s="1" t="s">
        <v>10060</v>
      </c>
      <c r="B703" s="1" t="s">
        <v>5544</v>
      </c>
      <c r="C703" s="1" t="s">
        <v>255</v>
      </c>
      <c r="D703" s="1" t="s">
        <v>5545</v>
      </c>
      <c r="E703" s="1" t="s">
        <v>3917</v>
      </c>
      <c r="F703" s="1" t="s">
        <v>3918</v>
      </c>
      <c r="G703" s="1" t="s">
        <v>4983</v>
      </c>
    </row>
    <row r="704" spans="1:7" x14ac:dyDescent="0.45">
      <c r="A704" s="1" t="s">
        <v>10061</v>
      </c>
      <c r="B704" s="1" t="s">
        <v>10062</v>
      </c>
      <c r="C704" s="1" t="s">
        <v>255</v>
      </c>
      <c r="D704" s="1" t="s">
        <v>11305</v>
      </c>
      <c r="E704" s="1" t="s">
        <v>3917</v>
      </c>
      <c r="F704" s="1" t="s">
        <v>3918</v>
      </c>
      <c r="G704" s="1" t="s">
        <v>4983</v>
      </c>
    </row>
    <row r="705" spans="1:7" x14ac:dyDescent="0.45">
      <c r="A705" s="1" t="s">
        <v>10063</v>
      </c>
      <c r="B705" s="1" t="s">
        <v>10064</v>
      </c>
      <c r="C705" s="1" t="s">
        <v>255</v>
      </c>
      <c r="D705" s="1" t="s">
        <v>11306</v>
      </c>
      <c r="E705" s="1" t="s">
        <v>3917</v>
      </c>
      <c r="F705" s="1" t="s">
        <v>3918</v>
      </c>
      <c r="G705" s="1" t="s">
        <v>4983</v>
      </c>
    </row>
    <row r="706" spans="1:7" x14ac:dyDescent="0.45">
      <c r="A706" s="1" t="s">
        <v>6929</v>
      </c>
      <c r="B706" s="1" t="s">
        <v>6930</v>
      </c>
      <c r="C706" s="1" t="s">
        <v>255</v>
      </c>
      <c r="D706" s="1" t="s">
        <v>7978</v>
      </c>
      <c r="E706" s="1" t="s">
        <v>3917</v>
      </c>
      <c r="F706" s="1" t="s">
        <v>3918</v>
      </c>
      <c r="G706" s="1" t="s">
        <v>4983</v>
      </c>
    </row>
    <row r="707" spans="1:7" x14ac:dyDescent="0.45">
      <c r="A707" s="1" t="s">
        <v>872</v>
      </c>
      <c r="B707" s="1" t="s">
        <v>871</v>
      </c>
      <c r="C707" s="1" t="s">
        <v>255</v>
      </c>
      <c r="D707" s="1" t="s">
        <v>2601</v>
      </c>
      <c r="E707" s="1" t="s">
        <v>3917</v>
      </c>
      <c r="F707" s="1" t="s">
        <v>3918</v>
      </c>
      <c r="G707" s="1" t="s">
        <v>4983</v>
      </c>
    </row>
    <row r="708" spans="1:7" x14ac:dyDescent="0.45">
      <c r="A708" s="1" t="s">
        <v>10065</v>
      </c>
      <c r="B708" s="1" t="s">
        <v>10066</v>
      </c>
      <c r="C708" s="1" t="s">
        <v>255</v>
      </c>
      <c r="D708" s="1" t="s">
        <v>11307</v>
      </c>
      <c r="E708" s="1" t="s">
        <v>3917</v>
      </c>
      <c r="F708" s="1" t="s">
        <v>3918</v>
      </c>
      <c r="G708" s="1" t="s">
        <v>4983</v>
      </c>
    </row>
    <row r="709" spans="1:7" x14ac:dyDescent="0.45">
      <c r="A709" s="1" t="s">
        <v>6931</v>
      </c>
      <c r="B709" s="1" t="s">
        <v>6932</v>
      </c>
      <c r="C709" s="1" t="s">
        <v>255</v>
      </c>
      <c r="D709" s="1" t="s">
        <v>7979</v>
      </c>
      <c r="E709" s="1" t="s">
        <v>3917</v>
      </c>
      <c r="F709" s="1" t="s">
        <v>3918</v>
      </c>
      <c r="G709" s="1" t="s">
        <v>4983</v>
      </c>
    </row>
    <row r="710" spans="1:7" x14ac:dyDescent="0.45">
      <c r="A710" s="1" t="s">
        <v>4078</v>
      </c>
      <c r="B710" s="1" t="s">
        <v>4079</v>
      </c>
      <c r="C710" s="1" t="s">
        <v>255</v>
      </c>
      <c r="D710" s="1" t="s">
        <v>4706</v>
      </c>
      <c r="E710" s="1" t="s">
        <v>3917</v>
      </c>
      <c r="F710" s="1" t="s">
        <v>3918</v>
      </c>
      <c r="G710" s="1" t="s">
        <v>4983</v>
      </c>
    </row>
    <row r="711" spans="1:7" x14ac:dyDescent="0.45">
      <c r="A711" s="1" t="s">
        <v>10067</v>
      </c>
      <c r="B711" s="1" t="s">
        <v>10068</v>
      </c>
      <c r="C711" s="1" t="s">
        <v>255</v>
      </c>
      <c r="D711" s="1" t="s">
        <v>11308</v>
      </c>
      <c r="E711" s="1" t="s">
        <v>3917</v>
      </c>
      <c r="F711" s="1" t="s">
        <v>3918</v>
      </c>
      <c r="G711" s="1" t="s">
        <v>4983</v>
      </c>
    </row>
    <row r="712" spans="1:7" x14ac:dyDescent="0.45">
      <c r="A712" s="1" t="s">
        <v>6933</v>
      </c>
      <c r="B712" s="1" t="s">
        <v>6934</v>
      </c>
      <c r="C712" s="1" t="s">
        <v>255</v>
      </c>
      <c r="D712" s="1" t="s">
        <v>7980</v>
      </c>
      <c r="E712" s="1" t="s">
        <v>3919</v>
      </c>
      <c r="F712" s="1" t="s">
        <v>3918</v>
      </c>
      <c r="G712" s="1" t="s">
        <v>4983</v>
      </c>
    </row>
    <row r="713" spans="1:7" x14ac:dyDescent="0.45">
      <c r="A713" s="1" t="s">
        <v>6935</v>
      </c>
      <c r="B713" s="1" t="s">
        <v>5506</v>
      </c>
      <c r="C713" s="1" t="s">
        <v>255</v>
      </c>
      <c r="D713" s="1" t="s">
        <v>5507</v>
      </c>
      <c r="E713" s="1" t="s">
        <v>3917</v>
      </c>
      <c r="F713" s="1" t="s">
        <v>3918</v>
      </c>
      <c r="G713" s="1" t="s">
        <v>4983</v>
      </c>
    </row>
    <row r="714" spans="1:7" x14ac:dyDescent="0.45">
      <c r="A714" s="1" t="s">
        <v>4080</v>
      </c>
      <c r="B714" s="1" t="s">
        <v>4081</v>
      </c>
      <c r="C714" s="1" t="s">
        <v>255</v>
      </c>
      <c r="D714" s="1" t="s">
        <v>4707</v>
      </c>
      <c r="E714" s="1" t="s">
        <v>3917</v>
      </c>
      <c r="F714" s="1" t="s">
        <v>3918</v>
      </c>
      <c r="G714" s="1" t="s">
        <v>4983</v>
      </c>
    </row>
    <row r="715" spans="1:7" x14ac:dyDescent="0.45">
      <c r="A715" s="1" t="s">
        <v>6936</v>
      </c>
      <c r="B715" s="1" t="s">
        <v>6937</v>
      </c>
      <c r="C715" s="1" t="s">
        <v>255</v>
      </c>
      <c r="D715" s="1" t="s">
        <v>7981</v>
      </c>
      <c r="E715" s="1" t="s">
        <v>3917</v>
      </c>
      <c r="F715" s="1" t="s">
        <v>3918</v>
      </c>
      <c r="G715" s="1" t="s">
        <v>4983</v>
      </c>
    </row>
    <row r="716" spans="1:7" x14ac:dyDescent="0.45">
      <c r="A716" s="1" t="s">
        <v>10069</v>
      </c>
      <c r="B716" s="1" t="s">
        <v>10070</v>
      </c>
      <c r="C716" s="1" t="s">
        <v>255</v>
      </c>
      <c r="D716" s="1" t="s">
        <v>11309</v>
      </c>
      <c r="E716" s="1" t="s">
        <v>3917</v>
      </c>
      <c r="F716" s="1" t="s">
        <v>3918</v>
      </c>
      <c r="G716" s="1" t="s">
        <v>4983</v>
      </c>
    </row>
    <row r="717" spans="1:7" x14ac:dyDescent="0.45">
      <c r="A717" s="1" t="s">
        <v>4082</v>
      </c>
      <c r="B717" s="1" t="s">
        <v>4083</v>
      </c>
      <c r="C717" s="1" t="s">
        <v>255</v>
      </c>
      <c r="D717" s="1" t="s">
        <v>4708</v>
      </c>
      <c r="E717" s="1" t="s">
        <v>3917</v>
      </c>
      <c r="F717" s="1" t="s">
        <v>3918</v>
      </c>
      <c r="G717" s="1" t="s">
        <v>4983</v>
      </c>
    </row>
    <row r="718" spans="1:7" x14ac:dyDescent="0.45">
      <c r="A718" s="1" t="s">
        <v>10071</v>
      </c>
      <c r="B718" s="1" t="s">
        <v>6701</v>
      </c>
      <c r="C718" s="1" t="s">
        <v>255</v>
      </c>
      <c r="D718" s="1" t="s">
        <v>6702</v>
      </c>
      <c r="E718" s="1" t="s">
        <v>3917</v>
      </c>
      <c r="F718" s="1" t="s">
        <v>3918</v>
      </c>
      <c r="G718" s="1" t="s">
        <v>4983</v>
      </c>
    </row>
    <row r="719" spans="1:7" x14ac:dyDescent="0.45">
      <c r="A719" s="1" t="s">
        <v>10072</v>
      </c>
      <c r="B719" s="1" t="s">
        <v>10073</v>
      </c>
      <c r="C719" s="1" t="s">
        <v>255</v>
      </c>
      <c r="D719" s="1" t="s">
        <v>11310</v>
      </c>
      <c r="E719" s="1" t="s">
        <v>3917</v>
      </c>
      <c r="F719" s="1" t="s">
        <v>3918</v>
      </c>
      <c r="G719" s="1" t="s">
        <v>4983</v>
      </c>
    </row>
    <row r="720" spans="1:7" x14ac:dyDescent="0.45">
      <c r="A720" s="1" t="s">
        <v>3424</v>
      </c>
      <c r="B720" s="1" t="s">
        <v>3425</v>
      </c>
      <c r="C720" s="1" t="s">
        <v>255</v>
      </c>
      <c r="D720" s="1" t="s">
        <v>3426</v>
      </c>
      <c r="E720" s="1" t="s">
        <v>3917</v>
      </c>
      <c r="F720" s="1" t="s">
        <v>3918</v>
      </c>
      <c r="G720" s="1" t="s">
        <v>4983</v>
      </c>
    </row>
    <row r="721" spans="1:7" x14ac:dyDescent="0.45">
      <c r="A721" s="1" t="s">
        <v>6938</v>
      </c>
      <c r="B721" s="1" t="s">
        <v>6939</v>
      </c>
      <c r="C721" s="1" t="s">
        <v>255</v>
      </c>
      <c r="D721" s="1" t="s">
        <v>7982</v>
      </c>
      <c r="E721" s="1" t="s">
        <v>3917</v>
      </c>
      <c r="F721" s="1" t="s">
        <v>3918</v>
      </c>
      <c r="G721" s="1" t="s">
        <v>4983</v>
      </c>
    </row>
    <row r="722" spans="1:7" x14ac:dyDescent="0.45">
      <c r="A722" s="1" t="s">
        <v>4084</v>
      </c>
      <c r="B722" s="1" t="s">
        <v>3327</v>
      </c>
      <c r="C722" s="1" t="s">
        <v>255</v>
      </c>
      <c r="D722" s="1" t="s">
        <v>3328</v>
      </c>
      <c r="E722" s="1" t="s">
        <v>3917</v>
      </c>
      <c r="F722" s="1" t="s">
        <v>3918</v>
      </c>
      <c r="G722" s="1" t="s">
        <v>4983</v>
      </c>
    </row>
    <row r="723" spans="1:7" x14ac:dyDescent="0.45">
      <c r="A723" s="1" t="s">
        <v>4085</v>
      </c>
      <c r="B723" s="1" t="s">
        <v>4086</v>
      </c>
      <c r="C723" s="1" t="s">
        <v>255</v>
      </c>
      <c r="D723" s="1" t="s">
        <v>4709</v>
      </c>
      <c r="E723" s="1" t="s">
        <v>3917</v>
      </c>
      <c r="F723" s="1" t="s">
        <v>3918</v>
      </c>
      <c r="G723" s="1" t="s">
        <v>4983</v>
      </c>
    </row>
    <row r="724" spans="1:7" x14ac:dyDescent="0.45">
      <c r="A724" s="1" t="s">
        <v>10074</v>
      </c>
      <c r="B724" s="1" t="s">
        <v>10075</v>
      </c>
      <c r="C724" s="1" t="s">
        <v>255</v>
      </c>
      <c r="D724" s="1" t="s">
        <v>11311</v>
      </c>
      <c r="E724" s="1" t="s">
        <v>3917</v>
      </c>
      <c r="F724" s="1" t="s">
        <v>3918</v>
      </c>
      <c r="G724" s="1" t="s">
        <v>4983</v>
      </c>
    </row>
    <row r="725" spans="1:7" x14ac:dyDescent="0.45">
      <c r="A725" s="1" t="s">
        <v>6942</v>
      </c>
      <c r="B725" s="1" t="s">
        <v>6943</v>
      </c>
      <c r="C725" s="1" t="s">
        <v>255</v>
      </c>
      <c r="D725" s="1" t="s">
        <v>7984</v>
      </c>
      <c r="E725" s="1" t="s">
        <v>3917</v>
      </c>
      <c r="F725" s="1" t="s">
        <v>3918</v>
      </c>
      <c r="G725" s="1" t="s">
        <v>4983</v>
      </c>
    </row>
    <row r="726" spans="1:7" x14ac:dyDescent="0.45">
      <c r="A726" s="1" t="s">
        <v>10076</v>
      </c>
      <c r="B726" s="1" t="s">
        <v>10077</v>
      </c>
      <c r="C726" s="1" t="s">
        <v>255</v>
      </c>
      <c r="D726" s="1" t="s">
        <v>11312</v>
      </c>
      <c r="E726" s="1" t="s">
        <v>3917</v>
      </c>
      <c r="F726" s="1" t="s">
        <v>3918</v>
      </c>
      <c r="G726" s="1" t="s">
        <v>4983</v>
      </c>
    </row>
    <row r="727" spans="1:7" x14ac:dyDescent="0.45">
      <c r="A727" s="1" t="s">
        <v>10078</v>
      </c>
      <c r="B727" s="1" t="s">
        <v>10079</v>
      </c>
      <c r="C727" s="1" t="s">
        <v>255</v>
      </c>
      <c r="D727" s="1" t="s">
        <v>11313</v>
      </c>
      <c r="E727" s="1" t="s">
        <v>3917</v>
      </c>
      <c r="F727" s="1" t="s">
        <v>3918</v>
      </c>
      <c r="G727" s="1" t="s">
        <v>4983</v>
      </c>
    </row>
    <row r="728" spans="1:7" x14ac:dyDescent="0.45">
      <c r="A728" s="1" t="s">
        <v>10080</v>
      </c>
      <c r="B728" s="1" t="s">
        <v>10081</v>
      </c>
      <c r="C728" s="1" t="s">
        <v>255</v>
      </c>
      <c r="D728" s="1" t="s">
        <v>11314</v>
      </c>
      <c r="E728" s="1" t="s">
        <v>3917</v>
      </c>
      <c r="F728" s="1" t="s">
        <v>3918</v>
      </c>
      <c r="G728" s="1" t="s">
        <v>4983</v>
      </c>
    </row>
    <row r="729" spans="1:7" x14ac:dyDescent="0.45">
      <c r="A729" s="1" t="s">
        <v>4087</v>
      </c>
      <c r="B729" s="1" t="s">
        <v>4088</v>
      </c>
      <c r="C729" s="1" t="s">
        <v>255</v>
      </c>
      <c r="D729" s="1" t="s">
        <v>4710</v>
      </c>
      <c r="E729" s="1" t="s">
        <v>3917</v>
      </c>
      <c r="F729" s="1" t="s">
        <v>3918</v>
      </c>
      <c r="G729" s="1" t="s">
        <v>4983</v>
      </c>
    </row>
    <row r="730" spans="1:7" x14ac:dyDescent="0.45">
      <c r="A730" s="1" t="s">
        <v>3430</v>
      </c>
      <c r="B730" s="1" t="s">
        <v>3431</v>
      </c>
      <c r="C730" s="1" t="s">
        <v>255</v>
      </c>
      <c r="D730" s="1" t="s">
        <v>3432</v>
      </c>
      <c r="E730" s="1" t="s">
        <v>3917</v>
      </c>
      <c r="F730" s="1" t="s">
        <v>3918</v>
      </c>
      <c r="G730" s="1" t="s">
        <v>4983</v>
      </c>
    </row>
    <row r="731" spans="1:7" x14ac:dyDescent="0.45">
      <c r="A731" s="1" t="s">
        <v>6944</v>
      </c>
      <c r="B731" s="1" t="s">
        <v>6945</v>
      </c>
      <c r="C731" s="1" t="s">
        <v>255</v>
      </c>
      <c r="D731" s="1" t="s">
        <v>7985</v>
      </c>
      <c r="E731" s="1" t="s">
        <v>3917</v>
      </c>
      <c r="F731" s="1" t="s">
        <v>3918</v>
      </c>
      <c r="G731" s="1" t="s">
        <v>4983</v>
      </c>
    </row>
    <row r="732" spans="1:7" x14ac:dyDescent="0.45">
      <c r="A732" s="1" t="s">
        <v>10082</v>
      </c>
      <c r="B732" s="1" t="s">
        <v>10083</v>
      </c>
      <c r="C732" s="1" t="s">
        <v>255</v>
      </c>
      <c r="D732" s="1" t="s">
        <v>11315</v>
      </c>
      <c r="E732" s="1" t="s">
        <v>3917</v>
      </c>
      <c r="F732" s="1" t="s">
        <v>3918</v>
      </c>
      <c r="G732" s="1" t="s">
        <v>4983</v>
      </c>
    </row>
    <row r="733" spans="1:7" x14ac:dyDescent="0.45">
      <c r="A733" s="1" t="s">
        <v>3436</v>
      </c>
      <c r="B733" s="1" t="s">
        <v>3437</v>
      </c>
      <c r="C733" s="1" t="s">
        <v>255</v>
      </c>
      <c r="D733" s="1" t="s">
        <v>3438</v>
      </c>
      <c r="E733" s="1" t="s">
        <v>3917</v>
      </c>
      <c r="F733" s="1" t="s">
        <v>3918</v>
      </c>
      <c r="G733" s="1" t="s">
        <v>4983</v>
      </c>
    </row>
    <row r="734" spans="1:7" x14ac:dyDescent="0.45">
      <c r="A734" s="1" t="s">
        <v>1617</v>
      </c>
      <c r="B734" s="1" t="s">
        <v>1618</v>
      </c>
      <c r="C734" s="1" t="s">
        <v>255</v>
      </c>
      <c r="D734" s="1" t="s">
        <v>2605</v>
      </c>
      <c r="E734" s="1" t="s">
        <v>3917</v>
      </c>
      <c r="F734" s="1" t="s">
        <v>3918</v>
      </c>
      <c r="G734" s="1" t="s">
        <v>4983</v>
      </c>
    </row>
    <row r="735" spans="1:7" x14ac:dyDescent="0.45">
      <c r="A735" s="1" t="s">
        <v>10084</v>
      </c>
      <c r="B735" s="1" t="s">
        <v>5248</v>
      </c>
      <c r="C735" s="1" t="s">
        <v>255</v>
      </c>
      <c r="D735" s="1" t="s">
        <v>5249</v>
      </c>
      <c r="E735" s="1" t="s">
        <v>3917</v>
      </c>
      <c r="F735" s="1" t="s">
        <v>3918</v>
      </c>
      <c r="G735" s="1" t="s">
        <v>4983</v>
      </c>
    </row>
    <row r="736" spans="1:7" x14ac:dyDescent="0.45">
      <c r="A736" s="1" t="s">
        <v>6946</v>
      </c>
      <c r="B736" s="1" t="s">
        <v>6947</v>
      </c>
      <c r="C736" s="1" t="s">
        <v>255</v>
      </c>
      <c r="D736" s="1" t="s">
        <v>7986</v>
      </c>
      <c r="E736" s="1" t="s">
        <v>3917</v>
      </c>
      <c r="F736" s="1" t="s">
        <v>3918</v>
      </c>
      <c r="G736" s="1" t="s">
        <v>4983</v>
      </c>
    </row>
    <row r="737" spans="1:7" x14ac:dyDescent="0.45">
      <c r="A737" s="1" t="s">
        <v>6948</v>
      </c>
      <c r="B737" s="1" t="s">
        <v>6949</v>
      </c>
      <c r="C737" s="1" t="s">
        <v>255</v>
      </c>
      <c r="D737" s="1" t="s">
        <v>7987</v>
      </c>
      <c r="E737" s="1" t="s">
        <v>3917</v>
      </c>
      <c r="F737" s="1" t="s">
        <v>3918</v>
      </c>
      <c r="G737" s="1" t="s">
        <v>4983</v>
      </c>
    </row>
    <row r="738" spans="1:7" x14ac:dyDescent="0.45">
      <c r="A738" s="1" t="s">
        <v>6950</v>
      </c>
      <c r="B738" s="1" t="s">
        <v>6951</v>
      </c>
      <c r="C738" s="1" t="s">
        <v>255</v>
      </c>
      <c r="D738" s="1" t="s">
        <v>7988</v>
      </c>
      <c r="E738" s="1" t="s">
        <v>3917</v>
      </c>
      <c r="F738" s="1" t="s">
        <v>3918</v>
      </c>
      <c r="G738" s="1" t="s">
        <v>4983</v>
      </c>
    </row>
    <row r="739" spans="1:7" x14ac:dyDescent="0.45">
      <c r="A739" s="1" t="s">
        <v>10085</v>
      </c>
      <c r="B739" s="1" t="s">
        <v>10086</v>
      </c>
      <c r="C739" s="1" t="s">
        <v>255</v>
      </c>
      <c r="D739" s="1" t="s">
        <v>11316</v>
      </c>
      <c r="E739" s="1" t="s">
        <v>3917</v>
      </c>
      <c r="F739" s="1" t="s">
        <v>3918</v>
      </c>
      <c r="G739" s="1" t="s">
        <v>4983</v>
      </c>
    </row>
    <row r="740" spans="1:7" x14ac:dyDescent="0.45">
      <c r="A740" s="1" t="s">
        <v>867</v>
      </c>
      <c r="B740" s="1" t="s">
        <v>866</v>
      </c>
      <c r="C740" s="1" t="s">
        <v>255</v>
      </c>
      <c r="D740" s="1" t="s">
        <v>2606</v>
      </c>
      <c r="E740" s="1" t="s">
        <v>3917</v>
      </c>
      <c r="F740" s="1" t="s">
        <v>3918</v>
      </c>
      <c r="G740" s="1" t="s">
        <v>4983</v>
      </c>
    </row>
    <row r="741" spans="1:7" x14ac:dyDescent="0.45">
      <c r="A741" s="1" t="s">
        <v>6952</v>
      </c>
      <c r="B741" s="1" t="s">
        <v>6953</v>
      </c>
      <c r="C741" s="1" t="s">
        <v>255</v>
      </c>
      <c r="D741" s="1" t="s">
        <v>7989</v>
      </c>
      <c r="E741" s="1" t="s">
        <v>3917</v>
      </c>
      <c r="F741" s="1" t="s">
        <v>3918</v>
      </c>
      <c r="G741" s="1" t="s">
        <v>4983</v>
      </c>
    </row>
    <row r="742" spans="1:7" x14ac:dyDescent="0.45">
      <c r="A742" s="1" t="s">
        <v>4089</v>
      </c>
      <c r="B742" s="1" t="s">
        <v>4090</v>
      </c>
      <c r="C742" s="1" t="s">
        <v>255</v>
      </c>
      <c r="D742" s="1" t="s">
        <v>4711</v>
      </c>
      <c r="E742" s="1" t="s">
        <v>3917</v>
      </c>
      <c r="F742" s="1" t="s">
        <v>3918</v>
      </c>
      <c r="G742" s="1" t="s">
        <v>4983</v>
      </c>
    </row>
    <row r="743" spans="1:7" x14ac:dyDescent="0.45">
      <c r="A743" s="1" t="s">
        <v>6954</v>
      </c>
      <c r="B743" s="1" t="s">
        <v>6955</v>
      </c>
      <c r="C743" s="1" t="s">
        <v>255</v>
      </c>
      <c r="D743" s="1" t="s">
        <v>7990</v>
      </c>
      <c r="E743" s="1" t="s">
        <v>3917</v>
      </c>
      <c r="F743" s="1" t="s">
        <v>3918</v>
      </c>
      <c r="G743" s="1" t="s">
        <v>4983</v>
      </c>
    </row>
    <row r="744" spans="1:7" x14ac:dyDescent="0.45">
      <c r="A744" s="1" t="s">
        <v>10087</v>
      </c>
      <c r="B744" s="1" t="s">
        <v>10088</v>
      </c>
      <c r="C744" s="1" t="s">
        <v>255</v>
      </c>
      <c r="D744" s="1" t="s">
        <v>11317</v>
      </c>
      <c r="E744" s="1" t="s">
        <v>3917</v>
      </c>
      <c r="F744" s="1" t="s">
        <v>3918</v>
      </c>
      <c r="G744" s="1" t="s">
        <v>4983</v>
      </c>
    </row>
    <row r="745" spans="1:7" x14ac:dyDescent="0.45">
      <c r="A745" s="1" t="s">
        <v>865</v>
      </c>
      <c r="B745" s="1" t="s">
        <v>864</v>
      </c>
      <c r="C745" s="1" t="s">
        <v>255</v>
      </c>
      <c r="D745" s="1" t="s">
        <v>2607</v>
      </c>
      <c r="E745" s="1" t="s">
        <v>3917</v>
      </c>
      <c r="F745" s="1" t="s">
        <v>3918</v>
      </c>
      <c r="G745" s="1" t="s">
        <v>4983</v>
      </c>
    </row>
    <row r="746" spans="1:7" x14ac:dyDescent="0.45">
      <c r="A746" s="1" t="s">
        <v>10089</v>
      </c>
      <c r="B746" s="1" t="s">
        <v>10090</v>
      </c>
      <c r="C746" s="1" t="s">
        <v>255</v>
      </c>
      <c r="D746" s="1" t="s">
        <v>11318</v>
      </c>
      <c r="E746" s="1" t="s">
        <v>3917</v>
      </c>
      <c r="F746" s="1" t="s">
        <v>3918</v>
      </c>
      <c r="G746" s="1" t="s">
        <v>4983</v>
      </c>
    </row>
    <row r="747" spans="1:7" x14ac:dyDescent="0.45">
      <c r="A747" s="1" t="s">
        <v>1619</v>
      </c>
      <c r="B747" s="1" t="s">
        <v>1620</v>
      </c>
      <c r="C747" s="1" t="s">
        <v>255</v>
      </c>
      <c r="D747" s="1" t="s">
        <v>2608</v>
      </c>
      <c r="E747" s="1" t="s">
        <v>3917</v>
      </c>
      <c r="F747" s="1" t="s">
        <v>3918</v>
      </c>
      <c r="G747" s="1" t="s">
        <v>4983</v>
      </c>
    </row>
    <row r="748" spans="1:7" x14ac:dyDescent="0.45">
      <c r="A748" s="1" t="s">
        <v>4091</v>
      </c>
      <c r="B748" s="1" t="s">
        <v>3317</v>
      </c>
      <c r="C748" s="1" t="s">
        <v>255</v>
      </c>
      <c r="D748" s="1" t="s">
        <v>3318</v>
      </c>
      <c r="E748" s="1" t="s">
        <v>3917</v>
      </c>
      <c r="F748" s="1" t="s">
        <v>3918</v>
      </c>
      <c r="G748" s="1" t="s">
        <v>4983</v>
      </c>
    </row>
    <row r="749" spans="1:7" x14ac:dyDescent="0.45">
      <c r="A749" s="1" t="s">
        <v>6956</v>
      </c>
      <c r="B749" s="1" t="s">
        <v>6957</v>
      </c>
      <c r="C749" s="1" t="s">
        <v>255</v>
      </c>
      <c r="D749" s="1" t="s">
        <v>7991</v>
      </c>
      <c r="E749" s="1" t="s">
        <v>3917</v>
      </c>
      <c r="F749" s="1" t="s">
        <v>3918</v>
      </c>
      <c r="G749" s="1" t="s">
        <v>4983</v>
      </c>
    </row>
    <row r="750" spans="1:7" x14ac:dyDescent="0.45">
      <c r="A750" s="1" t="s">
        <v>6958</v>
      </c>
      <c r="B750" s="1" t="s">
        <v>6959</v>
      </c>
      <c r="C750" s="1" t="s">
        <v>255</v>
      </c>
      <c r="D750" s="1" t="s">
        <v>7992</v>
      </c>
      <c r="E750" s="1" t="s">
        <v>3917</v>
      </c>
      <c r="F750" s="1" t="s">
        <v>3918</v>
      </c>
      <c r="G750" s="1" t="s">
        <v>4983</v>
      </c>
    </row>
    <row r="751" spans="1:7" x14ac:dyDescent="0.45">
      <c r="A751" s="1" t="s">
        <v>6960</v>
      </c>
      <c r="B751" s="1" t="s">
        <v>6961</v>
      </c>
      <c r="C751" s="1" t="s">
        <v>255</v>
      </c>
      <c r="D751" s="1" t="s">
        <v>7992</v>
      </c>
      <c r="E751" s="1" t="s">
        <v>3917</v>
      </c>
      <c r="F751" s="1" t="s">
        <v>3918</v>
      </c>
      <c r="G751" s="1" t="s">
        <v>4983</v>
      </c>
    </row>
    <row r="752" spans="1:7" x14ac:dyDescent="0.45">
      <c r="A752" s="1" t="s">
        <v>10091</v>
      </c>
      <c r="B752" s="1" t="s">
        <v>10092</v>
      </c>
      <c r="C752" s="1" t="s">
        <v>255</v>
      </c>
      <c r="D752" s="1" t="s">
        <v>11319</v>
      </c>
      <c r="E752" s="1" t="s">
        <v>3917</v>
      </c>
      <c r="F752" s="1" t="s">
        <v>3918</v>
      </c>
      <c r="G752" s="1" t="s">
        <v>4983</v>
      </c>
    </row>
    <row r="753" spans="1:7" x14ac:dyDescent="0.45">
      <c r="A753" s="1" t="s">
        <v>10093</v>
      </c>
      <c r="B753" s="1" t="s">
        <v>10094</v>
      </c>
      <c r="C753" s="1" t="s">
        <v>255</v>
      </c>
      <c r="D753" s="1" t="s">
        <v>11320</v>
      </c>
      <c r="E753" s="1" t="s">
        <v>3917</v>
      </c>
      <c r="F753" s="1" t="s">
        <v>3918</v>
      </c>
      <c r="G753" s="1" t="s">
        <v>4983</v>
      </c>
    </row>
    <row r="754" spans="1:7" x14ac:dyDescent="0.45">
      <c r="A754" s="1" t="s">
        <v>10095</v>
      </c>
      <c r="B754" s="1" t="s">
        <v>10096</v>
      </c>
      <c r="C754" s="1" t="s">
        <v>255</v>
      </c>
      <c r="D754" s="1" t="s">
        <v>4712</v>
      </c>
      <c r="E754" s="1" t="s">
        <v>3919</v>
      </c>
      <c r="F754" s="1" t="s">
        <v>3918</v>
      </c>
      <c r="G754" s="1" t="s">
        <v>4983</v>
      </c>
    </row>
    <row r="755" spans="1:7" x14ac:dyDescent="0.45">
      <c r="A755" s="1" t="s">
        <v>10097</v>
      </c>
      <c r="B755" s="1" t="s">
        <v>6632</v>
      </c>
      <c r="C755" s="1" t="s">
        <v>255</v>
      </c>
      <c r="D755" s="1" t="s">
        <v>6633</v>
      </c>
      <c r="E755" s="1" t="s">
        <v>3919</v>
      </c>
      <c r="F755" s="1" t="s">
        <v>3918</v>
      </c>
      <c r="G755" s="1" t="s">
        <v>4983</v>
      </c>
    </row>
    <row r="756" spans="1:7" x14ac:dyDescent="0.45">
      <c r="A756" s="1" t="s">
        <v>2609</v>
      </c>
      <c r="B756" s="1" t="s">
        <v>2610</v>
      </c>
      <c r="C756" s="1" t="s">
        <v>255</v>
      </c>
      <c r="D756" s="1" t="s">
        <v>2611</v>
      </c>
      <c r="E756" s="1" t="s">
        <v>3917</v>
      </c>
      <c r="F756" s="1" t="s">
        <v>3918</v>
      </c>
      <c r="G756" s="1" t="s">
        <v>4983</v>
      </c>
    </row>
    <row r="757" spans="1:7" x14ac:dyDescent="0.45">
      <c r="A757" s="1" t="s">
        <v>10098</v>
      </c>
      <c r="B757" s="1" t="s">
        <v>10099</v>
      </c>
      <c r="C757" s="1" t="s">
        <v>255</v>
      </c>
      <c r="D757" s="1" t="s">
        <v>11321</v>
      </c>
      <c r="E757" s="1" t="s">
        <v>3917</v>
      </c>
      <c r="F757" s="1" t="s">
        <v>3918</v>
      </c>
      <c r="G757" s="1" t="s">
        <v>4983</v>
      </c>
    </row>
    <row r="758" spans="1:7" x14ac:dyDescent="0.45">
      <c r="A758" s="1" t="s">
        <v>6962</v>
      </c>
      <c r="B758" s="1" t="s">
        <v>6963</v>
      </c>
      <c r="C758" s="1" t="s">
        <v>255</v>
      </c>
      <c r="D758" s="1" t="s">
        <v>6258</v>
      </c>
      <c r="E758" s="1" t="s">
        <v>3917</v>
      </c>
      <c r="F758" s="1" t="s">
        <v>3918</v>
      </c>
      <c r="G758" s="1" t="s">
        <v>4983</v>
      </c>
    </row>
    <row r="759" spans="1:7" x14ac:dyDescent="0.45">
      <c r="A759" s="1" t="s">
        <v>10100</v>
      </c>
      <c r="B759" s="1" t="s">
        <v>10101</v>
      </c>
      <c r="C759" s="1" t="s">
        <v>255</v>
      </c>
      <c r="D759" s="1" t="s">
        <v>6667</v>
      </c>
      <c r="E759" s="1" t="s">
        <v>3917</v>
      </c>
      <c r="F759" s="1" t="s">
        <v>3918</v>
      </c>
      <c r="G759" s="1" t="s">
        <v>4983</v>
      </c>
    </row>
    <row r="760" spans="1:7" x14ac:dyDescent="0.45">
      <c r="A760" s="1" t="s">
        <v>6966</v>
      </c>
      <c r="B760" s="1" t="s">
        <v>6967</v>
      </c>
      <c r="C760" s="1" t="s">
        <v>255</v>
      </c>
      <c r="D760" s="1" t="s">
        <v>7993</v>
      </c>
      <c r="E760" s="1" t="s">
        <v>3917</v>
      </c>
      <c r="F760" s="1" t="s">
        <v>3918</v>
      </c>
      <c r="G760" s="1" t="s">
        <v>4983</v>
      </c>
    </row>
    <row r="761" spans="1:7" x14ac:dyDescent="0.45">
      <c r="A761" s="1" t="s">
        <v>6968</v>
      </c>
      <c r="B761" s="1" t="s">
        <v>5645</v>
      </c>
      <c r="C761" s="1" t="s">
        <v>255</v>
      </c>
      <c r="D761" s="1" t="s">
        <v>5646</v>
      </c>
      <c r="E761" s="1" t="s">
        <v>3917</v>
      </c>
      <c r="F761" s="1" t="s">
        <v>3918</v>
      </c>
      <c r="G761" s="1" t="s">
        <v>4983</v>
      </c>
    </row>
    <row r="762" spans="1:7" x14ac:dyDescent="0.45">
      <c r="A762" s="1" t="s">
        <v>10102</v>
      </c>
      <c r="B762" s="1" t="s">
        <v>10103</v>
      </c>
      <c r="C762" s="1" t="s">
        <v>255</v>
      </c>
      <c r="D762" s="1" t="s">
        <v>11322</v>
      </c>
      <c r="E762" s="1" t="s">
        <v>3917</v>
      </c>
      <c r="F762" s="1" t="s">
        <v>3918</v>
      </c>
      <c r="G762" s="1" t="s">
        <v>4983</v>
      </c>
    </row>
    <row r="763" spans="1:7" x14ac:dyDescent="0.45">
      <c r="A763" s="1" t="s">
        <v>6969</v>
      </c>
      <c r="B763" s="1" t="s">
        <v>6970</v>
      </c>
      <c r="C763" s="1" t="s">
        <v>255</v>
      </c>
      <c r="D763" s="1" t="s">
        <v>7994</v>
      </c>
      <c r="E763" s="1" t="s">
        <v>3917</v>
      </c>
      <c r="F763" s="1" t="s">
        <v>3918</v>
      </c>
      <c r="G763" s="1" t="s">
        <v>4983</v>
      </c>
    </row>
    <row r="764" spans="1:7" x14ac:dyDescent="0.45">
      <c r="A764" s="1" t="s">
        <v>6971</v>
      </c>
      <c r="B764" s="1" t="s">
        <v>6972</v>
      </c>
      <c r="C764" s="1" t="s">
        <v>255</v>
      </c>
      <c r="D764" s="1" t="s">
        <v>7995</v>
      </c>
      <c r="E764" s="1" t="s">
        <v>3917</v>
      </c>
      <c r="F764" s="1" t="s">
        <v>3918</v>
      </c>
      <c r="G764" s="1" t="s">
        <v>4983</v>
      </c>
    </row>
    <row r="765" spans="1:7" x14ac:dyDescent="0.45">
      <c r="A765" s="1" t="s">
        <v>3439</v>
      </c>
      <c r="B765" s="1" t="s">
        <v>3440</v>
      </c>
      <c r="C765" s="1" t="s">
        <v>255</v>
      </c>
      <c r="D765" s="1" t="s">
        <v>3441</v>
      </c>
      <c r="E765" s="1" t="s">
        <v>3917</v>
      </c>
      <c r="F765" s="1" t="s">
        <v>3918</v>
      </c>
      <c r="G765" s="1" t="s">
        <v>4983</v>
      </c>
    </row>
    <row r="766" spans="1:7" x14ac:dyDescent="0.45">
      <c r="A766" s="1" t="s">
        <v>6973</v>
      </c>
      <c r="B766" s="1" t="s">
        <v>6974</v>
      </c>
      <c r="C766" s="1" t="s">
        <v>255</v>
      </c>
      <c r="D766" s="1" t="s">
        <v>7996</v>
      </c>
      <c r="E766" s="1" t="s">
        <v>3917</v>
      </c>
      <c r="F766" s="1" t="s">
        <v>3918</v>
      </c>
      <c r="G766" s="1" t="s">
        <v>4983</v>
      </c>
    </row>
    <row r="767" spans="1:7" x14ac:dyDescent="0.45">
      <c r="A767" s="1" t="s">
        <v>10104</v>
      </c>
      <c r="B767" s="1" t="s">
        <v>10105</v>
      </c>
      <c r="C767" s="1" t="s">
        <v>255</v>
      </c>
      <c r="D767" s="1" t="s">
        <v>11323</v>
      </c>
      <c r="E767" s="1" t="s">
        <v>3917</v>
      </c>
      <c r="F767" s="1" t="s">
        <v>3918</v>
      </c>
      <c r="G767" s="1" t="s">
        <v>4983</v>
      </c>
    </row>
    <row r="768" spans="1:7" x14ac:dyDescent="0.45">
      <c r="A768" s="1" t="s">
        <v>859</v>
      </c>
      <c r="B768" s="1" t="s">
        <v>858</v>
      </c>
      <c r="C768" s="1" t="s">
        <v>255</v>
      </c>
      <c r="D768" s="1" t="s">
        <v>2612</v>
      </c>
      <c r="E768" s="1" t="s">
        <v>3917</v>
      </c>
      <c r="F768" s="1" t="s">
        <v>3918</v>
      </c>
      <c r="G768" s="1" t="s">
        <v>4983</v>
      </c>
    </row>
    <row r="769" spans="1:7" x14ac:dyDescent="0.45">
      <c r="A769" s="1" t="s">
        <v>10106</v>
      </c>
      <c r="B769" s="1" t="s">
        <v>10107</v>
      </c>
      <c r="C769" s="1" t="s">
        <v>255</v>
      </c>
      <c r="D769" s="1" t="s">
        <v>11324</v>
      </c>
      <c r="E769" s="1" t="s">
        <v>3917</v>
      </c>
      <c r="F769" s="1" t="s">
        <v>3918</v>
      </c>
      <c r="G769" s="1" t="s">
        <v>4983</v>
      </c>
    </row>
    <row r="770" spans="1:7" x14ac:dyDescent="0.45">
      <c r="A770" s="1" t="s">
        <v>10108</v>
      </c>
      <c r="B770" s="1" t="s">
        <v>10109</v>
      </c>
      <c r="C770" s="1" t="s">
        <v>255</v>
      </c>
      <c r="D770" s="1" t="s">
        <v>11325</v>
      </c>
      <c r="E770" s="1" t="s">
        <v>3917</v>
      </c>
      <c r="F770" s="1" t="s">
        <v>3918</v>
      </c>
      <c r="G770" s="1" t="s">
        <v>4983</v>
      </c>
    </row>
    <row r="771" spans="1:7" x14ac:dyDescent="0.45">
      <c r="A771" s="1" t="s">
        <v>857</v>
      </c>
      <c r="B771" s="1" t="s">
        <v>856</v>
      </c>
      <c r="C771" s="1" t="s">
        <v>255</v>
      </c>
      <c r="D771" s="1" t="s">
        <v>2613</v>
      </c>
      <c r="E771" s="1" t="s">
        <v>3917</v>
      </c>
      <c r="F771" s="1" t="s">
        <v>3918</v>
      </c>
      <c r="G771" s="1" t="s">
        <v>4983</v>
      </c>
    </row>
    <row r="772" spans="1:7" x14ac:dyDescent="0.45">
      <c r="A772" s="1" t="s">
        <v>855</v>
      </c>
      <c r="B772" s="1" t="s">
        <v>854</v>
      </c>
      <c r="C772" s="1" t="s">
        <v>255</v>
      </c>
      <c r="D772" s="1" t="s">
        <v>2614</v>
      </c>
      <c r="E772" s="1" t="s">
        <v>3917</v>
      </c>
      <c r="F772" s="1" t="s">
        <v>3918</v>
      </c>
      <c r="G772" s="1" t="s">
        <v>4983</v>
      </c>
    </row>
    <row r="773" spans="1:7" x14ac:dyDescent="0.45">
      <c r="A773" s="1" t="s">
        <v>10110</v>
      </c>
      <c r="B773" s="1" t="s">
        <v>10111</v>
      </c>
      <c r="C773" s="1" t="s">
        <v>255</v>
      </c>
      <c r="D773" s="1" t="s">
        <v>11326</v>
      </c>
      <c r="E773" s="1" t="s">
        <v>3919</v>
      </c>
      <c r="F773" s="1" t="s">
        <v>3918</v>
      </c>
      <c r="G773" s="1" t="s">
        <v>4983</v>
      </c>
    </row>
    <row r="774" spans="1:7" x14ac:dyDescent="0.45">
      <c r="A774" s="1" t="s">
        <v>3442</v>
      </c>
      <c r="B774" s="1" t="s">
        <v>3443</v>
      </c>
      <c r="C774" s="1" t="s">
        <v>255</v>
      </c>
      <c r="D774" s="1" t="s">
        <v>3444</v>
      </c>
      <c r="E774" s="1" t="s">
        <v>3917</v>
      </c>
      <c r="F774" s="1" t="s">
        <v>3918</v>
      </c>
      <c r="G774" s="1" t="s">
        <v>4983</v>
      </c>
    </row>
    <row r="775" spans="1:7" x14ac:dyDescent="0.45">
      <c r="A775" s="1" t="s">
        <v>10112</v>
      </c>
      <c r="B775" s="1" t="s">
        <v>10113</v>
      </c>
      <c r="C775" s="1" t="s">
        <v>255</v>
      </c>
      <c r="D775" s="1" t="s">
        <v>11327</v>
      </c>
      <c r="E775" s="1" t="s">
        <v>3917</v>
      </c>
      <c r="F775" s="1" t="s">
        <v>3918</v>
      </c>
      <c r="G775" s="1" t="s">
        <v>4983</v>
      </c>
    </row>
    <row r="776" spans="1:7" x14ac:dyDescent="0.45">
      <c r="A776" s="1" t="s">
        <v>1621</v>
      </c>
      <c r="B776" s="1" t="s">
        <v>1622</v>
      </c>
      <c r="C776" s="1" t="s">
        <v>255</v>
      </c>
      <c r="D776" s="1" t="s">
        <v>2615</v>
      </c>
      <c r="E776" s="1" t="s">
        <v>3917</v>
      </c>
      <c r="F776" s="1" t="s">
        <v>3918</v>
      </c>
      <c r="G776" s="1" t="s">
        <v>4983</v>
      </c>
    </row>
    <row r="777" spans="1:7" x14ac:dyDescent="0.45">
      <c r="A777" s="1" t="s">
        <v>10114</v>
      </c>
      <c r="B777" s="1" t="s">
        <v>10115</v>
      </c>
      <c r="C777" s="1" t="s">
        <v>255</v>
      </c>
      <c r="D777" s="1" t="s">
        <v>11328</v>
      </c>
      <c r="E777" s="1" t="s">
        <v>3917</v>
      </c>
      <c r="F777" s="1" t="s">
        <v>3918</v>
      </c>
      <c r="G777" s="1" t="s">
        <v>4983</v>
      </c>
    </row>
    <row r="778" spans="1:7" x14ac:dyDescent="0.45">
      <c r="A778" s="1" t="s">
        <v>3445</v>
      </c>
      <c r="B778" s="1" t="s">
        <v>3446</v>
      </c>
      <c r="C778" s="1" t="s">
        <v>255</v>
      </c>
      <c r="D778" s="1" t="s">
        <v>3447</v>
      </c>
      <c r="E778" s="1" t="s">
        <v>3917</v>
      </c>
      <c r="F778" s="1" t="s">
        <v>3918</v>
      </c>
      <c r="G778" s="1" t="s">
        <v>4983</v>
      </c>
    </row>
    <row r="779" spans="1:7" x14ac:dyDescent="0.45">
      <c r="A779" s="1" t="s">
        <v>6977</v>
      </c>
      <c r="B779" s="1" t="s">
        <v>6978</v>
      </c>
      <c r="C779" s="1" t="s">
        <v>255</v>
      </c>
      <c r="D779" s="1" t="s">
        <v>7998</v>
      </c>
      <c r="E779" s="1" t="s">
        <v>3917</v>
      </c>
      <c r="F779" s="1" t="s">
        <v>3918</v>
      </c>
      <c r="G779" s="1" t="s">
        <v>4983</v>
      </c>
    </row>
    <row r="780" spans="1:7" x14ac:dyDescent="0.45">
      <c r="A780" s="1" t="s">
        <v>10116</v>
      </c>
      <c r="B780" s="1" t="s">
        <v>10117</v>
      </c>
      <c r="C780" s="1" t="s">
        <v>255</v>
      </c>
      <c r="D780" s="1" t="s">
        <v>11329</v>
      </c>
      <c r="E780" s="1" t="s">
        <v>3917</v>
      </c>
      <c r="F780" s="1" t="s">
        <v>3918</v>
      </c>
      <c r="G780" s="1" t="s">
        <v>4983</v>
      </c>
    </row>
    <row r="781" spans="1:7" x14ac:dyDescent="0.45">
      <c r="A781" s="1" t="s">
        <v>4092</v>
      </c>
      <c r="B781" s="1" t="s">
        <v>4093</v>
      </c>
      <c r="C781" s="1" t="s">
        <v>255</v>
      </c>
      <c r="D781" s="1" t="s">
        <v>4713</v>
      </c>
      <c r="E781" s="1" t="s">
        <v>3917</v>
      </c>
      <c r="F781" s="1" t="s">
        <v>3918</v>
      </c>
      <c r="G781" s="1" t="s">
        <v>4983</v>
      </c>
    </row>
    <row r="782" spans="1:7" x14ac:dyDescent="0.45">
      <c r="A782" s="1" t="s">
        <v>10118</v>
      </c>
      <c r="B782" s="1" t="s">
        <v>10119</v>
      </c>
      <c r="C782" s="1" t="s">
        <v>255</v>
      </c>
      <c r="D782" s="1" t="s">
        <v>11330</v>
      </c>
      <c r="E782" s="1" t="s">
        <v>3917</v>
      </c>
      <c r="F782" s="1" t="s">
        <v>3918</v>
      </c>
      <c r="G782" s="1" t="s">
        <v>4983</v>
      </c>
    </row>
    <row r="783" spans="1:7" x14ac:dyDescent="0.45">
      <c r="A783" s="1" t="s">
        <v>10120</v>
      </c>
      <c r="B783" s="1" t="s">
        <v>5190</v>
      </c>
      <c r="C783" s="1" t="s">
        <v>255</v>
      </c>
      <c r="D783" s="1" t="s">
        <v>11331</v>
      </c>
      <c r="E783" s="1" t="s">
        <v>3917</v>
      </c>
      <c r="F783" s="1" t="s">
        <v>3918</v>
      </c>
      <c r="G783" s="1" t="s">
        <v>4983</v>
      </c>
    </row>
    <row r="784" spans="1:7" x14ac:dyDescent="0.45">
      <c r="A784" s="1" t="s">
        <v>1625</v>
      </c>
      <c r="B784" s="1" t="s">
        <v>1626</v>
      </c>
      <c r="C784" s="1" t="s">
        <v>255</v>
      </c>
      <c r="D784" s="1" t="s">
        <v>2617</v>
      </c>
      <c r="E784" s="1" t="s">
        <v>3919</v>
      </c>
      <c r="F784" s="1" t="s">
        <v>3918</v>
      </c>
      <c r="G784" s="1" t="s">
        <v>4983</v>
      </c>
    </row>
    <row r="785" spans="1:7" x14ac:dyDescent="0.45">
      <c r="A785" s="1" t="s">
        <v>1627</v>
      </c>
      <c r="B785" s="1" t="s">
        <v>1628</v>
      </c>
      <c r="C785" s="1" t="s">
        <v>255</v>
      </c>
      <c r="D785" s="1" t="s">
        <v>2618</v>
      </c>
      <c r="E785" s="1" t="s">
        <v>3917</v>
      </c>
      <c r="F785" s="1" t="s">
        <v>3918</v>
      </c>
      <c r="G785" s="1" t="s">
        <v>4983</v>
      </c>
    </row>
    <row r="786" spans="1:7" x14ac:dyDescent="0.45">
      <c r="A786" s="1" t="s">
        <v>3448</v>
      </c>
      <c r="B786" s="1" t="s">
        <v>3449</v>
      </c>
      <c r="C786" s="1" t="s">
        <v>255</v>
      </c>
      <c r="D786" s="1" t="s">
        <v>3450</v>
      </c>
      <c r="E786" s="1" t="s">
        <v>3919</v>
      </c>
      <c r="F786" s="1" t="s">
        <v>3918</v>
      </c>
      <c r="G786" s="1" t="s">
        <v>4983</v>
      </c>
    </row>
    <row r="787" spans="1:7" x14ac:dyDescent="0.45">
      <c r="A787" s="1" t="s">
        <v>6979</v>
      </c>
      <c r="B787" s="1" t="s">
        <v>6980</v>
      </c>
      <c r="C787" s="1" t="s">
        <v>255</v>
      </c>
      <c r="D787" s="1" t="s">
        <v>4714</v>
      </c>
      <c r="E787" s="1" t="s">
        <v>3917</v>
      </c>
      <c r="F787" s="1" t="s">
        <v>3918</v>
      </c>
      <c r="G787" s="1" t="s">
        <v>4983</v>
      </c>
    </row>
    <row r="788" spans="1:7" x14ac:dyDescent="0.45">
      <c r="A788" s="1" t="s">
        <v>6981</v>
      </c>
      <c r="B788" s="1" t="s">
        <v>6982</v>
      </c>
      <c r="C788" s="1" t="s">
        <v>255</v>
      </c>
      <c r="D788" s="1" t="s">
        <v>7999</v>
      </c>
      <c r="E788" s="1" t="s">
        <v>3917</v>
      </c>
      <c r="F788" s="1" t="s">
        <v>3918</v>
      </c>
      <c r="G788" s="1" t="s">
        <v>4983</v>
      </c>
    </row>
    <row r="789" spans="1:7" x14ac:dyDescent="0.45">
      <c r="A789" s="1" t="s">
        <v>10121</v>
      </c>
      <c r="B789" s="1" t="s">
        <v>10122</v>
      </c>
      <c r="C789" s="1" t="s">
        <v>255</v>
      </c>
      <c r="D789" s="1" t="s">
        <v>11332</v>
      </c>
      <c r="E789" s="1" t="s">
        <v>3917</v>
      </c>
      <c r="F789" s="1" t="s">
        <v>3918</v>
      </c>
      <c r="G789" s="1" t="s">
        <v>4983</v>
      </c>
    </row>
    <row r="790" spans="1:7" x14ac:dyDescent="0.45">
      <c r="A790" s="1" t="s">
        <v>10123</v>
      </c>
      <c r="B790" s="1" t="s">
        <v>10124</v>
      </c>
      <c r="C790" s="1" t="s">
        <v>255</v>
      </c>
      <c r="D790" s="1" t="s">
        <v>11333</v>
      </c>
      <c r="E790" s="1" t="s">
        <v>3917</v>
      </c>
      <c r="F790" s="1" t="s">
        <v>3918</v>
      </c>
      <c r="G790" s="1" t="s">
        <v>4983</v>
      </c>
    </row>
    <row r="791" spans="1:7" x14ac:dyDescent="0.45">
      <c r="A791" s="1" t="s">
        <v>851</v>
      </c>
      <c r="B791" s="1" t="s">
        <v>850</v>
      </c>
      <c r="C791" s="1" t="s">
        <v>255</v>
      </c>
      <c r="D791" s="1" t="s">
        <v>2619</v>
      </c>
      <c r="E791" s="1" t="s">
        <v>3917</v>
      </c>
      <c r="F791" s="1" t="s">
        <v>3918</v>
      </c>
      <c r="G791" s="1" t="s">
        <v>4983</v>
      </c>
    </row>
    <row r="792" spans="1:7" x14ac:dyDescent="0.45">
      <c r="A792" s="1" t="s">
        <v>3451</v>
      </c>
      <c r="B792" s="1" t="s">
        <v>3452</v>
      </c>
      <c r="C792" s="1" t="s">
        <v>255</v>
      </c>
      <c r="D792" s="1" t="s">
        <v>3453</v>
      </c>
      <c r="E792" s="1" t="s">
        <v>3917</v>
      </c>
      <c r="F792" s="1" t="s">
        <v>3918</v>
      </c>
      <c r="G792" s="1" t="s">
        <v>4983</v>
      </c>
    </row>
    <row r="793" spans="1:7" x14ac:dyDescent="0.45">
      <c r="A793" s="1" t="s">
        <v>849</v>
      </c>
      <c r="B793" s="1" t="s">
        <v>848</v>
      </c>
      <c r="C793" s="1" t="s">
        <v>255</v>
      </c>
      <c r="D793" s="1" t="s">
        <v>2620</v>
      </c>
      <c r="E793" s="1" t="s">
        <v>3917</v>
      </c>
      <c r="F793" s="1" t="s">
        <v>3918</v>
      </c>
      <c r="G793" s="1" t="s">
        <v>4983</v>
      </c>
    </row>
    <row r="794" spans="1:7" x14ac:dyDescent="0.45">
      <c r="A794" s="1" t="s">
        <v>3454</v>
      </c>
      <c r="B794" s="1" t="s">
        <v>3455</v>
      </c>
      <c r="C794" s="1" t="s">
        <v>255</v>
      </c>
      <c r="D794" s="1" t="s">
        <v>3456</v>
      </c>
      <c r="E794" s="1" t="s">
        <v>3917</v>
      </c>
      <c r="F794" s="1" t="s">
        <v>3918</v>
      </c>
      <c r="G794" s="1" t="s">
        <v>4983</v>
      </c>
    </row>
    <row r="795" spans="1:7" x14ac:dyDescent="0.45">
      <c r="A795" s="1" t="s">
        <v>10125</v>
      </c>
      <c r="B795" s="1" t="s">
        <v>10126</v>
      </c>
      <c r="C795" s="1" t="s">
        <v>255</v>
      </c>
      <c r="D795" s="1" t="s">
        <v>11334</v>
      </c>
      <c r="E795" s="1" t="s">
        <v>3917</v>
      </c>
      <c r="F795" s="1" t="s">
        <v>3918</v>
      </c>
      <c r="G795" s="1" t="s">
        <v>4983</v>
      </c>
    </row>
    <row r="796" spans="1:7" x14ac:dyDescent="0.45">
      <c r="A796" s="1" t="s">
        <v>4094</v>
      </c>
      <c r="B796" s="1" t="s">
        <v>1629</v>
      </c>
      <c r="C796" s="1" t="s">
        <v>255</v>
      </c>
      <c r="D796" s="1" t="s">
        <v>2621</v>
      </c>
      <c r="E796" s="1" t="s">
        <v>3917</v>
      </c>
      <c r="F796" s="1" t="s">
        <v>3918</v>
      </c>
      <c r="G796" s="1" t="s">
        <v>4983</v>
      </c>
    </row>
    <row r="797" spans="1:7" x14ac:dyDescent="0.45">
      <c r="A797" s="1" t="s">
        <v>4095</v>
      </c>
      <c r="B797" s="1" t="s">
        <v>4096</v>
      </c>
      <c r="C797" s="1" t="s">
        <v>255</v>
      </c>
      <c r="D797" s="1" t="s">
        <v>4715</v>
      </c>
      <c r="E797" s="1" t="s">
        <v>3917</v>
      </c>
      <c r="F797" s="1" t="s">
        <v>3918</v>
      </c>
      <c r="G797" s="1" t="s">
        <v>4983</v>
      </c>
    </row>
    <row r="798" spans="1:7" x14ac:dyDescent="0.45">
      <c r="A798" s="1" t="s">
        <v>10127</v>
      </c>
      <c r="B798" s="1" t="s">
        <v>10128</v>
      </c>
      <c r="C798" s="1" t="s">
        <v>255</v>
      </c>
      <c r="D798" s="1" t="s">
        <v>3457</v>
      </c>
      <c r="E798" s="1" t="s">
        <v>3917</v>
      </c>
      <c r="F798" s="1" t="s">
        <v>3918</v>
      </c>
      <c r="G798" s="1" t="s">
        <v>4983</v>
      </c>
    </row>
    <row r="799" spans="1:7" x14ac:dyDescent="0.45">
      <c r="A799" s="1" t="s">
        <v>6983</v>
      </c>
      <c r="B799" s="1" t="s">
        <v>6984</v>
      </c>
      <c r="C799" s="1" t="s">
        <v>255</v>
      </c>
      <c r="D799" s="1" t="s">
        <v>8000</v>
      </c>
      <c r="E799" s="1" t="s">
        <v>3917</v>
      </c>
      <c r="F799" s="1" t="s">
        <v>3918</v>
      </c>
      <c r="G799" s="1" t="s">
        <v>4983</v>
      </c>
    </row>
    <row r="800" spans="1:7" x14ac:dyDescent="0.45">
      <c r="A800" s="1" t="s">
        <v>1630</v>
      </c>
      <c r="B800" s="1" t="s">
        <v>1631</v>
      </c>
      <c r="C800" s="1" t="s">
        <v>255</v>
      </c>
      <c r="D800" s="1" t="s">
        <v>2622</v>
      </c>
      <c r="E800" s="1" t="s">
        <v>3919</v>
      </c>
      <c r="F800" s="1" t="s">
        <v>3918</v>
      </c>
      <c r="G800" s="1" t="s">
        <v>4983</v>
      </c>
    </row>
    <row r="801" spans="1:7" x14ac:dyDescent="0.45">
      <c r="A801" s="1" t="s">
        <v>3458</v>
      </c>
      <c r="B801" s="1" t="s">
        <v>3459</v>
      </c>
      <c r="C801" s="1" t="s">
        <v>255</v>
      </c>
      <c r="D801" s="1" t="s">
        <v>3460</v>
      </c>
      <c r="E801" s="1" t="s">
        <v>3919</v>
      </c>
      <c r="F801" s="1" t="s">
        <v>3918</v>
      </c>
      <c r="G801" s="1" t="s">
        <v>4983</v>
      </c>
    </row>
    <row r="802" spans="1:7" x14ac:dyDescent="0.45">
      <c r="A802" s="1" t="s">
        <v>6985</v>
      </c>
      <c r="B802" s="1" t="s">
        <v>6986</v>
      </c>
      <c r="C802" s="1" t="s">
        <v>255</v>
      </c>
      <c r="D802" s="1" t="s">
        <v>8001</v>
      </c>
      <c r="E802" s="1" t="s">
        <v>3917</v>
      </c>
      <c r="F802" s="1" t="s">
        <v>3918</v>
      </c>
      <c r="G802" s="1" t="s">
        <v>4983</v>
      </c>
    </row>
    <row r="803" spans="1:7" x14ac:dyDescent="0.45">
      <c r="A803" s="1" t="s">
        <v>4097</v>
      </c>
      <c r="B803" s="1" t="s">
        <v>4098</v>
      </c>
      <c r="C803" s="1" t="s">
        <v>255</v>
      </c>
      <c r="D803" s="1" t="s">
        <v>4716</v>
      </c>
      <c r="E803" s="1" t="s">
        <v>3917</v>
      </c>
      <c r="F803" s="1" t="s">
        <v>3918</v>
      </c>
      <c r="G803" s="1" t="s">
        <v>4983</v>
      </c>
    </row>
    <row r="804" spans="1:7" x14ac:dyDescent="0.45">
      <c r="A804" s="1" t="s">
        <v>847</v>
      </c>
      <c r="B804" s="1" t="s">
        <v>846</v>
      </c>
      <c r="C804" s="1" t="s">
        <v>255</v>
      </c>
      <c r="D804" s="1" t="s">
        <v>2623</v>
      </c>
      <c r="E804" s="1" t="s">
        <v>3917</v>
      </c>
      <c r="F804" s="1" t="s">
        <v>3918</v>
      </c>
      <c r="G804" s="1" t="s">
        <v>4983</v>
      </c>
    </row>
    <row r="805" spans="1:7" x14ac:dyDescent="0.45">
      <c r="A805" s="1" t="s">
        <v>6987</v>
      </c>
      <c r="B805" s="1" t="s">
        <v>6988</v>
      </c>
      <c r="C805" s="1" t="s">
        <v>255</v>
      </c>
      <c r="D805" s="1" t="s">
        <v>8002</v>
      </c>
      <c r="E805" s="1" t="s">
        <v>3917</v>
      </c>
      <c r="F805" s="1" t="s">
        <v>3918</v>
      </c>
      <c r="G805" s="1" t="s">
        <v>4983</v>
      </c>
    </row>
    <row r="806" spans="1:7" x14ac:dyDescent="0.45">
      <c r="A806" s="1" t="s">
        <v>4099</v>
      </c>
      <c r="B806" s="1" t="s">
        <v>4100</v>
      </c>
      <c r="C806" s="1" t="s">
        <v>255</v>
      </c>
      <c r="D806" s="1" t="s">
        <v>4717</v>
      </c>
      <c r="E806" s="1" t="s">
        <v>3917</v>
      </c>
      <c r="F806" s="1" t="s">
        <v>3918</v>
      </c>
      <c r="G806" s="1" t="s">
        <v>4983</v>
      </c>
    </row>
    <row r="807" spans="1:7" x14ac:dyDescent="0.45">
      <c r="A807" s="1" t="s">
        <v>6989</v>
      </c>
      <c r="B807" s="1" t="s">
        <v>6990</v>
      </c>
      <c r="C807" s="1" t="s">
        <v>255</v>
      </c>
      <c r="D807" s="1" t="s">
        <v>8003</v>
      </c>
      <c r="E807" s="1" t="s">
        <v>3917</v>
      </c>
      <c r="F807" s="1" t="s">
        <v>3918</v>
      </c>
      <c r="G807" s="1" t="s">
        <v>4983</v>
      </c>
    </row>
    <row r="808" spans="1:7" x14ac:dyDescent="0.45">
      <c r="A808" s="1" t="s">
        <v>845</v>
      </c>
      <c r="B808" s="1" t="s">
        <v>844</v>
      </c>
      <c r="C808" s="1" t="s">
        <v>255</v>
      </c>
      <c r="D808" s="1" t="s">
        <v>2624</v>
      </c>
      <c r="E808" s="1" t="s">
        <v>3917</v>
      </c>
      <c r="F808" s="1" t="s">
        <v>3918</v>
      </c>
      <c r="G808" s="1" t="s">
        <v>4983</v>
      </c>
    </row>
    <row r="809" spans="1:7" x14ac:dyDescent="0.45">
      <c r="A809" s="1" t="s">
        <v>10129</v>
      </c>
      <c r="B809" s="1" t="s">
        <v>2625</v>
      </c>
      <c r="C809" s="1" t="s">
        <v>255</v>
      </c>
      <c r="D809" s="1" t="s">
        <v>2626</v>
      </c>
      <c r="E809" s="1" t="s">
        <v>3917</v>
      </c>
      <c r="F809" s="1" t="s">
        <v>3918</v>
      </c>
      <c r="G809" s="1" t="s">
        <v>4983</v>
      </c>
    </row>
    <row r="810" spans="1:7" x14ac:dyDescent="0.45">
      <c r="A810" s="1" t="s">
        <v>10130</v>
      </c>
      <c r="B810" s="1" t="s">
        <v>5647</v>
      </c>
      <c r="C810" s="1" t="s">
        <v>255</v>
      </c>
      <c r="D810" s="1" t="s">
        <v>5648</v>
      </c>
      <c r="E810" s="1" t="s">
        <v>3917</v>
      </c>
      <c r="F810" s="1" t="s">
        <v>3918</v>
      </c>
      <c r="G810" s="1" t="s">
        <v>4983</v>
      </c>
    </row>
    <row r="811" spans="1:7" x14ac:dyDescent="0.45">
      <c r="A811" s="1" t="s">
        <v>1632</v>
      </c>
      <c r="B811" s="1" t="s">
        <v>1633</v>
      </c>
      <c r="C811" s="1" t="s">
        <v>255</v>
      </c>
      <c r="D811" s="1" t="s">
        <v>2627</v>
      </c>
      <c r="E811" s="1" t="s">
        <v>3917</v>
      </c>
      <c r="F811" s="1" t="s">
        <v>3918</v>
      </c>
      <c r="G811" s="1" t="s">
        <v>4983</v>
      </c>
    </row>
    <row r="812" spans="1:7" x14ac:dyDescent="0.45">
      <c r="A812" s="1" t="s">
        <v>10131</v>
      </c>
      <c r="B812" s="1" t="s">
        <v>10132</v>
      </c>
      <c r="C812" s="1" t="s">
        <v>255</v>
      </c>
      <c r="D812" s="1" t="s">
        <v>11335</v>
      </c>
      <c r="E812" s="1" t="s">
        <v>3917</v>
      </c>
      <c r="F812" s="1" t="s">
        <v>3918</v>
      </c>
      <c r="G812" s="1" t="s">
        <v>4983</v>
      </c>
    </row>
    <row r="813" spans="1:7" x14ac:dyDescent="0.45">
      <c r="A813" s="1" t="s">
        <v>3461</v>
      </c>
      <c r="B813" s="1" t="s">
        <v>3462</v>
      </c>
      <c r="C813" s="1" t="s">
        <v>255</v>
      </c>
      <c r="D813" s="1" t="s">
        <v>3463</v>
      </c>
      <c r="E813" s="1" t="s">
        <v>3917</v>
      </c>
      <c r="F813" s="1" t="s">
        <v>3918</v>
      </c>
      <c r="G813" s="1" t="s">
        <v>4983</v>
      </c>
    </row>
    <row r="814" spans="1:7" x14ac:dyDescent="0.45">
      <c r="A814" s="1" t="s">
        <v>843</v>
      </c>
      <c r="B814" s="1" t="s">
        <v>842</v>
      </c>
      <c r="C814" s="1" t="s">
        <v>255</v>
      </c>
      <c r="D814" s="1" t="s">
        <v>2631</v>
      </c>
      <c r="E814" s="1" t="s">
        <v>3917</v>
      </c>
      <c r="F814" s="1" t="s">
        <v>3918</v>
      </c>
      <c r="G814" s="1" t="s">
        <v>4983</v>
      </c>
    </row>
    <row r="815" spans="1:7" x14ac:dyDescent="0.45">
      <c r="A815" s="1" t="s">
        <v>6991</v>
      </c>
      <c r="B815" s="1" t="s">
        <v>6992</v>
      </c>
      <c r="C815" s="1" t="s">
        <v>255</v>
      </c>
      <c r="D815" s="1" t="s">
        <v>8004</v>
      </c>
      <c r="E815" s="1" t="s">
        <v>3917</v>
      </c>
      <c r="F815" s="1" t="s">
        <v>3918</v>
      </c>
      <c r="G815" s="1" t="s">
        <v>4983</v>
      </c>
    </row>
    <row r="816" spans="1:7" x14ac:dyDescent="0.45">
      <c r="A816" s="1" t="s">
        <v>10133</v>
      </c>
      <c r="B816" s="1" t="s">
        <v>10134</v>
      </c>
      <c r="C816" s="1" t="s">
        <v>255</v>
      </c>
      <c r="D816" s="1" t="s">
        <v>8004</v>
      </c>
      <c r="E816" s="1" t="s">
        <v>3917</v>
      </c>
      <c r="F816" s="1" t="s">
        <v>3918</v>
      </c>
      <c r="G816" s="1" t="s">
        <v>4983</v>
      </c>
    </row>
    <row r="817" spans="1:7" x14ac:dyDescent="0.45">
      <c r="A817" s="1" t="s">
        <v>6993</v>
      </c>
      <c r="B817" s="1" t="s">
        <v>6994</v>
      </c>
      <c r="C817" s="1" t="s">
        <v>255</v>
      </c>
      <c r="D817" s="1" t="s">
        <v>8005</v>
      </c>
      <c r="E817" s="1" t="s">
        <v>3917</v>
      </c>
      <c r="F817" s="1" t="s">
        <v>3918</v>
      </c>
      <c r="G817" s="1" t="s">
        <v>4983</v>
      </c>
    </row>
    <row r="818" spans="1:7" x14ac:dyDescent="0.45">
      <c r="A818" s="1" t="s">
        <v>841</v>
      </c>
      <c r="B818" s="1" t="s">
        <v>840</v>
      </c>
      <c r="C818" s="1" t="s">
        <v>255</v>
      </c>
      <c r="D818" s="1" t="s">
        <v>2632</v>
      </c>
      <c r="E818" s="1" t="s">
        <v>3917</v>
      </c>
      <c r="F818" s="1" t="s">
        <v>3918</v>
      </c>
      <c r="G818" s="1" t="s">
        <v>4983</v>
      </c>
    </row>
    <row r="819" spans="1:7" x14ac:dyDescent="0.45">
      <c r="A819" s="1" t="s">
        <v>6995</v>
      </c>
      <c r="B819" s="1" t="s">
        <v>5447</v>
      </c>
      <c r="C819" s="1" t="s">
        <v>255</v>
      </c>
      <c r="D819" s="1" t="s">
        <v>5448</v>
      </c>
      <c r="E819" s="1" t="s">
        <v>3917</v>
      </c>
      <c r="F819" s="1" t="s">
        <v>3918</v>
      </c>
      <c r="G819" s="1" t="s">
        <v>4983</v>
      </c>
    </row>
    <row r="820" spans="1:7" x14ac:dyDescent="0.45">
      <c r="A820" s="1" t="s">
        <v>10135</v>
      </c>
      <c r="B820" s="1" t="s">
        <v>10136</v>
      </c>
      <c r="C820" s="1" t="s">
        <v>255</v>
      </c>
      <c r="D820" s="1" t="s">
        <v>11336</v>
      </c>
      <c r="E820" s="1" t="s">
        <v>3917</v>
      </c>
      <c r="F820" s="1" t="s">
        <v>3918</v>
      </c>
      <c r="G820" s="1" t="s">
        <v>4983</v>
      </c>
    </row>
    <row r="821" spans="1:7" x14ac:dyDescent="0.45">
      <c r="A821" s="1" t="s">
        <v>10137</v>
      </c>
      <c r="B821" s="1" t="s">
        <v>10138</v>
      </c>
      <c r="C821" s="1" t="s">
        <v>255</v>
      </c>
      <c r="D821" s="1" t="s">
        <v>11337</v>
      </c>
      <c r="E821" s="1" t="s">
        <v>3917</v>
      </c>
      <c r="F821" s="1" t="s">
        <v>3918</v>
      </c>
      <c r="G821" s="1" t="s">
        <v>4983</v>
      </c>
    </row>
    <row r="822" spans="1:7" x14ac:dyDescent="0.45">
      <c r="A822" s="1" t="s">
        <v>3464</v>
      </c>
      <c r="B822" s="1" t="s">
        <v>3465</v>
      </c>
      <c r="C822" s="1" t="s">
        <v>255</v>
      </c>
      <c r="D822" s="1" t="s">
        <v>3466</v>
      </c>
      <c r="E822" s="1" t="s">
        <v>3917</v>
      </c>
      <c r="F822" s="1" t="s">
        <v>3918</v>
      </c>
      <c r="G822" s="1" t="s">
        <v>4983</v>
      </c>
    </row>
    <row r="823" spans="1:7" x14ac:dyDescent="0.45">
      <c r="A823" s="1" t="s">
        <v>10139</v>
      </c>
      <c r="B823" s="1" t="s">
        <v>10140</v>
      </c>
      <c r="C823" s="1" t="s">
        <v>255</v>
      </c>
      <c r="D823" s="1" t="s">
        <v>11338</v>
      </c>
      <c r="E823" s="1" t="s">
        <v>3917</v>
      </c>
      <c r="F823" s="1" t="s">
        <v>3918</v>
      </c>
      <c r="G823" s="1" t="s">
        <v>4983</v>
      </c>
    </row>
    <row r="824" spans="1:7" x14ac:dyDescent="0.45">
      <c r="A824" s="1" t="s">
        <v>1636</v>
      </c>
      <c r="B824" s="1" t="s">
        <v>1637</v>
      </c>
      <c r="C824" s="1" t="s">
        <v>255</v>
      </c>
      <c r="D824" s="1" t="s">
        <v>2634</v>
      </c>
      <c r="E824" s="1" t="s">
        <v>3917</v>
      </c>
      <c r="F824" s="1" t="s">
        <v>3918</v>
      </c>
      <c r="G824" s="1" t="s">
        <v>4983</v>
      </c>
    </row>
    <row r="825" spans="1:7" x14ac:dyDescent="0.45">
      <c r="A825" s="1" t="s">
        <v>2635</v>
      </c>
      <c r="B825" s="1" t="s">
        <v>2636</v>
      </c>
      <c r="C825" s="1" t="s">
        <v>255</v>
      </c>
      <c r="D825" s="1" t="s">
        <v>2637</v>
      </c>
      <c r="E825" s="1" t="s">
        <v>3917</v>
      </c>
      <c r="F825" s="1" t="s">
        <v>3918</v>
      </c>
      <c r="G825" s="1" t="s">
        <v>4983</v>
      </c>
    </row>
    <row r="826" spans="1:7" x14ac:dyDescent="0.45">
      <c r="A826" s="1" t="s">
        <v>6996</v>
      </c>
      <c r="B826" s="1" t="s">
        <v>6997</v>
      </c>
      <c r="C826" s="1" t="s">
        <v>255</v>
      </c>
      <c r="D826" s="1" t="s">
        <v>8006</v>
      </c>
      <c r="E826" s="1" t="s">
        <v>3917</v>
      </c>
      <c r="F826" s="1" t="s">
        <v>3918</v>
      </c>
      <c r="G826" s="1" t="s">
        <v>4983</v>
      </c>
    </row>
    <row r="827" spans="1:7" x14ac:dyDescent="0.45">
      <c r="A827" s="1" t="s">
        <v>3467</v>
      </c>
      <c r="B827" s="1" t="s">
        <v>3468</v>
      </c>
      <c r="C827" s="1" t="s">
        <v>255</v>
      </c>
      <c r="D827" s="1" t="s">
        <v>3469</v>
      </c>
      <c r="E827" s="1" t="s">
        <v>3917</v>
      </c>
      <c r="F827" s="1" t="s">
        <v>3918</v>
      </c>
      <c r="G827" s="1" t="s">
        <v>4983</v>
      </c>
    </row>
    <row r="828" spans="1:7" x14ac:dyDescent="0.45">
      <c r="A828" s="1" t="s">
        <v>10141</v>
      </c>
      <c r="B828" s="1" t="s">
        <v>10142</v>
      </c>
      <c r="C828" s="1" t="s">
        <v>255</v>
      </c>
      <c r="D828" s="1" t="s">
        <v>11339</v>
      </c>
      <c r="E828" s="1" t="s">
        <v>3917</v>
      </c>
      <c r="F828" s="1" t="s">
        <v>3918</v>
      </c>
      <c r="G828" s="1" t="s">
        <v>4983</v>
      </c>
    </row>
    <row r="829" spans="1:7" x14ac:dyDescent="0.45">
      <c r="A829" s="1" t="s">
        <v>6998</v>
      </c>
      <c r="B829" s="1" t="s">
        <v>6999</v>
      </c>
      <c r="C829" s="1" t="s">
        <v>255</v>
      </c>
      <c r="D829" s="1" t="s">
        <v>8007</v>
      </c>
      <c r="E829" s="1" t="s">
        <v>3917</v>
      </c>
      <c r="F829" s="1" t="s">
        <v>3918</v>
      </c>
      <c r="G829" s="1" t="s">
        <v>4983</v>
      </c>
    </row>
    <row r="830" spans="1:7" x14ac:dyDescent="0.45">
      <c r="A830" s="1" t="s">
        <v>7000</v>
      </c>
      <c r="B830" s="1" t="s">
        <v>7001</v>
      </c>
      <c r="C830" s="1" t="s">
        <v>255</v>
      </c>
      <c r="D830" s="1" t="s">
        <v>8008</v>
      </c>
      <c r="E830" s="1" t="s">
        <v>3917</v>
      </c>
      <c r="F830" s="1" t="s">
        <v>3918</v>
      </c>
      <c r="G830" s="1" t="s">
        <v>4983</v>
      </c>
    </row>
    <row r="831" spans="1:7" x14ac:dyDescent="0.45">
      <c r="A831" s="1" t="s">
        <v>10143</v>
      </c>
      <c r="B831" s="1" t="s">
        <v>10144</v>
      </c>
      <c r="C831" s="1" t="s">
        <v>255</v>
      </c>
      <c r="D831" s="1" t="s">
        <v>11340</v>
      </c>
      <c r="E831" s="1" t="s">
        <v>3917</v>
      </c>
      <c r="F831" s="1" t="s">
        <v>3918</v>
      </c>
      <c r="G831" s="1" t="s">
        <v>4983</v>
      </c>
    </row>
    <row r="832" spans="1:7" x14ac:dyDescent="0.45">
      <c r="A832" s="1" t="s">
        <v>4103</v>
      </c>
      <c r="B832" s="1" t="s">
        <v>4104</v>
      </c>
      <c r="C832" s="1" t="s">
        <v>255</v>
      </c>
      <c r="D832" s="1" t="s">
        <v>4719</v>
      </c>
      <c r="E832" s="1" t="s">
        <v>3917</v>
      </c>
      <c r="F832" s="1" t="s">
        <v>3918</v>
      </c>
      <c r="G832" s="1" t="s">
        <v>4983</v>
      </c>
    </row>
    <row r="833" spans="1:7" x14ac:dyDescent="0.45">
      <c r="A833" s="1" t="s">
        <v>839</v>
      </c>
      <c r="B833" s="1" t="s">
        <v>838</v>
      </c>
      <c r="C833" s="1" t="s">
        <v>255</v>
      </c>
      <c r="D833" s="1" t="s">
        <v>2638</v>
      </c>
      <c r="E833" s="1" t="s">
        <v>3917</v>
      </c>
      <c r="F833" s="1" t="s">
        <v>3918</v>
      </c>
      <c r="G833" s="1" t="s">
        <v>4983</v>
      </c>
    </row>
    <row r="834" spans="1:7" x14ac:dyDescent="0.45">
      <c r="A834" s="1" t="s">
        <v>3470</v>
      </c>
      <c r="B834" s="1" t="s">
        <v>3471</v>
      </c>
      <c r="C834" s="1" t="s">
        <v>255</v>
      </c>
      <c r="D834" s="1" t="s">
        <v>3472</v>
      </c>
      <c r="E834" s="1" t="s">
        <v>3917</v>
      </c>
      <c r="F834" s="1" t="s">
        <v>3918</v>
      </c>
      <c r="G834" s="1" t="s">
        <v>4983</v>
      </c>
    </row>
    <row r="835" spans="1:7" x14ac:dyDescent="0.45">
      <c r="A835" s="1" t="s">
        <v>2640</v>
      </c>
      <c r="B835" s="1" t="s">
        <v>2641</v>
      </c>
      <c r="C835" s="1" t="s">
        <v>255</v>
      </c>
      <c r="D835" s="1" t="s">
        <v>2642</v>
      </c>
      <c r="E835" s="1" t="s">
        <v>3917</v>
      </c>
      <c r="F835" s="1" t="s">
        <v>3918</v>
      </c>
      <c r="G835" s="1" t="s">
        <v>4983</v>
      </c>
    </row>
    <row r="836" spans="1:7" x14ac:dyDescent="0.45">
      <c r="A836" s="1" t="s">
        <v>10145</v>
      </c>
      <c r="B836" s="1" t="s">
        <v>5232</v>
      </c>
      <c r="C836" s="1" t="s">
        <v>255</v>
      </c>
      <c r="D836" s="1" t="s">
        <v>5233</v>
      </c>
      <c r="E836" s="1" t="s">
        <v>3917</v>
      </c>
      <c r="F836" s="1" t="s">
        <v>3918</v>
      </c>
      <c r="G836" s="1" t="s">
        <v>4983</v>
      </c>
    </row>
    <row r="837" spans="1:7" x14ac:dyDescent="0.45">
      <c r="A837" s="1" t="s">
        <v>10146</v>
      </c>
      <c r="B837" s="1" t="s">
        <v>6645</v>
      </c>
      <c r="C837" s="1" t="s">
        <v>255</v>
      </c>
      <c r="D837" s="1" t="s">
        <v>6646</v>
      </c>
      <c r="E837" s="1" t="s">
        <v>3919</v>
      </c>
      <c r="F837" s="1" t="s">
        <v>3918</v>
      </c>
      <c r="G837" s="1" t="s">
        <v>4983</v>
      </c>
    </row>
    <row r="838" spans="1:7" x14ac:dyDescent="0.45">
      <c r="A838" s="1" t="s">
        <v>4105</v>
      </c>
      <c r="B838" s="1" t="s">
        <v>4106</v>
      </c>
      <c r="C838" s="1" t="s">
        <v>255</v>
      </c>
      <c r="D838" s="1" t="s">
        <v>4720</v>
      </c>
      <c r="E838" s="1" t="s">
        <v>3917</v>
      </c>
      <c r="F838" s="1" t="s">
        <v>3918</v>
      </c>
      <c r="G838" s="1" t="s">
        <v>4983</v>
      </c>
    </row>
    <row r="839" spans="1:7" x14ac:dyDescent="0.45">
      <c r="A839" s="1" t="s">
        <v>10147</v>
      </c>
      <c r="B839" s="1" t="s">
        <v>6640</v>
      </c>
      <c r="C839" s="1" t="s">
        <v>255</v>
      </c>
      <c r="D839" s="1" t="s">
        <v>6641</v>
      </c>
      <c r="E839" s="1" t="s">
        <v>3919</v>
      </c>
      <c r="F839" s="1" t="s">
        <v>3918</v>
      </c>
      <c r="G839" s="1" t="s">
        <v>4983</v>
      </c>
    </row>
    <row r="840" spans="1:7" x14ac:dyDescent="0.45">
      <c r="A840" s="1" t="s">
        <v>10148</v>
      </c>
      <c r="B840" s="1" t="s">
        <v>10149</v>
      </c>
      <c r="C840" s="1" t="s">
        <v>255</v>
      </c>
      <c r="D840" s="1" t="s">
        <v>11341</v>
      </c>
      <c r="E840" s="1" t="s">
        <v>3917</v>
      </c>
      <c r="F840" s="1" t="s">
        <v>3918</v>
      </c>
      <c r="G840" s="1" t="s">
        <v>4983</v>
      </c>
    </row>
    <row r="841" spans="1:7" x14ac:dyDescent="0.45">
      <c r="A841" s="1" t="s">
        <v>4107</v>
      </c>
      <c r="B841" s="1" t="s">
        <v>4108</v>
      </c>
      <c r="C841" s="1" t="s">
        <v>255</v>
      </c>
      <c r="D841" s="1" t="s">
        <v>4721</v>
      </c>
      <c r="E841" s="1" t="s">
        <v>3917</v>
      </c>
      <c r="F841" s="1" t="s">
        <v>3918</v>
      </c>
      <c r="G841" s="1" t="s">
        <v>4983</v>
      </c>
    </row>
    <row r="842" spans="1:7" x14ac:dyDescent="0.45">
      <c r="A842" s="1" t="s">
        <v>10150</v>
      </c>
      <c r="B842" s="1" t="s">
        <v>10151</v>
      </c>
      <c r="C842" s="1" t="s">
        <v>255</v>
      </c>
      <c r="D842" s="1" t="s">
        <v>11342</v>
      </c>
      <c r="E842" s="1" t="s">
        <v>3917</v>
      </c>
      <c r="F842" s="1" t="s">
        <v>3918</v>
      </c>
      <c r="G842" s="1" t="s">
        <v>4983</v>
      </c>
    </row>
    <row r="843" spans="1:7" x14ac:dyDescent="0.45">
      <c r="A843" s="1" t="s">
        <v>10152</v>
      </c>
      <c r="B843" s="1" t="s">
        <v>10153</v>
      </c>
      <c r="C843" s="1" t="s">
        <v>255</v>
      </c>
      <c r="D843" s="1" t="s">
        <v>11343</v>
      </c>
      <c r="E843" s="1" t="s">
        <v>3917</v>
      </c>
      <c r="F843" s="1" t="s">
        <v>3918</v>
      </c>
      <c r="G843" s="1" t="s">
        <v>4983</v>
      </c>
    </row>
    <row r="844" spans="1:7" x14ac:dyDescent="0.45">
      <c r="A844" s="1" t="s">
        <v>7002</v>
      </c>
      <c r="B844" s="1" t="s">
        <v>7003</v>
      </c>
      <c r="C844" s="1" t="s">
        <v>255</v>
      </c>
      <c r="D844" s="1" t="s">
        <v>8009</v>
      </c>
      <c r="E844" s="1" t="s">
        <v>3917</v>
      </c>
      <c r="F844" s="1" t="s">
        <v>3918</v>
      </c>
      <c r="G844" s="1" t="s">
        <v>4983</v>
      </c>
    </row>
    <row r="845" spans="1:7" x14ac:dyDescent="0.45">
      <c r="A845" s="1" t="s">
        <v>835</v>
      </c>
      <c r="B845" s="1" t="s">
        <v>834</v>
      </c>
      <c r="C845" s="1" t="s">
        <v>255</v>
      </c>
      <c r="D845" s="1" t="s">
        <v>2643</v>
      </c>
      <c r="E845" s="1" t="s">
        <v>3917</v>
      </c>
      <c r="F845" s="1" t="s">
        <v>3918</v>
      </c>
      <c r="G845" s="1" t="s">
        <v>4983</v>
      </c>
    </row>
    <row r="846" spans="1:7" x14ac:dyDescent="0.45">
      <c r="A846" s="1" t="s">
        <v>10154</v>
      </c>
      <c r="B846" s="1" t="s">
        <v>10155</v>
      </c>
      <c r="C846" s="1" t="s">
        <v>255</v>
      </c>
      <c r="D846" s="1" t="s">
        <v>11344</v>
      </c>
      <c r="E846" s="1" t="s">
        <v>3917</v>
      </c>
      <c r="F846" s="1" t="s">
        <v>3918</v>
      </c>
      <c r="G846" s="1" t="s">
        <v>4983</v>
      </c>
    </row>
    <row r="847" spans="1:7" x14ac:dyDescent="0.45">
      <c r="A847" s="1" t="s">
        <v>10156</v>
      </c>
      <c r="B847" s="1" t="s">
        <v>10157</v>
      </c>
      <c r="C847" s="1" t="s">
        <v>255</v>
      </c>
      <c r="D847" s="1" t="s">
        <v>11345</v>
      </c>
      <c r="E847" s="1" t="s">
        <v>3917</v>
      </c>
      <c r="F847" s="1" t="s">
        <v>3918</v>
      </c>
      <c r="G847" s="1" t="s">
        <v>4983</v>
      </c>
    </row>
    <row r="848" spans="1:7" x14ac:dyDescent="0.45">
      <c r="A848" s="1" t="s">
        <v>831</v>
      </c>
      <c r="B848" s="1" t="s">
        <v>830</v>
      </c>
      <c r="C848" s="1" t="s">
        <v>255</v>
      </c>
      <c r="D848" s="1" t="s">
        <v>2645</v>
      </c>
      <c r="E848" s="1" t="s">
        <v>3917</v>
      </c>
      <c r="F848" s="1" t="s">
        <v>3918</v>
      </c>
      <c r="G848" s="1" t="s">
        <v>4983</v>
      </c>
    </row>
    <row r="849" spans="1:7" x14ac:dyDescent="0.45">
      <c r="A849" s="1" t="s">
        <v>4109</v>
      </c>
      <c r="B849" s="1" t="s">
        <v>4110</v>
      </c>
      <c r="C849" s="1" t="s">
        <v>255</v>
      </c>
      <c r="D849" s="1" t="s">
        <v>4722</v>
      </c>
      <c r="E849" s="1" t="s">
        <v>3917</v>
      </c>
      <c r="F849" s="1" t="s">
        <v>3918</v>
      </c>
      <c r="G849" s="1" t="s">
        <v>4983</v>
      </c>
    </row>
    <row r="850" spans="1:7" x14ac:dyDescent="0.45">
      <c r="A850" s="1" t="s">
        <v>10158</v>
      </c>
      <c r="B850" s="1" t="s">
        <v>6227</v>
      </c>
      <c r="C850" s="1" t="s">
        <v>255</v>
      </c>
      <c r="D850" s="1" t="s">
        <v>6228</v>
      </c>
      <c r="E850" s="1" t="s">
        <v>3917</v>
      </c>
      <c r="F850" s="1" t="s">
        <v>3918</v>
      </c>
      <c r="G850" s="1" t="s">
        <v>4983</v>
      </c>
    </row>
    <row r="851" spans="1:7" x14ac:dyDescent="0.45">
      <c r="A851" s="1" t="s">
        <v>10159</v>
      </c>
      <c r="B851" s="1" t="s">
        <v>10160</v>
      </c>
      <c r="C851" s="1" t="s">
        <v>255</v>
      </c>
      <c r="D851" s="1" t="s">
        <v>11346</v>
      </c>
      <c r="E851" s="1" t="s">
        <v>3917</v>
      </c>
      <c r="F851" s="1" t="s">
        <v>3918</v>
      </c>
      <c r="G851" s="1" t="s">
        <v>4983</v>
      </c>
    </row>
    <row r="852" spans="1:7" x14ac:dyDescent="0.45">
      <c r="A852" s="1" t="s">
        <v>10161</v>
      </c>
      <c r="B852" s="1" t="s">
        <v>6281</v>
      </c>
      <c r="C852" s="1" t="s">
        <v>255</v>
      </c>
      <c r="D852" s="1" t="s">
        <v>6282</v>
      </c>
      <c r="E852" s="1" t="s">
        <v>3917</v>
      </c>
      <c r="F852" s="1" t="s">
        <v>3918</v>
      </c>
      <c r="G852" s="1" t="s">
        <v>4983</v>
      </c>
    </row>
    <row r="853" spans="1:7" x14ac:dyDescent="0.45">
      <c r="A853" s="1" t="s">
        <v>4111</v>
      </c>
      <c r="B853" s="1" t="s">
        <v>4112</v>
      </c>
      <c r="C853" s="1" t="s">
        <v>255</v>
      </c>
      <c r="D853" s="1" t="s">
        <v>4723</v>
      </c>
      <c r="E853" s="1" t="s">
        <v>3917</v>
      </c>
      <c r="F853" s="1" t="s">
        <v>3918</v>
      </c>
      <c r="G853" s="1" t="s">
        <v>4983</v>
      </c>
    </row>
    <row r="854" spans="1:7" x14ac:dyDescent="0.45">
      <c r="A854" s="1" t="s">
        <v>10162</v>
      </c>
      <c r="B854" s="1" t="s">
        <v>5134</v>
      </c>
      <c r="C854" s="1" t="s">
        <v>255</v>
      </c>
      <c r="D854" s="1" t="s">
        <v>5135</v>
      </c>
      <c r="E854" s="1" t="s">
        <v>3917</v>
      </c>
      <c r="F854" s="1" t="s">
        <v>3918</v>
      </c>
      <c r="G854" s="1" t="s">
        <v>4983</v>
      </c>
    </row>
    <row r="855" spans="1:7" x14ac:dyDescent="0.45">
      <c r="A855" s="1" t="s">
        <v>7008</v>
      </c>
      <c r="B855" s="1" t="s">
        <v>7009</v>
      </c>
      <c r="C855" s="1" t="s">
        <v>255</v>
      </c>
      <c r="D855" s="1" t="s">
        <v>8012</v>
      </c>
      <c r="E855" s="1" t="s">
        <v>3917</v>
      </c>
      <c r="F855" s="1" t="s">
        <v>3918</v>
      </c>
      <c r="G855" s="1" t="s">
        <v>4983</v>
      </c>
    </row>
    <row r="856" spans="1:7" x14ac:dyDescent="0.45">
      <c r="A856" s="1" t="s">
        <v>825</v>
      </c>
      <c r="B856" s="1" t="s">
        <v>824</v>
      </c>
      <c r="C856" s="1" t="s">
        <v>255</v>
      </c>
      <c r="D856" s="1" t="s">
        <v>2649</v>
      </c>
      <c r="E856" s="1" t="s">
        <v>3917</v>
      </c>
      <c r="F856" s="1" t="s">
        <v>3918</v>
      </c>
      <c r="G856" s="1" t="s">
        <v>4983</v>
      </c>
    </row>
    <row r="857" spans="1:7" x14ac:dyDescent="0.45">
      <c r="A857" s="1" t="s">
        <v>7010</v>
      </c>
      <c r="B857" s="1" t="s">
        <v>7011</v>
      </c>
      <c r="C857" s="1" t="s">
        <v>255</v>
      </c>
      <c r="D857" s="1" t="s">
        <v>8013</v>
      </c>
      <c r="E857" s="1" t="s">
        <v>3917</v>
      </c>
      <c r="F857" s="1" t="s">
        <v>3918</v>
      </c>
      <c r="G857" s="1" t="s">
        <v>4983</v>
      </c>
    </row>
    <row r="858" spans="1:7" x14ac:dyDescent="0.45">
      <c r="A858" s="1" t="s">
        <v>4113</v>
      </c>
      <c r="B858" s="1" t="s">
        <v>4114</v>
      </c>
      <c r="C858" s="1" t="s">
        <v>255</v>
      </c>
      <c r="D858" s="1" t="s">
        <v>4724</v>
      </c>
      <c r="E858" s="1" t="s">
        <v>3917</v>
      </c>
      <c r="F858" s="1" t="s">
        <v>3918</v>
      </c>
      <c r="G858" s="1" t="s">
        <v>4983</v>
      </c>
    </row>
    <row r="859" spans="1:7" x14ac:dyDescent="0.45">
      <c r="A859" s="1" t="s">
        <v>10163</v>
      </c>
      <c r="B859" s="1" t="s">
        <v>10164</v>
      </c>
      <c r="C859" s="1" t="s">
        <v>255</v>
      </c>
      <c r="D859" s="1" t="s">
        <v>11347</v>
      </c>
      <c r="E859" s="1" t="s">
        <v>3917</v>
      </c>
      <c r="F859" s="1" t="s">
        <v>3918</v>
      </c>
      <c r="G859" s="1" t="s">
        <v>4983</v>
      </c>
    </row>
    <row r="860" spans="1:7" x14ac:dyDescent="0.45">
      <c r="A860" s="1" t="s">
        <v>7012</v>
      </c>
      <c r="B860" s="1" t="s">
        <v>7013</v>
      </c>
      <c r="C860" s="1" t="s">
        <v>255</v>
      </c>
      <c r="D860" s="1" t="s">
        <v>8014</v>
      </c>
      <c r="E860" s="1" t="s">
        <v>3917</v>
      </c>
      <c r="F860" s="1" t="s">
        <v>3918</v>
      </c>
      <c r="G860" s="1" t="s">
        <v>4983</v>
      </c>
    </row>
    <row r="861" spans="1:7" x14ac:dyDescent="0.45">
      <c r="A861" s="1" t="s">
        <v>4115</v>
      </c>
      <c r="B861" s="1" t="s">
        <v>4116</v>
      </c>
      <c r="C861" s="1" t="s">
        <v>255</v>
      </c>
      <c r="D861" s="1" t="s">
        <v>4725</v>
      </c>
      <c r="E861" s="1" t="s">
        <v>3917</v>
      </c>
      <c r="F861" s="1" t="s">
        <v>3918</v>
      </c>
      <c r="G861" s="1" t="s">
        <v>4983</v>
      </c>
    </row>
    <row r="862" spans="1:7" x14ac:dyDescent="0.45">
      <c r="A862" s="1" t="s">
        <v>1640</v>
      </c>
      <c r="B862" s="1" t="s">
        <v>1641</v>
      </c>
      <c r="C862" s="1" t="s">
        <v>255</v>
      </c>
      <c r="D862" s="1" t="s">
        <v>2650</v>
      </c>
      <c r="E862" s="1" t="s">
        <v>3917</v>
      </c>
      <c r="F862" s="1" t="s">
        <v>3918</v>
      </c>
      <c r="G862" s="1" t="s">
        <v>4983</v>
      </c>
    </row>
    <row r="863" spans="1:7" x14ac:dyDescent="0.45">
      <c r="A863" s="1" t="s">
        <v>7014</v>
      </c>
      <c r="B863" s="1" t="s">
        <v>7015</v>
      </c>
      <c r="C863" s="1" t="s">
        <v>255</v>
      </c>
      <c r="D863" s="1" t="s">
        <v>8015</v>
      </c>
      <c r="E863" s="1" t="s">
        <v>3917</v>
      </c>
      <c r="F863" s="1" t="s">
        <v>3918</v>
      </c>
      <c r="G863" s="1" t="s">
        <v>4983</v>
      </c>
    </row>
    <row r="864" spans="1:7" x14ac:dyDescent="0.45">
      <c r="A864" s="1" t="s">
        <v>822</v>
      </c>
      <c r="B864" s="1" t="s">
        <v>821</v>
      </c>
      <c r="C864" s="1" t="s">
        <v>255</v>
      </c>
      <c r="D864" s="1" t="s">
        <v>2651</v>
      </c>
      <c r="E864" s="1" t="s">
        <v>3917</v>
      </c>
      <c r="F864" s="1" t="s">
        <v>3918</v>
      </c>
      <c r="G864" s="1" t="s">
        <v>4983</v>
      </c>
    </row>
    <row r="865" spans="1:7" x14ac:dyDescent="0.45">
      <c r="A865" s="1" t="s">
        <v>10165</v>
      </c>
      <c r="B865" s="1" t="s">
        <v>10166</v>
      </c>
      <c r="C865" s="1" t="s">
        <v>255</v>
      </c>
      <c r="D865" s="1" t="s">
        <v>11348</v>
      </c>
      <c r="E865" s="1" t="s">
        <v>3917</v>
      </c>
      <c r="F865" s="1" t="s">
        <v>3918</v>
      </c>
      <c r="G865" s="1" t="s">
        <v>4983</v>
      </c>
    </row>
    <row r="866" spans="1:7" x14ac:dyDescent="0.45">
      <c r="A866" s="1" t="s">
        <v>10167</v>
      </c>
      <c r="B866" s="1" t="s">
        <v>10168</v>
      </c>
      <c r="C866" s="1" t="s">
        <v>255</v>
      </c>
      <c r="D866" s="1" t="s">
        <v>11349</v>
      </c>
      <c r="E866" s="1" t="s">
        <v>3917</v>
      </c>
      <c r="F866" s="1" t="s">
        <v>3918</v>
      </c>
      <c r="G866" s="1" t="s">
        <v>4983</v>
      </c>
    </row>
    <row r="867" spans="1:7" x14ac:dyDescent="0.45">
      <c r="A867" s="1" t="s">
        <v>10169</v>
      </c>
      <c r="B867" s="1" t="s">
        <v>10170</v>
      </c>
      <c r="C867" s="1" t="s">
        <v>255</v>
      </c>
      <c r="D867" s="1" t="s">
        <v>11350</v>
      </c>
      <c r="E867" s="1" t="s">
        <v>3917</v>
      </c>
      <c r="F867" s="1" t="s">
        <v>3918</v>
      </c>
      <c r="G867" s="1" t="s">
        <v>4983</v>
      </c>
    </row>
    <row r="868" spans="1:7" x14ac:dyDescent="0.45">
      <c r="A868" s="1" t="s">
        <v>4117</v>
      </c>
      <c r="B868" s="1" t="s">
        <v>4118</v>
      </c>
      <c r="C868" s="1" t="s">
        <v>255</v>
      </c>
      <c r="D868" s="1" t="s">
        <v>4726</v>
      </c>
      <c r="E868" s="1" t="s">
        <v>3917</v>
      </c>
      <c r="F868" s="1" t="s">
        <v>3918</v>
      </c>
      <c r="G868" s="1" t="s">
        <v>4983</v>
      </c>
    </row>
    <row r="869" spans="1:7" x14ac:dyDescent="0.45">
      <c r="A869" s="1" t="s">
        <v>820</v>
      </c>
      <c r="B869" s="1" t="s">
        <v>819</v>
      </c>
      <c r="C869" s="1" t="s">
        <v>255</v>
      </c>
      <c r="D869" s="1" t="s">
        <v>2652</v>
      </c>
      <c r="E869" s="1" t="s">
        <v>3917</v>
      </c>
      <c r="F869" s="1" t="s">
        <v>3918</v>
      </c>
      <c r="G869" s="1" t="s">
        <v>4983</v>
      </c>
    </row>
    <row r="870" spans="1:7" x14ac:dyDescent="0.45">
      <c r="A870" s="1" t="s">
        <v>10171</v>
      </c>
      <c r="B870" s="1" t="s">
        <v>10172</v>
      </c>
      <c r="C870" s="1" t="s">
        <v>255</v>
      </c>
      <c r="D870" s="1" t="s">
        <v>11351</v>
      </c>
      <c r="E870" s="1" t="s">
        <v>3917</v>
      </c>
      <c r="F870" s="1" t="s">
        <v>3918</v>
      </c>
      <c r="G870" s="1" t="s">
        <v>4983</v>
      </c>
    </row>
    <row r="871" spans="1:7" x14ac:dyDescent="0.45">
      <c r="A871" s="1" t="s">
        <v>7016</v>
      </c>
      <c r="B871" s="1" t="s">
        <v>7017</v>
      </c>
      <c r="C871" s="1" t="s">
        <v>255</v>
      </c>
      <c r="D871" s="1" t="s">
        <v>8016</v>
      </c>
      <c r="E871" s="1" t="s">
        <v>3917</v>
      </c>
      <c r="F871" s="1" t="s">
        <v>3918</v>
      </c>
      <c r="G871" s="1" t="s">
        <v>4983</v>
      </c>
    </row>
    <row r="872" spans="1:7" x14ac:dyDescent="0.45">
      <c r="A872" s="1" t="s">
        <v>7018</v>
      </c>
      <c r="B872" s="1" t="s">
        <v>7019</v>
      </c>
      <c r="C872" s="1" t="s">
        <v>255</v>
      </c>
      <c r="D872" s="1" t="s">
        <v>8017</v>
      </c>
      <c r="E872" s="1" t="s">
        <v>3917</v>
      </c>
      <c r="F872" s="1" t="s">
        <v>3918</v>
      </c>
      <c r="G872" s="1" t="s">
        <v>4983</v>
      </c>
    </row>
    <row r="873" spans="1:7" x14ac:dyDescent="0.45">
      <c r="A873" s="1" t="s">
        <v>7020</v>
      </c>
      <c r="B873" s="1" t="s">
        <v>7021</v>
      </c>
      <c r="C873" s="1" t="s">
        <v>255</v>
      </c>
      <c r="D873" s="1" t="s">
        <v>8018</v>
      </c>
      <c r="E873" s="1" t="s">
        <v>3917</v>
      </c>
      <c r="F873" s="1" t="s">
        <v>3918</v>
      </c>
      <c r="G873" s="1" t="s">
        <v>4983</v>
      </c>
    </row>
    <row r="874" spans="1:7" x14ac:dyDescent="0.45">
      <c r="A874" s="1" t="s">
        <v>2653</v>
      </c>
      <c r="B874" s="1" t="s">
        <v>2654</v>
      </c>
      <c r="C874" s="1" t="s">
        <v>255</v>
      </c>
      <c r="D874" s="1" t="s">
        <v>2655</v>
      </c>
      <c r="E874" s="1" t="s">
        <v>3917</v>
      </c>
      <c r="F874" s="1" t="s">
        <v>3918</v>
      </c>
      <c r="G874" s="1" t="s">
        <v>4983</v>
      </c>
    </row>
    <row r="875" spans="1:7" x14ac:dyDescent="0.45">
      <c r="A875" s="1" t="s">
        <v>3473</v>
      </c>
      <c r="B875" s="1" t="s">
        <v>3474</v>
      </c>
      <c r="C875" s="1" t="s">
        <v>255</v>
      </c>
      <c r="D875" s="1" t="s">
        <v>3475</v>
      </c>
      <c r="E875" s="1" t="s">
        <v>3917</v>
      </c>
      <c r="F875" s="1" t="s">
        <v>3918</v>
      </c>
      <c r="G875" s="1" t="s">
        <v>4983</v>
      </c>
    </row>
    <row r="876" spans="1:7" x14ac:dyDescent="0.45">
      <c r="A876" s="1" t="s">
        <v>1642</v>
      </c>
      <c r="B876" s="1" t="s">
        <v>1643</v>
      </c>
      <c r="C876" s="1" t="s">
        <v>255</v>
      </c>
      <c r="D876" s="1" t="s">
        <v>2656</v>
      </c>
      <c r="E876" s="1" t="s">
        <v>3917</v>
      </c>
      <c r="F876" s="1" t="s">
        <v>3918</v>
      </c>
      <c r="G876" s="1" t="s">
        <v>4983</v>
      </c>
    </row>
    <row r="877" spans="1:7" x14ac:dyDescent="0.45">
      <c r="A877" s="1" t="s">
        <v>7022</v>
      </c>
      <c r="B877" s="1" t="s">
        <v>5605</v>
      </c>
      <c r="C877" s="1" t="s">
        <v>255</v>
      </c>
      <c r="D877" s="1" t="s">
        <v>5341</v>
      </c>
      <c r="E877" s="1" t="s">
        <v>3917</v>
      </c>
      <c r="F877" s="1" t="s">
        <v>3918</v>
      </c>
      <c r="G877" s="1" t="s">
        <v>4983</v>
      </c>
    </row>
    <row r="878" spans="1:7" x14ac:dyDescent="0.45">
      <c r="A878" s="1" t="s">
        <v>2657</v>
      </c>
      <c r="B878" s="1" t="s">
        <v>2658</v>
      </c>
      <c r="C878" s="1" t="s">
        <v>255</v>
      </c>
      <c r="D878" s="1" t="s">
        <v>2659</v>
      </c>
      <c r="E878" s="1" t="s">
        <v>3917</v>
      </c>
      <c r="F878" s="1" t="s">
        <v>3918</v>
      </c>
      <c r="G878" s="1" t="s">
        <v>4983</v>
      </c>
    </row>
    <row r="879" spans="1:7" x14ac:dyDescent="0.45">
      <c r="A879" s="1" t="s">
        <v>4119</v>
      </c>
      <c r="B879" s="1" t="s">
        <v>4120</v>
      </c>
      <c r="C879" s="1" t="s">
        <v>255</v>
      </c>
      <c r="D879" s="1" t="s">
        <v>4727</v>
      </c>
      <c r="E879" s="1" t="s">
        <v>3917</v>
      </c>
      <c r="F879" s="1" t="s">
        <v>3918</v>
      </c>
      <c r="G879" s="1" t="s">
        <v>4983</v>
      </c>
    </row>
    <row r="880" spans="1:7" x14ac:dyDescent="0.45">
      <c r="A880" s="1" t="s">
        <v>10173</v>
      </c>
      <c r="B880" s="1" t="s">
        <v>10174</v>
      </c>
      <c r="C880" s="1" t="s">
        <v>255</v>
      </c>
      <c r="D880" s="1" t="s">
        <v>11352</v>
      </c>
      <c r="E880" s="1" t="s">
        <v>3917</v>
      </c>
      <c r="F880" s="1" t="s">
        <v>3918</v>
      </c>
      <c r="G880" s="1" t="s">
        <v>4983</v>
      </c>
    </row>
    <row r="881" spans="1:7" x14ac:dyDescent="0.45">
      <c r="A881" s="1" t="s">
        <v>818</v>
      </c>
      <c r="B881" s="1" t="s">
        <v>817</v>
      </c>
      <c r="C881" s="1" t="s">
        <v>255</v>
      </c>
      <c r="D881" s="1" t="s">
        <v>2660</v>
      </c>
      <c r="E881" s="1" t="s">
        <v>3917</v>
      </c>
      <c r="F881" s="1" t="s">
        <v>3918</v>
      </c>
      <c r="G881" s="1" t="s">
        <v>4983</v>
      </c>
    </row>
    <row r="882" spans="1:7" x14ac:dyDescent="0.45">
      <c r="A882" s="1" t="s">
        <v>3476</v>
      </c>
      <c r="B882" s="1" t="s">
        <v>3477</v>
      </c>
      <c r="C882" s="1" t="s">
        <v>255</v>
      </c>
      <c r="D882" s="1" t="s">
        <v>3478</v>
      </c>
      <c r="E882" s="1" t="s">
        <v>3919</v>
      </c>
      <c r="F882" s="1" t="s">
        <v>3918</v>
      </c>
      <c r="G882" s="1" t="s">
        <v>4983</v>
      </c>
    </row>
    <row r="883" spans="1:7" x14ac:dyDescent="0.45">
      <c r="A883" s="1" t="s">
        <v>10175</v>
      </c>
      <c r="B883" s="1" t="s">
        <v>5616</v>
      </c>
      <c r="C883" s="1" t="s">
        <v>255</v>
      </c>
      <c r="D883" s="1" t="s">
        <v>5617</v>
      </c>
      <c r="E883" s="1" t="s">
        <v>3917</v>
      </c>
      <c r="F883" s="1" t="s">
        <v>3918</v>
      </c>
      <c r="G883" s="1" t="s">
        <v>4983</v>
      </c>
    </row>
    <row r="884" spans="1:7" x14ac:dyDescent="0.45">
      <c r="A884" s="1" t="s">
        <v>7023</v>
      </c>
      <c r="B884" s="1" t="s">
        <v>7024</v>
      </c>
      <c r="C884" s="1" t="s">
        <v>255</v>
      </c>
      <c r="D884" s="1" t="s">
        <v>8019</v>
      </c>
      <c r="E884" s="1" t="s">
        <v>3917</v>
      </c>
      <c r="F884" s="1" t="s">
        <v>3918</v>
      </c>
      <c r="G884" s="1" t="s">
        <v>4983</v>
      </c>
    </row>
    <row r="885" spans="1:7" x14ac:dyDescent="0.45">
      <c r="A885" s="1" t="s">
        <v>7025</v>
      </c>
      <c r="B885" s="1" t="s">
        <v>5403</v>
      </c>
      <c r="C885" s="1" t="s">
        <v>255</v>
      </c>
      <c r="D885" s="1" t="s">
        <v>5404</v>
      </c>
      <c r="E885" s="1" t="s">
        <v>3917</v>
      </c>
      <c r="F885" s="1" t="s">
        <v>3918</v>
      </c>
      <c r="G885" s="1" t="s">
        <v>4983</v>
      </c>
    </row>
    <row r="886" spans="1:7" x14ac:dyDescent="0.45">
      <c r="A886" s="1" t="s">
        <v>7028</v>
      </c>
      <c r="B886" s="1" t="s">
        <v>5592</v>
      </c>
      <c r="C886" s="1" t="s">
        <v>255</v>
      </c>
      <c r="D886" s="1" t="s">
        <v>5593</v>
      </c>
      <c r="E886" s="1" t="s">
        <v>3917</v>
      </c>
      <c r="F886" s="1" t="s">
        <v>3918</v>
      </c>
      <c r="G886" s="1" t="s">
        <v>4983</v>
      </c>
    </row>
    <row r="887" spans="1:7" x14ac:dyDescent="0.45">
      <c r="A887" s="1" t="s">
        <v>10176</v>
      </c>
      <c r="B887" s="1" t="s">
        <v>10177</v>
      </c>
      <c r="C887" s="1" t="s">
        <v>255</v>
      </c>
      <c r="D887" s="1" t="s">
        <v>11353</v>
      </c>
      <c r="E887" s="1" t="s">
        <v>3917</v>
      </c>
      <c r="F887" s="1" t="s">
        <v>3918</v>
      </c>
      <c r="G887" s="1" t="s">
        <v>4983</v>
      </c>
    </row>
    <row r="888" spans="1:7" x14ac:dyDescent="0.45">
      <c r="A888" s="1" t="s">
        <v>7029</v>
      </c>
      <c r="B888" s="1" t="s">
        <v>7030</v>
      </c>
      <c r="C888" s="1" t="s">
        <v>255</v>
      </c>
      <c r="D888" s="1" t="s">
        <v>8021</v>
      </c>
      <c r="E888" s="1" t="s">
        <v>3917</v>
      </c>
      <c r="F888" s="1" t="s">
        <v>3918</v>
      </c>
      <c r="G888" s="1" t="s">
        <v>4983</v>
      </c>
    </row>
    <row r="889" spans="1:7" x14ac:dyDescent="0.45">
      <c r="A889" s="1" t="s">
        <v>10178</v>
      </c>
      <c r="B889" s="1" t="s">
        <v>10179</v>
      </c>
      <c r="C889" s="1" t="s">
        <v>255</v>
      </c>
      <c r="D889" s="1" t="s">
        <v>11354</v>
      </c>
      <c r="E889" s="1" t="s">
        <v>3917</v>
      </c>
      <c r="F889" s="1" t="s">
        <v>3918</v>
      </c>
      <c r="G889" s="1" t="s">
        <v>4983</v>
      </c>
    </row>
    <row r="890" spans="1:7" x14ac:dyDescent="0.45">
      <c r="A890" s="1" t="s">
        <v>2661</v>
      </c>
      <c r="B890" s="1" t="s">
        <v>2662</v>
      </c>
      <c r="C890" s="1" t="s">
        <v>255</v>
      </c>
      <c r="D890" s="1" t="s">
        <v>2663</v>
      </c>
      <c r="E890" s="1" t="s">
        <v>3917</v>
      </c>
      <c r="F890" s="1" t="s">
        <v>3918</v>
      </c>
      <c r="G890" s="1" t="s">
        <v>4983</v>
      </c>
    </row>
    <row r="891" spans="1:7" x14ac:dyDescent="0.45">
      <c r="A891" s="1" t="s">
        <v>10180</v>
      </c>
      <c r="B891" s="1" t="s">
        <v>10181</v>
      </c>
      <c r="C891" s="1" t="s">
        <v>255</v>
      </c>
      <c r="D891" s="1" t="s">
        <v>11355</v>
      </c>
      <c r="E891" s="1" t="s">
        <v>3917</v>
      </c>
      <c r="F891" s="1" t="s">
        <v>3918</v>
      </c>
      <c r="G891" s="1" t="s">
        <v>4983</v>
      </c>
    </row>
    <row r="892" spans="1:7" x14ac:dyDescent="0.45">
      <c r="A892" s="1" t="s">
        <v>10182</v>
      </c>
      <c r="B892" s="1" t="s">
        <v>10183</v>
      </c>
      <c r="C892" s="1" t="s">
        <v>255</v>
      </c>
      <c r="D892" s="1" t="s">
        <v>11356</v>
      </c>
      <c r="E892" s="1" t="s">
        <v>3917</v>
      </c>
      <c r="F892" s="1" t="s">
        <v>3918</v>
      </c>
      <c r="G892" s="1" t="s">
        <v>4983</v>
      </c>
    </row>
    <row r="893" spans="1:7" x14ac:dyDescent="0.45">
      <c r="A893" s="1" t="s">
        <v>816</v>
      </c>
      <c r="B893" s="1" t="s">
        <v>815</v>
      </c>
      <c r="C893" s="1" t="s">
        <v>255</v>
      </c>
      <c r="D893" s="1" t="s">
        <v>2664</v>
      </c>
      <c r="E893" s="1" t="s">
        <v>3917</v>
      </c>
      <c r="F893" s="1" t="s">
        <v>3918</v>
      </c>
      <c r="G893" s="1" t="s">
        <v>4983</v>
      </c>
    </row>
    <row r="894" spans="1:7" x14ac:dyDescent="0.45">
      <c r="A894" s="1" t="s">
        <v>814</v>
      </c>
      <c r="B894" s="1" t="s">
        <v>813</v>
      </c>
      <c r="C894" s="1" t="s">
        <v>255</v>
      </c>
      <c r="D894" s="1" t="s">
        <v>2665</v>
      </c>
      <c r="E894" s="1" t="s">
        <v>3919</v>
      </c>
      <c r="F894" s="1" t="s">
        <v>3918</v>
      </c>
      <c r="G894" s="1" t="s">
        <v>4983</v>
      </c>
    </row>
    <row r="895" spans="1:7" x14ac:dyDescent="0.45">
      <c r="A895" s="1" t="s">
        <v>7031</v>
      </c>
      <c r="B895" s="1" t="s">
        <v>7032</v>
      </c>
      <c r="C895" s="1" t="s">
        <v>255</v>
      </c>
      <c r="D895" s="1" t="s">
        <v>8022</v>
      </c>
      <c r="E895" s="1" t="s">
        <v>3917</v>
      </c>
      <c r="F895" s="1" t="s">
        <v>3918</v>
      </c>
      <c r="G895" s="1" t="s">
        <v>4983</v>
      </c>
    </row>
    <row r="896" spans="1:7" x14ac:dyDescent="0.45">
      <c r="A896" s="1" t="s">
        <v>2666</v>
      </c>
      <c r="B896" s="1" t="s">
        <v>2667</v>
      </c>
      <c r="C896" s="1" t="s">
        <v>255</v>
      </c>
      <c r="D896" s="1" t="s">
        <v>2668</v>
      </c>
      <c r="E896" s="1" t="s">
        <v>3917</v>
      </c>
      <c r="F896" s="1" t="s">
        <v>3918</v>
      </c>
      <c r="G896" s="1" t="s">
        <v>4983</v>
      </c>
    </row>
    <row r="897" spans="1:7" x14ac:dyDescent="0.45">
      <c r="A897" s="1" t="s">
        <v>10184</v>
      </c>
      <c r="B897" s="1" t="s">
        <v>6673</v>
      </c>
      <c r="C897" s="1" t="s">
        <v>255</v>
      </c>
      <c r="D897" s="1" t="s">
        <v>6674</v>
      </c>
      <c r="E897" s="1" t="s">
        <v>3917</v>
      </c>
      <c r="F897" s="1" t="s">
        <v>3918</v>
      </c>
      <c r="G897" s="1" t="s">
        <v>4983</v>
      </c>
    </row>
    <row r="898" spans="1:7" x14ac:dyDescent="0.45">
      <c r="A898" s="1" t="s">
        <v>10185</v>
      </c>
      <c r="B898" s="1" t="s">
        <v>10186</v>
      </c>
      <c r="C898" s="1" t="s">
        <v>255</v>
      </c>
      <c r="D898" s="1" t="s">
        <v>6549</v>
      </c>
      <c r="E898" s="1" t="s">
        <v>3917</v>
      </c>
      <c r="F898" s="1" t="s">
        <v>3918</v>
      </c>
      <c r="G898" s="1" t="s">
        <v>4983</v>
      </c>
    </row>
    <row r="899" spans="1:7" x14ac:dyDescent="0.45">
      <c r="A899" s="1" t="s">
        <v>3481</v>
      </c>
      <c r="B899" s="1" t="s">
        <v>3482</v>
      </c>
      <c r="C899" s="1" t="s">
        <v>255</v>
      </c>
      <c r="D899" s="1" t="s">
        <v>3483</v>
      </c>
      <c r="E899" s="1" t="s">
        <v>3917</v>
      </c>
      <c r="F899" s="1" t="s">
        <v>3918</v>
      </c>
      <c r="G899" s="1" t="s">
        <v>4983</v>
      </c>
    </row>
    <row r="900" spans="1:7" x14ac:dyDescent="0.45">
      <c r="A900" s="1" t="s">
        <v>3484</v>
      </c>
      <c r="B900" s="1" t="s">
        <v>3485</v>
      </c>
      <c r="C900" s="1" t="s">
        <v>255</v>
      </c>
      <c r="D900" s="1" t="s">
        <v>3486</v>
      </c>
      <c r="E900" s="1" t="s">
        <v>3917</v>
      </c>
      <c r="F900" s="1" t="s">
        <v>3918</v>
      </c>
      <c r="G900" s="1" t="s">
        <v>4983</v>
      </c>
    </row>
    <row r="901" spans="1:7" x14ac:dyDescent="0.45">
      <c r="A901" s="1" t="s">
        <v>7033</v>
      </c>
      <c r="B901" s="1" t="s">
        <v>7034</v>
      </c>
      <c r="C901" s="1" t="s">
        <v>255</v>
      </c>
      <c r="D901" s="1" t="s">
        <v>8023</v>
      </c>
      <c r="E901" s="1" t="s">
        <v>3917</v>
      </c>
      <c r="F901" s="1" t="s">
        <v>3918</v>
      </c>
      <c r="G901" s="1" t="s">
        <v>4983</v>
      </c>
    </row>
    <row r="902" spans="1:7" x14ac:dyDescent="0.45">
      <c r="A902" s="1" t="s">
        <v>7035</v>
      </c>
      <c r="B902" s="1" t="s">
        <v>7036</v>
      </c>
      <c r="C902" s="1" t="s">
        <v>255</v>
      </c>
      <c r="D902" s="1" t="s">
        <v>8024</v>
      </c>
      <c r="E902" s="1" t="s">
        <v>3917</v>
      </c>
      <c r="F902" s="1" t="s">
        <v>3918</v>
      </c>
      <c r="G902" s="1" t="s">
        <v>4983</v>
      </c>
    </row>
    <row r="903" spans="1:7" x14ac:dyDescent="0.45">
      <c r="A903" s="1" t="s">
        <v>4121</v>
      </c>
      <c r="B903" s="1" t="s">
        <v>3341</v>
      </c>
      <c r="C903" s="1" t="s">
        <v>255</v>
      </c>
      <c r="D903" s="1" t="s">
        <v>3342</v>
      </c>
      <c r="E903" s="1" t="s">
        <v>3917</v>
      </c>
      <c r="F903" s="1" t="s">
        <v>3918</v>
      </c>
      <c r="G903" s="1" t="s">
        <v>4983</v>
      </c>
    </row>
    <row r="904" spans="1:7" x14ac:dyDescent="0.45">
      <c r="A904" s="1" t="s">
        <v>10187</v>
      </c>
      <c r="B904" s="1" t="s">
        <v>10188</v>
      </c>
      <c r="C904" s="1" t="s">
        <v>255</v>
      </c>
      <c r="D904" s="1" t="s">
        <v>11357</v>
      </c>
      <c r="E904" s="1" t="s">
        <v>3917</v>
      </c>
      <c r="F904" s="1" t="s">
        <v>3918</v>
      </c>
      <c r="G904" s="1" t="s">
        <v>4983</v>
      </c>
    </row>
    <row r="905" spans="1:7" x14ac:dyDescent="0.45">
      <c r="A905" s="1" t="s">
        <v>10189</v>
      </c>
      <c r="B905" s="1" t="s">
        <v>10190</v>
      </c>
      <c r="C905" s="1" t="s">
        <v>255</v>
      </c>
      <c r="D905" s="1" t="s">
        <v>11358</v>
      </c>
      <c r="E905" s="1" t="s">
        <v>3917</v>
      </c>
      <c r="F905" s="1" t="s">
        <v>3918</v>
      </c>
      <c r="G905" s="1" t="s">
        <v>4983</v>
      </c>
    </row>
    <row r="906" spans="1:7" x14ac:dyDescent="0.45">
      <c r="A906" s="1" t="s">
        <v>10191</v>
      </c>
      <c r="B906" s="1" t="s">
        <v>10192</v>
      </c>
      <c r="C906" s="1" t="s">
        <v>255</v>
      </c>
      <c r="D906" s="1" t="s">
        <v>11359</v>
      </c>
      <c r="E906" s="1" t="s">
        <v>3919</v>
      </c>
      <c r="F906" s="1" t="s">
        <v>3918</v>
      </c>
      <c r="G906" s="1" t="s">
        <v>4983</v>
      </c>
    </row>
    <row r="907" spans="1:7" x14ac:dyDescent="0.45">
      <c r="A907" s="1" t="s">
        <v>1644</v>
      </c>
      <c r="B907" s="1" t="s">
        <v>1645</v>
      </c>
      <c r="C907" s="1" t="s">
        <v>255</v>
      </c>
      <c r="D907" s="1" t="s">
        <v>2669</v>
      </c>
      <c r="E907" s="1" t="s">
        <v>3917</v>
      </c>
      <c r="F907" s="1" t="s">
        <v>3918</v>
      </c>
      <c r="G907" s="1" t="s">
        <v>4983</v>
      </c>
    </row>
    <row r="908" spans="1:7" x14ac:dyDescent="0.45">
      <c r="A908" s="1" t="s">
        <v>4124</v>
      </c>
      <c r="B908" s="1" t="s">
        <v>4125</v>
      </c>
      <c r="C908" s="1" t="s">
        <v>255</v>
      </c>
      <c r="D908" s="1" t="s">
        <v>4729</v>
      </c>
      <c r="E908" s="1" t="s">
        <v>3917</v>
      </c>
      <c r="F908" s="1" t="s">
        <v>3918</v>
      </c>
      <c r="G908" s="1" t="s">
        <v>4983</v>
      </c>
    </row>
    <row r="909" spans="1:7" x14ac:dyDescent="0.45">
      <c r="A909" s="1" t="s">
        <v>7037</v>
      </c>
      <c r="B909" s="1" t="s">
        <v>7038</v>
      </c>
      <c r="C909" s="1" t="s">
        <v>255</v>
      </c>
      <c r="D909" s="1" t="s">
        <v>8025</v>
      </c>
      <c r="E909" s="1" t="s">
        <v>3917</v>
      </c>
      <c r="F909" s="1" t="s">
        <v>3918</v>
      </c>
      <c r="G909" s="1" t="s">
        <v>4983</v>
      </c>
    </row>
    <row r="910" spans="1:7" x14ac:dyDescent="0.45">
      <c r="A910" s="1" t="s">
        <v>4126</v>
      </c>
      <c r="B910" s="1" t="s">
        <v>4127</v>
      </c>
      <c r="C910" s="1" t="s">
        <v>255</v>
      </c>
      <c r="D910" s="1" t="s">
        <v>4730</v>
      </c>
      <c r="E910" s="1" t="s">
        <v>3917</v>
      </c>
      <c r="F910" s="1" t="s">
        <v>3918</v>
      </c>
      <c r="G910" s="1" t="s">
        <v>4983</v>
      </c>
    </row>
    <row r="911" spans="1:7" x14ac:dyDescent="0.45">
      <c r="A911" s="1" t="s">
        <v>4128</v>
      </c>
      <c r="B911" s="1" t="s">
        <v>4129</v>
      </c>
      <c r="C911" s="1" t="s">
        <v>255</v>
      </c>
      <c r="D911" s="1" t="s">
        <v>4731</v>
      </c>
      <c r="E911" s="1" t="s">
        <v>3917</v>
      </c>
      <c r="F911" s="1" t="s">
        <v>3918</v>
      </c>
      <c r="G911" s="1" t="s">
        <v>4983</v>
      </c>
    </row>
    <row r="912" spans="1:7" x14ac:dyDescent="0.45">
      <c r="A912" s="1" t="s">
        <v>10193</v>
      </c>
      <c r="B912" s="1" t="s">
        <v>10194</v>
      </c>
      <c r="C912" s="1" t="s">
        <v>255</v>
      </c>
      <c r="D912" s="1" t="s">
        <v>11360</v>
      </c>
      <c r="E912" s="1" t="s">
        <v>3917</v>
      </c>
      <c r="F912" s="1" t="s">
        <v>3918</v>
      </c>
      <c r="G912" s="1" t="s">
        <v>4983</v>
      </c>
    </row>
    <row r="913" spans="1:7" x14ac:dyDescent="0.45">
      <c r="A913" s="1" t="s">
        <v>7039</v>
      </c>
      <c r="B913" s="1" t="s">
        <v>5266</v>
      </c>
      <c r="C913" s="1" t="s">
        <v>255</v>
      </c>
      <c r="D913" s="1" t="s">
        <v>5267</v>
      </c>
      <c r="E913" s="1" t="s">
        <v>3917</v>
      </c>
      <c r="F913" s="1" t="s">
        <v>3918</v>
      </c>
      <c r="G913" s="1" t="s">
        <v>4983</v>
      </c>
    </row>
    <row r="914" spans="1:7" x14ac:dyDescent="0.45">
      <c r="A914" s="1" t="s">
        <v>7040</v>
      </c>
      <c r="B914" s="1" t="s">
        <v>7041</v>
      </c>
      <c r="C914" s="1" t="s">
        <v>255</v>
      </c>
      <c r="D914" s="1" t="s">
        <v>8026</v>
      </c>
      <c r="E914" s="1" t="s">
        <v>3917</v>
      </c>
      <c r="F914" s="1" t="s">
        <v>3918</v>
      </c>
      <c r="G914" s="1" t="s">
        <v>4983</v>
      </c>
    </row>
    <row r="915" spans="1:7" x14ac:dyDescent="0.45">
      <c r="A915" s="1" t="s">
        <v>4130</v>
      </c>
      <c r="B915" s="1" t="s">
        <v>3321</v>
      </c>
      <c r="C915" s="1" t="s">
        <v>255</v>
      </c>
      <c r="D915" s="1" t="s">
        <v>3322</v>
      </c>
      <c r="E915" s="1" t="s">
        <v>3917</v>
      </c>
      <c r="F915" s="1" t="s">
        <v>3918</v>
      </c>
      <c r="G915" s="1" t="s">
        <v>4983</v>
      </c>
    </row>
    <row r="916" spans="1:7" x14ac:dyDescent="0.45">
      <c r="A916" s="1" t="s">
        <v>4131</v>
      </c>
      <c r="B916" s="1" t="s">
        <v>4132</v>
      </c>
      <c r="C916" s="1" t="s">
        <v>255</v>
      </c>
      <c r="D916" s="1" t="s">
        <v>4732</v>
      </c>
      <c r="E916" s="1" t="s">
        <v>3917</v>
      </c>
      <c r="F916" s="1" t="s">
        <v>3918</v>
      </c>
      <c r="G916" s="1" t="s">
        <v>4983</v>
      </c>
    </row>
    <row r="917" spans="1:7" x14ac:dyDescent="0.45">
      <c r="A917" s="1" t="s">
        <v>7042</v>
      </c>
      <c r="B917" s="1" t="s">
        <v>7043</v>
      </c>
      <c r="C917" s="1" t="s">
        <v>255</v>
      </c>
      <c r="D917" s="1" t="s">
        <v>8027</v>
      </c>
      <c r="E917" s="1" t="s">
        <v>3917</v>
      </c>
      <c r="F917" s="1" t="s">
        <v>3918</v>
      </c>
      <c r="G917" s="1" t="s">
        <v>4983</v>
      </c>
    </row>
    <row r="918" spans="1:7" x14ac:dyDescent="0.45">
      <c r="A918" s="1" t="s">
        <v>1646</v>
      </c>
      <c r="B918" s="1" t="s">
        <v>1647</v>
      </c>
      <c r="C918" s="1" t="s">
        <v>255</v>
      </c>
      <c r="D918" s="1" t="s">
        <v>2670</v>
      </c>
      <c r="E918" s="1" t="s">
        <v>3917</v>
      </c>
      <c r="F918" s="1" t="s">
        <v>3918</v>
      </c>
      <c r="G918" s="1" t="s">
        <v>4983</v>
      </c>
    </row>
    <row r="919" spans="1:7" x14ac:dyDescent="0.45">
      <c r="A919" s="1" t="s">
        <v>810</v>
      </c>
      <c r="B919" s="1" t="s">
        <v>809</v>
      </c>
      <c r="C919" s="1" t="s">
        <v>255</v>
      </c>
      <c r="D919" s="1" t="s">
        <v>2671</v>
      </c>
      <c r="E919" s="1" t="s">
        <v>3917</v>
      </c>
      <c r="F919" s="1" t="s">
        <v>3918</v>
      </c>
      <c r="G919" s="1" t="s">
        <v>4983</v>
      </c>
    </row>
    <row r="920" spans="1:7" x14ac:dyDescent="0.45">
      <c r="A920" s="1" t="s">
        <v>10195</v>
      </c>
      <c r="B920" s="1" t="s">
        <v>10196</v>
      </c>
      <c r="C920" s="1" t="s">
        <v>255</v>
      </c>
      <c r="D920" s="1" t="s">
        <v>11361</v>
      </c>
      <c r="E920" s="1" t="s">
        <v>3917</v>
      </c>
      <c r="F920" s="1" t="s">
        <v>3918</v>
      </c>
      <c r="G920" s="1" t="s">
        <v>4983</v>
      </c>
    </row>
    <row r="921" spans="1:7" x14ac:dyDescent="0.45">
      <c r="A921" s="1" t="s">
        <v>10197</v>
      </c>
      <c r="B921" s="1" t="s">
        <v>10198</v>
      </c>
      <c r="C921" s="1" t="s">
        <v>255</v>
      </c>
      <c r="D921" s="1" t="s">
        <v>11362</v>
      </c>
      <c r="E921" s="1" t="s">
        <v>3917</v>
      </c>
      <c r="F921" s="1" t="s">
        <v>3918</v>
      </c>
      <c r="G921" s="1" t="s">
        <v>4983</v>
      </c>
    </row>
    <row r="922" spans="1:7" x14ac:dyDescent="0.45">
      <c r="A922" s="1" t="s">
        <v>7044</v>
      </c>
      <c r="B922" s="1" t="s">
        <v>7045</v>
      </c>
      <c r="C922" s="1" t="s">
        <v>255</v>
      </c>
      <c r="D922" s="1" t="s">
        <v>8028</v>
      </c>
      <c r="E922" s="1" t="s">
        <v>3917</v>
      </c>
      <c r="F922" s="1" t="s">
        <v>3918</v>
      </c>
      <c r="G922" s="1" t="s">
        <v>4983</v>
      </c>
    </row>
    <row r="923" spans="1:7" x14ac:dyDescent="0.45">
      <c r="A923" s="1" t="s">
        <v>7046</v>
      </c>
      <c r="B923" s="1" t="s">
        <v>7047</v>
      </c>
      <c r="C923" s="1" t="s">
        <v>255</v>
      </c>
      <c r="D923" s="1" t="s">
        <v>2118</v>
      </c>
      <c r="E923" s="1" t="s">
        <v>3917</v>
      </c>
      <c r="F923" s="1" t="s">
        <v>3918</v>
      </c>
      <c r="G923" s="1" t="s">
        <v>4983</v>
      </c>
    </row>
    <row r="924" spans="1:7" x14ac:dyDescent="0.45">
      <c r="A924" s="1" t="s">
        <v>10199</v>
      </c>
      <c r="B924" s="1" t="s">
        <v>10200</v>
      </c>
      <c r="C924" s="1" t="s">
        <v>255</v>
      </c>
      <c r="D924" s="1" t="s">
        <v>2118</v>
      </c>
      <c r="E924" s="1" t="s">
        <v>3917</v>
      </c>
      <c r="F924" s="1" t="s">
        <v>3918</v>
      </c>
      <c r="G924" s="1" t="s">
        <v>4983</v>
      </c>
    </row>
    <row r="925" spans="1:7" x14ac:dyDescent="0.45">
      <c r="A925" s="1" t="s">
        <v>7048</v>
      </c>
      <c r="B925" s="1" t="s">
        <v>7049</v>
      </c>
      <c r="C925" s="1" t="s">
        <v>255</v>
      </c>
      <c r="D925" s="1" t="s">
        <v>8029</v>
      </c>
      <c r="E925" s="1" t="s">
        <v>3917</v>
      </c>
      <c r="F925" s="1" t="s">
        <v>3918</v>
      </c>
      <c r="G925" s="1" t="s">
        <v>4983</v>
      </c>
    </row>
    <row r="926" spans="1:7" x14ac:dyDescent="0.45">
      <c r="A926" s="1" t="s">
        <v>808</v>
      </c>
      <c r="B926" s="1" t="s">
        <v>807</v>
      </c>
      <c r="C926" s="1" t="s">
        <v>255</v>
      </c>
      <c r="D926" s="1" t="s">
        <v>2672</v>
      </c>
      <c r="E926" s="1" t="s">
        <v>3917</v>
      </c>
      <c r="F926" s="1" t="s">
        <v>3918</v>
      </c>
      <c r="G926" s="1" t="s">
        <v>4983</v>
      </c>
    </row>
    <row r="927" spans="1:7" x14ac:dyDescent="0.45">
      <c r="A927" s="1" t="s">
        <v>3487</v>
      </c>
      <c r="B927" s="1" t="s">
        <v>3488</v>
      </c>
      <c r="C927" s="1" t="s">
        <v>255</v>
      </c>
      <c r="D927" s="1" t="s">
        <v>3489</v>
      </c>
      <c r="E927" s="1" t="s">
        <v>3917</v>
      </c>
      <c r="F927" s="1" t="s">
        <v>3918</v>
      </c>
      <c r="G927" s="1" t="s">
        <v>4983</v>
      </c>
    </row>
    <row r="928" spans="1:7" x14ac:dyDescent="0.45">
      <c r="A928" s="1" t="s">
        <v>10201</v>
      </c>
      <c r="B928" s="1" t="s">
        <v>10202</v>
      </c>
      <c r="C928" s="1" t="s">
        <v>255</v>
      </c>
      <c r="D928" s="1" t="s">
        <v>11363</v>
      </c>
      <c r="E928" s="1" t="s">
        <v>3917</v>
      </c>
      <c r="F928" s="1" t="s">
        <v>3918</v>
      </c>
      <c r="G928" s="1" t="s">
        <v>4983</v>
      </c>
    </row>
    <row r="929" spans="1:7" x14ac:dyDescent="0.45">
      <c r="A929" s="1" t="s">
        <v>10203</v>
      </c>
      <c r="B929" s="1" t="s">
        <v>10204</v>
      </c>
      <c r="C929" s="1" t="s">
        <v>255</v>
      </c>
      <c r="D929" s="1" t="s">
        <v>11364</v>
      </c>
      <c r="E929" s="1" t="s">
        <v>3917</v>
      </c>
      <c r="F929" s="1" t="s">
        <v>3918</v>
      </c>
      <c r="G929" s="1" t="s">
        <v>4983</v>
      </c>
    </row>
    <row r="930" spans="1:7" x14ac:dyDescent="0.45">
      <c r="A930" s="1" t="s">
        <v>10205</v>
      </c>
      <c r="B930" s="1" t="s">
        <v>10206</v>
      </c>
      <c r="C930" s="1" t="s">
        <v>255</v>
      </c>
      <c r="D930" s="1" t="s">
        <v>11365</v>
      </c>
      <c r="E930" s="1" t="s">
        <v>3917</v>
      </c>
      <c r="F930" s="1" t="s">
        <v>3918</v>
      </c>
      <c r="G930" s="1" t="s">
        <v>4983</v>
      </c>
    </row>
    <row r="931" spans="1:7" x14ac:dyDescent="0.45">
      <c r="A931" s="1" t="s">
        <v>7050</v>
      </c>
      <c r="B931" s="1" t="s">
        <v>7051</v>
      </c>
      <c r="C931" s="1" t="s">
        <v>255</v>
      </c>
      <c r="D931" s="1" t="s">
        <v>8030</v>
      </c>
      <c r="E931" s="1" t="s">
        <v>3917</v>
      </c>
      <c r="F931" s="1" t="s">
        <v>3918</v>
      </c>
      <c r="G931" s="1" t="s">
        <v>4983</v>
      </c>
    </row>
    <row r="932" spans="1:7" x14ac:dyDescent="0.45">
      <c r="A932" s="1" t="s">
        <v>1648</v>
      </c>
      <c r="B932" s="1" t="s">
        <v>806</v>
      </c>
      <c r="C932" s="1" t="s">
        <v>255</v>
      </c>
      <c r="D932" s="1" t="s">
        <v>2673</v>
      </c>
      <c r="E932" s="1" t="s">
        <v>3917</v>
      </c>
      <c r="F932" s="1" t="s">
        <v>3918</v>
      </c>
      <c r="G932" s="1" t="s">
        <v>4983</v>
      </c>
    </row>
    <row r="933" spans="1:7" x14ac:dyDescent="0.45">
      <c r="A933" s="1" t="s">
        <v>4133</v>
      </c>
      <c r="B933" s="1" t="s">
        <v>3294</v>
      </c>
      <c r="C933" s="1" t="s">
        <v>255</v>
      </c>
      <c r="D933" s="1" t="s">
        <v>3295</v>
      </c>
      <c r="E933" s="1" t="s">
        <v>3917</v>
      </c>
      <c r="F933" s="1" t="s">
        <v>3918</v>
      </c>
      <c r="G933" s="1" t="s">
        <v>4983</v>
      </c>
    </row>
    <row r="934" spans="1:7" x14ac:dyDescent="0.45">
      <c r="A934" s="1" t="s">
        <v>805</v>
      </c>
      <c r="B934" s="1" t="s">
        <v>804</v>
      </c>
      <c r="C934" s="1" t="s">
        <v>255</v>
      </c>
      <c r="D934" s="1" t="s">
        <v>2674</v>
      </c>
      <c r="E934" s="1" t="s">
        <v>3917</v>
      </c>
      <c r="F934" s="1" t="s">
        <v>3918</v>
      </c>
      <c r="G934" s="1" t="s">
        <v>4983</v>
      </c>
    </row>
    <row r="935" spans="1:7" x14ac:dyDescent="0.45">
      <c r="A935" s="1" t="s">
        <v>10207</v>
      </c>
      <c r="B935" s="1" t="s">
        <v>5274</v>
      </c>
      <c r="C935" s="1" t="s">
        <v>255</v>
      </c>
      <c r="D935" s="1" t="s">
        <v>5275</v>
      </c>
      <c r="E935" s="1" t="s">
        <v>3917</v>
      </c>
      <c r="F935" s="1" t="s">
        <v>3918</v>
      </c>
      <c r="G935" s="1" t="s">
        <v>4983</v>
      </c>
    </row>
    <row r="936" spans="1:7" x14ac:dyDescent="0.45">
      <c r="A936" s="1" t="s">
        <v>10208</v>
      </c>
      <c r="B936" s="1" t="s">
        <v>6235</v>
      </c>
      <c r="C936" s="1" t="s">
        <v>255</v>
      </c>
      <c r="D936" s="1" t="s">
        <v>6236</v>
      </c>
      <c r="E936" s="1" t="s">
        <v>3917</v>
      </c>
      <c r="F936" s="1" t="s">
        <v>3918</v>
      </c>
      <c r="G936" s="1" t="s">
        <v>4983</v>
      </c>
    </row>
    <row r="937" spans="1:7" x14ac:dyDescent="0.45">
      <c r="A937" s="1" t="s">
        <v>7052</v>
      </c>
      <c r="B937" s="1" t="s">
        <v>7053</v>
      </c>
      <c r="C937" s="1" t="s">
        <v>255</v>
      </c>
      <c r="D937" s="1" t="s">
        <v>8031</v>
      </c>
      <c r="E937" s="1" t="s">
        <v>3917</v>
      </c>
      <c r="F937" s="1" t="s">
        <v>3918</v>
      </c>
      <c r="G937" s="1" t="s">
        <v>4983</v>
      </c>
    </row>
    <row r="938" spans="1:7" x14ac:dyDescent="0.45">
      <c r="A938" s="1" t="s">
        <v>10209</v>
      </c>
      <c r="B938" s="1" t="s">
        <v>10210</v>
      </c>
      <c r="C938" s="1" t="s">
        <v>255</v>
      </c>
      <c r="D938" s="1" t="s">
        <v>11366</v>
      </c>
      <c r="E938" s="1" t="s">
        <v>3917</v>
      </c>
      <c r="F938" s="1" t="s">
        <v>3918</v>
      </c>
      <c r="G938" s="1" t="s">
        <v>4983</v>
      </c>
    </row>
    <row r="939" spans="1:7" x14ac:dyDescent="0.45">
      <c r="A939" s="1" t="s">
        <v>10211</v>
      </c>
      <c r="B939" s="1" t="s">
        <v>10212</v>
      </c>
      <c r="C939" s="1" t="s">
        <v>255</v>
      </c>
      <c r="D939" s="1" t="s">
        <v>11367</v>
      </c>
      <c r="E939" s="1" t="s">
        <v>3917</v>
      </c>
      <c r="F939" s="1" t="s">
        <v>3918</v>
      </c>
      <c r="G939" s="1" t="s">
        <v>4983</v>
      </c>
    </row>
    <row r="940" spans="1:7" x14ac:dyDescent="0.45">
      <c r="A940" s="1" t="s">
        <v>7054</v>
      </c>
      <c r="B940" s="1" t="s">
        <v>5639</v>
      </c>
      <c r="C940" s="1" t="s">
        <v>255</v>
      </c>
      <c r="D940" s="1" t="s">
        <v>5640</v>
      </c>
      <c r="E940" s="1" t="s">
        <v>3917</v>
      </c>
      <c r="F940" s="1" t="s">
        <v>3918</v>
      </c>
      <c r="G940" s="1" t="s">
        <v>4983</v>
      </c>
    </row>
    <row r="941" spans="1:7" x14ac:dyDescent="0.45">
      <c r="A941" s="1" t="s">
        <v>7055</v>
      </c>
      <c r="B941" s="1" t="s">
        <v>7056</v>
      </c>
      <c r="C941" s="1" t="s">
        <v>255</v>
      </c>
      <c r="D941" s="1" t="s">
        <v>8032</v>
      </c>
      <c r="E941" s="1" t="s">
        <v>3917</v>
      </c>
      <c r="F941" s="1" t="s">
        <v>3918</v>
      </c>
      <c r="G941" s="1" t="s">
        <v>4983</v>
      </c>
    </row>
    <row r="942" spans="1:7" x14ac:dyDescent="0.45">
      <c r="A942" s="1" t="s">
        <v>803</v>
      </c>
      <c r="B942" s="1" t="s">
        <v>802</v>
      </c>
      <c r="C942" s="1" t="s">
        <v>255</v>
      </c>
      <c r="D942" s="1" t="s">
        <v>2675</v>
      </c>
      <c r="E942" s="1" t="s">
        <v>3917</v>
      </c>
      <c r="F942" s="1" t="s">
        <v>3918</v>
      </c>
      <c r="G942" s="1" t="s">
        <v>4983</v>
      </c>
    </row>
    <row r="943" spans="1:7" x14ac:dyDescent="0.45">
      <c r="A943" s="1" t="s">
        <v>3490</v>
      </c>
      <c r="B943" s="1" t="s">
        <v>1649</v>
      </c>
      <c r="C943" s="1" t="s">
        <v>255</v>
      </c>
      <c r="D943" s="1" t="s">
        <v>2676</v>
      </c>
      <c r="E943" s="1" t="s">
        <v>3917</v>
      </c>
      <c r="F943" s="1" t="s">
        <v>3918</v>
      </c>
      <c r="G943" s="1" t="s">
        <v>4983</v>
      </c>
    </row>
    <row r="944" spans="1:7" x14ac:dyDescent="0.45">
      <c r="A944" s="1" t="s">
        <v>801</v>
      </c>
      <c r="B944" s="1" t="s">
        <v>800</v>
      </c>
      <c r="C944" s="1" t="s">
        <v>255</v>
      </c>
      <c r="D944" s="1" t="s">
        <v>2677</v>
      </c>
      <c r="E944" s="1" t="s">
        <v>3917</v>
      </c>
      <c r="F944" s="1" t="s">
        <v>3918</v>
      </c>
      <c r="G944" s="1" t="s">
        <v>4983</v>
      </c>
    </row>
    <row r="945" spans="1:7" x14ac:dyDescent="0.45">
      <c r="A945" s="1" t="s">
        <v>10213</v>
      </c>
      <c r="B945" s="1" t="s">
        <v>10214</v>
      </c>
      <c r="C945" s="1" t="s">
        <v>255</v>
      </c>
      <c r="D945" s="1" t="s">
        <v>11368</v>
      </c>
      <c r="E945" s="1" t="s">
        <v>3917</v>
      </c>
      <c r="F945" s="1" t="s">
        <v>3918</v>
      </c>
      <c r="G945" s="1" t="s">
        <v>4983</v>
      </c>
    </row>
    <row r="946" spans="1:7" x14ac:dyDescent="0.45">
      <c r="A946" s="1" t="s">
        <v>7057</v>
      </c>
      <c r="B946" s="1" t="s">
        <v>5728</v>
      </c>
      <c r="C946" s="1" t="s">
        <v>255</v>
      </c>
      <c r="D946" s="1" t="s">
        <v>5729</v>
      </c>
      <c r="E946" s="1" t="s">
        <v>3917</v>
      </c>
      <c r="F946" s="1" t="s">
        <v>3918</v>
      </c>
      <c r="G946" s="1" t="s">
        <v>4983</v>
      </c>
    </row>
    <row r="947" spans="1:7" x14ac:dyDescent="0.45">
      <c r="A947" s="1" t="s">
        <v>4134</v>
      </c>
      <c r="B947" s="1" t="s">
        <v>3494</v>
      </c>
      <c r="C947" s="1" t="s">
        <v>255</v>
      </c>
      <c r="D947" s="1" t="s">
        <v>3495</v>
      </c>
      <c r="E947" s="1" t="s">
        <v>3917</v>
      </c>
      <c r="F947" s="1" t="s">
        <v>3918</v>
      </c>
      <c r="G947" s="1" t="s">
        <v>4983</v>
      </c>
    </row>
    <row r="948" spans="1:7" x14ac:dyDescent="0.45">
      <c r="A948" s="1" t="s">
        <v>7058</v>
      </c>
      <c r="B948" s="1" t="s">
        <v>7059</v>
      </c>
      <c r="C948" s="1" t="s">
        <v>255</v>
      </c>
      <c r="D948" s="1" t="s">
        <v>8033</v>
      </c>
      <c r="E948" s="1" t="s">
        <v>3917</v>
      </c>
      <c r="F948" s="1" t="s">
        <v>3918</v>
      </c>
      <c r="G948" s="1" t="s">
        <v>4983</v>
      </c>
    </row>
    <row r="949" spans="1:7" x14ac:dyDescent="0.45">
      <c r="A949" s="1" t="s">
        <v>10215</v>
      </c>
      <c r="B949" s="1" t="s">
        <v>10216</v>
      </c>
      <c r="C949" s="1" t="s">
        <v>255</v>
      </c>
      <c r="D949" s="1" t="s">
        <v>11369</v>
      </c>
      <c r="E949" s="1" t="s">
        <v>3917</v>
      </c>
      <c r="F949" s="1" t="s">
        <v>3918</v>
      </c>
      <c r="G949" s="1" t="s">
        <v>4983</v>
      </c>
    </row>
    <row r="950" spans="1:7" x14ac:dyDescent="0.45">
      <c r="A950" s="1" t="s">
        <v>4135</v>
      </c>
      <c r="B950" s="1" t="s">
        <v>3335</v>
      </c>
      <c r="C950" s="1" t="s">
        <v>255</v>
      </c>
      <c r="D950" s="1" t="s">
        <v>3336</v>
      </c>
      <c r="E950" s="1" t="s">
        <v>3917</v>
      </c>
      <c r="F950" s="1" t="s">
        <v>3918</v>
      </c>
      <c r="G950" s="1" t="s">
        <v>4983</v>
      </c>
    </row>
    <row r="951" spans="1:7" x14ac:dyDescent="0.45">
      <c r="A951" s="1" t="s">
        <v>7060</v>
      </c>
      <c r="B951" s="1" t="s">
        <v>7061</v>
      </c>
      <c r="C951" s="1" t="s">
        <v>255</v>
      </c>
      <c r="D951" s="1" t="s">
        <v>8034</v>
      </c>
      <c r="E951" s="1" t="s">
        <v>3917</v>
      </c>
      <c r="F951" s="1" t="s">
        <v>3918</v>
      </c>
      <c r="G951" s="1" t="s">
        <v>4983</v>
      </c>
    </row>
    <row r="952" spans="1:7" x14ac:dyDescent="0.45">
      <c r="A952" s="1" t="s">
        <v>10217</v>
      </c>
      <c r="B952" s="1" t="s">
        <v>5557</v>
      </c>
      <c r="C952" s="1" t="s">
        <v>255</v>
      </c>
      <c r="D952" s="1" t="s">
        <v>5558</v>
      </c>
      <c r="E952" s="1" t="s">
        <v>3919</v>
      </c>
      <c r="F952" s="1" t="s">
        <v>3918</v>
      </c>
      <c r="G952" s="1" t="s">
        <v>4983</v>
      </c>
    </row>
    <row r="953" spans="1:7" x14ac:dyDescent="0.45">
      <c r="A953" s="1" t="s">
        <v>799</v>
      </c>
      <c r="B953" s="1" t="s">
        <v>798</v>
      </c>
      <c r="C953" s="1" t="s">
        <v>255</v>
      </c>
      <c r="D953" s="1" t="s">
        <v>2678</v>
      </c>
      <c r="E953" s="1" t="s">
        <v>3917</v>
      </c>
      <c r="F953" s="1" t="s">
        <v>3918</v>
      </c>
      <c r="G953" s="1" t="s">
        <v>4983</v>
      </c>
    </row>
    <row r="954" spans="1:7" x14ac:dyDescent="0.45">
      <c r="A954" s="1" t="s">
        <v>2679</v>
      </c>
      <c r="B954" s="1" t="s">
        <v>2680</v>
      </c>
      <c r="C954" s="1" t="s">
        <v>255</v>
      </c>
      <c r="D954" s="1" t="s">
        <v>2681</v>
      </c>
      <c r="E954" s="1" t="s">
        <v>3917</v>
      </c>
      <c r="F954" s="1" t="s">
        <v>3918</v>
      </c>
      <c r="G954" s="1" t="s">
        <v>4983</v>
      </c>
    </row>
    <row r="955" spans="1:7" x14ac:dyDescent="0.45">
      <c r="A955" s="1" t="s">
        <v>10218</v>
      </c>
      <c r="B955" s="1" t="s">
        <v>10219</v>
      </c>
      <c r="C955" s="1" t="s">
        <v>255</v>
      </c>
      <c r="D955" s="1" t="s">
        <v>11370</v>
      </c>
      <c r="E955" s="1" t="s">
        <v>3917</v>
      </c>
      <c r="F955" s="1" t="s">
        <v>3918</v>
      </c>
      <c r="G955" s="1" t="s">
        <v>4983</v>
      </c>
    </row>
    <row r="956" spans="1:7" x14ac:dyDescent="0.45">
      <c r="A956" s="1" t="s">
        <v>10220</v>
      </c>
      <c r="B956" s="1" t="s">
        <v>10221</v>
      </c>
      <c r="C956" s="1" t="s">
        <v>255</v>
      </c>
      <c r="D956" s="1" t="s">
        <v>11371</v>
      </c>
      <c r="E956" s="1" t="s">
        <v>3917</v>
      </c>
      <c r="F956" s="1" t="s">
        <v>3918</v>
      </c>
      <c r="G956" s="1" t="s">
        <v>4983</v>
      </c>
    </row>
    <row r="957" spans="1:7" x14ac:dyDescent="0.45">
      <c r="A957" s="1" t="s">
        <v>10222</v>
      </c>
      <c r="B957" s="1" t="s">
        <v>10223</v>
      </c>
      <c r="C957" s="1" t="s">
        <v>255</v>
      </c>
      <c r="D957" s="1" t="s">
        <v>11372</v>
      </c>
      <c r="E957" s="1" t="s">
        <v>3917</v>
      </c>
      <c r="F957" s="1" t="s">
        <v>3918</v>
      </c>
      <c r="G957" s="1" t="s">
        <v>4983</v>
      </c>
    </row>
    <row r="958" spans="1:7" x14ac:dyDescent="0.45">
      <c r="A958" s="1" t="s">
        <v>7062</v>
      </c>
      <c r="B958" s="1" t="s">
        <v>7063</v>
      </c>
      <c r="C958" s="1" t="s">
        <v>255</v>
      </c>
      <c r="D958" s="1" t="s">
        <v>8035</v>
      </c>
      <c r="E958" s="1" t="s">
        <v>3917</v>
      </c>
      <c r="F958" s="1" t="s">
        <v>3918</v>
      </c>
      <c r="G958" s="1" t="s">
        <v>4983</v>
      </c>
    </row>
    <row r="959" spans="1:7" x14ac:dyDescent="0.45">
      <c r="A959" s="1" t="s">
        <v>797</v>
      </c>
      <c r="B959" s="1" t="s">
        <v>796</v>
      </c>
      <c r="C959" s="1" t="s">
        <v>255</v>
      </c>
      <c r="D959" s="1" t="s">
        <v>2682</v>
      </c>
      <c r="E959" s="1" t="s">
        <v>3917</v>
      </c>
      <c r="F959" s="1" t="s">
        <v>3918</v>
      </c>
      <c r="G959" s="1" t="s">
        <v>4983</v>
      </c>
    </row>
    <row r="960" spans="1:7" x14ac:dyDescent="0.45">
      <c r="A960" s="1" t="s">
        <v>10224</v>
      </c>
      <c r="B960" s="1" t="s">
        <v>10225</v>
      </c>
      <c r="C960" s="1" t="s">
        <v>255</v>
      </c>
      <c r="D960" s="1" t="s">
        <v>11373</v>
      </c>
      <c r="E960" s="1" t="s">
        <v>3917</v>
      </c>
      <c r="F960" s="1" t="s">
        <v>3918</v>
      </c>
      <c r="G960" s="1" t="s">
        <v>4983</v>
      </c>
    </row>
    <row r="961" spans="1:7" x14ac:dyDescent="0.45">
      <c r="A961" s="1" t="s">
        <v>4136</v>
      </c>
      <c r="B961" s="1" t="s">
        <v>4137</v>
      </c>
      <c r="C961" s="1" t="s">
        <v>255</v>
      </c>
      <c r="D961" s="1" t="s">
        <v>4733</v>
      </c>
      <c r="E961" s="1" t="s">
        <v>3917</v>
      </c>
      <c r="F961" s="1" t="s">
        <v>3918</v>
      </c>
      <c r="G961" s="1" t="s">
        <v>4983</v>
      </c>
    </row>
    <row r="962" spans="1:7" x14ac:dyDescent="0.45">
      <c r="A962" s="1" t="s">
        <v>4138</v>
      </c>
      <c r="B962" s="1" t="s">
        <v>4139</v>
      </c>
      <c r="C962" s="1" t="s">
        <v>255</v>
      </c>
      <c r="D962" s="1" t="s">
        <v>4734</v>
      </c>
      <c r="E962" s="1" t="s">
        <v>3917</v>
      </c>
      <c r="F962" s="1" t="s">
        <v>3918</v>
      </c>
      <c r="G962" s="1" t="s">
        <v>4983</v>
      </c>
    </row>
    <row r="963" spans="1:7" x14ac:dyDescent="0.45">
      <c r="A963" s="1" t="s">
        <v>10226</v>
      </c>
      <c r="B963" s="1" t="s">
        <v>10227</v>
      </c>
      <c r="C963" s="1" t="s">
        <v>255</v>
      </c>
      <c r="D963" s="1" t="s">
        <v>11374</v>
      </c>
      <c r="E963" s="1" t="s">
        <v>3917</v>
      </c>
      <c r="F963" s="1" t="s">
        <v>3918</v>
      </c>
      <c r="G963" s="1" t="s">
        <v>4983</v>
      </c>
    </row>
    <row r="964" spans="1:7" x14ac:dyDescent="0.45">
      <c r="A964" s="1" t="s">
        <v>7064</v>
      </c>
      <c r="B964" s="1" t="s">
        <v>7065</v>
      </c>
      <c r="C964" s="1" t="s">
        <v>255</v>
      </c>
      <c r="D964" s="1" t="s">
        <v>8036</v>
      </c>
      <c r="E964" s="1" t="s">
        <v>3917</v>
      </c>
      <c r="F964" s="1" t="s">
        <v>3918</v>
      </c>
      <c r="G964" s="1" t="s">
        <v>4983</v>
      </c>
    </row>
    <row r="965" spans="1:7" x14ac:dyDescent="0.45">
      <c r="A965" s="1" t="s">
        <v>7066</v>
      </c>
      <c r="B965" s="1" t="s">
        <v>7067</v>
      </c>
      <c r="C965" s="1" t="s">
        <v>255</v>
      </c>
      <c r="D965" s="1" t="s">
        <v>8037</v>
      </c>
      <c r="E965" s="1" t="s">
        <v>3917</v>
      </c>
      <c r="F965" s="1" t="s">
        <v>3918</v>
      </c>
      <c r="G965" s="1" t="s">
        <v>4983</v>
      </c>
    </row>
    <row r="966" spans="1:7" x14ac:dyDescent="0.45">
      <c r="A966" s="1" t="s">
        <v>4140</v>
      </c>
      <c r="B966" s="1" t="s">
        <v>4141</v>
      </c>
      <c r="C966" s="1" t="s">
        <v>255</v>
      </c>
      <c r="D966" s="1" t="s">
        <v>4735</v>
      </c>
      <c r="E966" s="1" t="s">
        <v>3917</v>
      </c>
      <c r="F966" s="1" t="s">
        <v>3918</v>
      </c>
      <c r="G966" s="1" t="s">
        <v>4983</v>
      </c>
    </row>
    <row r="967" spans="1:7" x14ac:dyDescent="0.45">
      <c r="A967" s="1" t="s">
        <v>10228</v>
      </c>
      <c r="B967" s="1" t="s">
        <v>10229</v>
      </c>
      <c r="C967" s="1" t="s">
        <v>255</v>
      </c>
      <c r="D967" s="1" t="s">
        <v>11375</v>
      </c>
      <c r="E967" s="1" t="s">
        <v>3917</v>
      </c>
      <c r="F967" s="1" t="s">
        <v>3918</v>
      </c>
      <c r="G967" s="1" t="s">
        <v>4983</v>
      </c>
    </row>
    <row r="968" spans="1:7" x14ac:dyDescent="0.45">
      <c r="A968" s="1" t="s">
        <v>7068</v>
      </c>
      <c r="B968" s="1" t="s">
        <v>7069</v>
      </c>
      <c r="C968" s="1" t="s">
        <v>255</v>
      </c>
      <c r="D968" s="1" t="s">
        <v>8038</v>
      </c>
      <c r="E968" s="1" t="s">
        <v>3917</v>
      </c>
      <c r="F968" s="1" t="s">
        <v>3918</v>
      </c>
      <c r="G968" s="1" t="s">
        <v>4983</v>
      </c>
    </row>
    <row r="969" spans="1:7" x14ac:dyDescent="0.45">
      <c r="A969" s="1" t="s">
        <v>10230</v>
      </c>
      <c r="B969" s="1" t="s">
        <v>10231</v>
      </c>
      <c r="C969" s="1" t="s">
        <v>255</v>
      </c>
      <c r="D969" s="1" t="s">
        <v>11376</v>
      </c>
      <c r="E969" s="1" t="s">
        <v>3917</v>
      </c>
      <c r="F969" s="1" t="s">
        <v>3918</v>
      </c>
      <c r="G969" s="1" t="s">
        <v>4983</v>
      </c>
    </row>
    <row r="970" spans="1:7" x14ac:dyDescent="0.45">
      <c r="A970" s="1" t="s">
        <v>4142</v>
      </c>
      <c r="B970" s="1" t="s">
        <v>4143</v>
      </c>
      <c r="C970" s="1" t="s">
        <v>255</v>
      </c>
      <c r="D970" s="1" t="s">
        <v>4736</v>
      </c>
      <c r="E970" s="1" t="s">
        <v>3917</v>
      </c>
      <c r="F970" s="1" t="s">
        <v>3918</v>
      </c>
      <c r="G970" s="1" t="s">
        <v>4983</v>
      </c>
    </row>
    <row r="971" spans="1:7" x14ac:dyDescent="0.45">
      <c r="A971" s="1" t="s">
        <v>1652</v>
      </c>
      <c r="B971" s="1" t="s">
        <v>1653</v>
      </c>
      <c r="C971" s="1" t="s">
        <v>255</v>
      </c>
      <c r="D971" s="1" t="s">
        <v>2683</v>
      </c>
      <c r="E971" s="1" t="s">
        <v>3917</v>
      </c>
      <c r="F971" s="1" t="s">
        <v>3918</v>
      </c>
      <c r="G971" s="1" t="s">
        <v>4983</v>
      </c>
    </row>
    <row r="972" spans="1:7" x14ac:dyDescent="0.45">
      <c r="A972" s="1" t="s">
        <v>7070</v>
      </c>
      <c r="B972" s="1" t="s">
        <v>7071</v>
      </c>
      <c r="C972" s="1" t="s">
        <v>255</v>
      </c>
      <c r="D972" s="1" t="s">
        <v>8039</v>
      </c>
      <c r="E972" s="1" t="s">
        <v>3917</v>
      </c>
      <c r="F972" s="1" t="s">
        <v>3918</v>
      </c>
      <c r="G972" s="1" t="s">
        <v>4983</v>
      </c>
    </row>
    <row r="973" spans="1:7" x14ac:dyDescent="0.45">
      <c r="A973" s="1" t="s">
        <v>7072</v>
      </c>
      <c r="B973" s="1" t="s">
        <v>7073</v>
      </c>
      <c r="C973" s="1" t="s">
        <v>255</v>
      </c>
      <c r="D973" s="1" t="s">
        <v>8040</v>
      </c>
      <c r="E973" s="1" t="s">
        <v>3917</v>
      </c>
      <c r="F973" s="1" t="s">
        <v>3918</v>
      </c>
      <c r="G973" s="1" t="s">
        <v>4983</v>
      </c>
    </row>
    <row r="974" spans="1:7" x14ac:dyDescent="0.45">
      <c r="A974" s="1" t="s">
        <v>10232</v>
      </c>
      <c r="B974" s="1" t="s">
        <v>10233</v>
      </c>
      <c r="C974" s="1" t="s">
        <v>255</v>
      </c>
      <c r="D974" s="1" t="s">
        <v>11377</v>
      </c>
      <c r="E974" s="1" t="s">
        <v>3917</v>
      </c>
      <c r="F974" s="1" t="s">
        <v>3918</v>
      </c>
      <c r="G974" s="1" t="s">
        <v>4983</v>
      </c>
    </row>
    <row r="975" spans="1:7" x14ac:dyDescent="0.45">
      <c r="A975" s="1" t="s">
        <v>3499</v>
      </c>
      <c r="B975" s="1" t="s">
        <v>3500</v>
      </c>
      <c r="C975" s="1" t="s">
        <v>255</v>
      </c>
      <c r="D975" s="1" t="s">
        <v>3501</v>
      </c>
      <c r="E975" s="1" t="s">
        <v>3917</v>
      </c>
      <c r="F975" s="1" t="s">
        <v>3918</v>
      </c>
      <c r="G975" s="1" t="s">
        <v>4983</v>
      </c>
    </row>
    <row r="976" spans="1:7" x14ac:dyDescent="0.45">
      <c r="A976" s="1" t="s">
        <v>10234</v>
      </c>
      <c r="B976" s="1" t="s">
        <v>10235</v>
      </c>
      <c r="C976" s="1" t="s">
        <v>255</v>
      </c>
      <c r="D976" s="1" t="s">
        <v>11378</v>
      </c>
      <c r="E976" s="1" t="s">
        <v>3917</v>
      </c>
      <c r="F976" s="1" t="s">
        <v>3918</v>
      </c>
      <c r="G976" s="1" t="s">
        <v>4983</v>
      </c>
    </row>
    <row r="977" spans="1:7" x14ac:dyDescent="0.45">
      <c r="A977" s="1" t="s">
        <v>7074</v>
      </c>
      <c r="B977" s="1" t="s">
        <v>7075</v>
      </c>
      <c r="C977" s="1" t="s">
        <v>255</v>
      </c>
      <c r="D977" s="1" t="s">
        <v>8041</v>
      </c>
      <c r="E977" s="1" t="s">
        <v>3917</v>
      </c>
      <c r="F977" s="1" t="s">
        <v>3918</v>
      </c>
      <c r="G977" s="1" t="s">
        <v>4983</v>
      </c>
    </row>
    <row r="978" spans="1:7" x14ac:dyDescent="0.45">
      <c r="A978" s="1" t="s">
        <v>793</v>
      </c>
      <c r="B978" s="1" t="s">
        <v>792</v>
      </c>
      <c r="C978" s="1" t="s">
        <v>255</v>
      </c>
      <c r="D978" s="1" t="s">
        <v>2686</v>
      </c>
      <c r="E978" s="1" t="s">
        <v>3917</v>
      </c>
      <c r="F978" s="1" t="s">
        <v>3918</v>
      </c>
      <c r="G978" s="1" t="s">
        <v>4983</v>
      </c>
    </row>
    <row r="979" spans="1:7" x14ac:dyDescent="0.45">
      <c r="A979" s="1" t="s">
        <v>10236</v>
      </c>
      <c r="B979" s="1" t="s">
        <v>10237</v>
      </c>
      <c r="C979" s="1" t="s">
        <v>255</v>
      </c>
      <c r="D979" s="1" t="s">
        <v>11379</v>
      </c>
      <c r="E979" s="1" t="s">
        <v>3919</v>
      </c>
      <c r="F979" s="1" t="s">
        <v>3918</v>
      </c>
      <c r="G979" s="1" t="s">
        <v>4983</v>
      </c>
    </row>
    <row r="980" spans="1:7" x14ac:dyDescent="0.45">
      <c r="A980" s="1" t="s">
        <v>4144</v>
      </c>
      <c r="B980" s="1" t="s">
        <v>3299</v>
      </c>
      <c r="C980" s="1" t="s">
        <v>255</v>
      </c>
      <c r="D980" s="1" t="s">
        <v>3300</v>
      </c>
      <c r="E980" s="1" t="s">
        <v>3917</v>
      </c>
      <c r="F980" s="1" t="s">
        <v>3918</v>
      </c>
      <c r="G980" s="1" t="s">
        <v>4983</v>
      </c>
    </row>
    <row r="981" spans="1:7" x14ac:dyDescent="0.45">
      <c r="A981" s="1" t="s">
        <v>1660</v>
      </c>
      <c r="B981" s="1" t="s">
        <v>1661</v>
      </c>
      <c r="C981" s="1" t="s">
        <v>255</v>
      </c>
      <c r="D981" s="1" t="s">
        <v>2687</v>
      </c>
      <c r="E981" s="1" t="s">
        <v>3917</v>
      </c>
      <c r="F981" s="1" t="s">
        <v>3918</v>
      </c>
      <c r="G981" s="1" t="s">
        <v>4983</v>
      </c>
    </row>
    <row r="982" spans="1:7" x14ac:dyDescent="0.45">
      <c r="A982" s="1" t="s">
        <v>7076</v>
      </c>
      <c r="B982" s="1" t="s">
        <v>7077</v>
      </c>
      <c r="C982" s="1" t="s">
        <v>255</v>
      </c>
      <c r="D982" s="1" t="s">
        <v>8042</v>
      </c>
      <c r="E982" s="1" t="s">
        <v>3917</v>
      </c>
      <c r="F982" s="1" t="s">
        <v>3918</v>
      </c>
      <c r="G982" s="1" t="s">
        <v>4983</v>
      </c>
    </row>
    <row r="983" spans="1:7" x14ac:dyDescent="0.45">
      <c r="A983" s="1" t="s">
        <v>4145</v>
      </c>
      <c r="B983" s="1" t="s">
        <v>4146</v>
      </c>
      <c r="C983" s="1" t="s">
        <v>255</v>
      </c>
      <c r="D983" s="1" t="s">
        <v>4737</v>
      </c>
      <c r="E983" s="1" t="s">
        <v>3917</v>
      </c>
      <c r="F983" s="1" t="s">
        <v>3918</v>
      </c>
      <c r="G983" s="1" t="s">
        <v>4983</v>
      </c>
    </row>
    <row r="984" spans="1:7" x14ac:dyDescent="0.45">
      <c r="A984" s="1" t="s">
        <v>4147</v>
      </c>
      <c r="B984" s="1" t="s">
        <v>4148</v>
      </c>
      <c r="C984" s="1" t="s">
        <v>255</v>
      </c>
      <c r="D984" s="1" t="s">
        <v>4738</v>
      </c>
      <c r="E984" s="1" t="s">
        <v>3917</v>
      </c>
      <c r="F984" s="1" t="s">
        <v>3918</v>
      </c>
      <c r="G984" s="1" t="s">
        <v>4983</v>
      </c>
    </row>
    <row r="985" spans="1:7" x14ac:dyDescent="0.45">
      <c r="A985" s="1" t="s">
        <v>791</v>
      </c>
      <c r="B985" s="1" t="s">
        <v>790</v>
      </c>
      <c r="C985" s="1" t="s">
        <v>255</v>
      </c>
      <c r="D985" s="1" t="s">
        <v>2688</v>
      </c>
      <c r="E985" s="1" t="s">
        <v>3917</v>
      </c>
      <c r="F985" s="1" t="s">
        <v>3918</v>
      </c>
      <c r="G985" s="1" t="s">
        <v>4983</v>
      </c>
    </row>
    <row r="986" spans="1:7" x14ac:dyDescent="0.45">
      <c r="A986" s="1" t="s">
        <v>10238</v>
      </c>
      <c r="B986" s="1" t="s">
        <v>5927</v>
      </c>
      <c r="C986" s="1" t="s">
        <v>255</v>
      </c>
      <c r="D986" s="1" t="s">
        <v>5928</v>
      </c>
      <c r="E986" s="1" t="s">
        <v>3917</v>
      </c>
      <c r="F986" s="1" t="s">
        <v>3918</v>
      </c>
      <c r="G986" s="1" t="s">
        <v>4983</v>
      </c>
    </row>
    <row r="987" spans="1:7" x14ac:dyDescent="0.45">
      <c r="A987" s="1" t="s">
        <v>10239</v>
      </c>
      <c r="B987" s="1" t="s">
        <v>10240</v>
      </c>
      <c r="C987" s="1" t="s">
        <v>255</v>
      </c>
      <c r="D987" s="1" t="s">
        <v>11380</v>
      </c>
      <c r="E987" s="1" t="s">
        <v>3919</v>
      </c>
      <c r="F987" s="1" t="s">
        <v>3918</v>
      </c>
      <c r="G987" s="1" t="s">
        <v>4983</v>
      </c>
    </row>
    <row r="988" spans="1:7" x14ac:dyDescent="0.45">
      <c r="A988" s="1" t="s">
        <v>10241</v>
      </c>
      <c r="B988" s="1" t="s">
        <v>5598</v>
      </c>
      <c r="C988" s="1" t="s">
        <v>255</v>
      </c>
      <c r="D988" s="1" t="s">
        <v>5145</v>
      </c>
      <c r="E988" s="1" t="s">
        <v>3919</v>
      </c>
      <c r="F988" s="1" t="s">
        <v>3918</v>
      </c>
      <c r="G988" s="1" t="s">
        <v>4983</v>
      </c>
    </row>
    <row r="989" spans="1:7" x14ac:dyDescent="0.45">
      <c r="A989" s="1" t="s">
        <v>4149</v>
      </c>
      <c r="B989" s="1" t="s">
        <v>3343</v>
      </c>
      <c r="C989" s="1" t="s">
        <v>255</v>
      </c>
      <c r="D989" s="1" t="s">
        <v>3344</v>
      </c>
      <c r="E989" s="1" t="s">
        <v>3917</v>
      </c>
      <c r="F989" s="1" t="s">
        <v>3918</v>
      </c>
      <c r="G989" s="1" t="s">
        <v>4983</v>
      </c>
    </row>
    <row r="990" spans="1:7" x14ac:dyDescent="0.45">
      <c r="A990" s="1" t="s">
        <v>789</v>
      </c>
      <c r="B990" s="1" t="s">
        <v>788</v>
      </c>
      <c r="C990" s="1" t="s">
        <v>255</v>
      </c>
      <c r="D990" s="1" t="s">
        <v>2689</v>
      </c>
      <c r="E990" s="1" t="s">
        <v>3917</v>
      </c>
      <c r="F990" s="1" t="s">
        <v>3918</v>
      </c>
      <c r="G990" s="1" t="s">
        <v>4983</v>
      </c>
    </row>
    <row r="991" spans="1:7" x14ac:dyDescent="0.45">
      <c r="A991" s="1" t="s">
        <v>10242</v>
      </c>
      <c r="B991" s="1" t="s">
        <v>5451</v>
      </c>
      <c r="C991" s="1" t="s">
        <v>255</v>
      </c>
      <c r="D991" s="1" t="s">
        <v>5452</v>
      </c>
      <c r="E991" s="1" t="s">
        <v>3917</v>
      </c>
      <c r="F991" s="1" t="s">
        <v>3918</v>
      </c>
      <c r="G991" s="1" t="s">
        <v>4983</v>
      </c>
    </row>
    <row r="992" spans="1:7" x14ac:dyDescent="0.45">
      <c r="A992" s="1" t="s">
        <v>787</v>
      </c>
      <c r="B992" s="1" t="s">
        <v>786</v>
      </c>
      <c r="C992" s="1" t="s">
        <v>255</v>
      </c>
      <c r="D992" s="1" t="s">
        <v>2690</v>
      </c>
      <c r="E992" s="1" t="s">
        <v>3917</v>
      </c>
      <c r="F992" s="1" t="s">
        <v>3918</v>
      </c>
      <c r="G992" s="1" t="s">
        <v>4983</v>
      </c>
    </row>
    <row r="993" spans="1:7" x14ac:dyDescent="0.45">
      <c r="A993" s="1" t="s">
        <v>7078</v>
      </c>
      <c r="B993" s="1" t="s">
        <v>7079</v>
      </c>
      <c r="C993" s="1" t="s">
        <v>255</v>
      </c>
      <c r="D993" s="1" t="s">
        <v>8043</v>
      </c>
      <c r="E993" s="1" t="s">
        <v>3917</v>
      </c>
      <c r="F993" s="1" t="s">
        <v>3918</v>
      </c>
      <c r="G993" s="1" t="s">
        <v>4983</v>
      </c>
    </row>
    <row r="994" spans="1:7" x14ac:dyDescent="0.45">
      <c r="A994" s="1" t="s">
        <v>3503</v>
      </c>
      <c r="B994" s="1" t="s">
        <v>3504</v>
      </c>
      <c r="C994" s="1" t="s">
        <v>255</v>
      </c>
      <c r="D994" s="1" t="s">
        <v>3505</v>
      </c>
      <c r="E994" s="1" t="s">
        <v>3917</v>
      </c>
      <c r="F994" s="1" t="s">
        <v>3918</v>
      </c>
      <c r="G994" s="1" t="s">
        <v>4983</v>
      </c>
    </row>
    <row r="995" spans="1:7" x14ac:dyDescent="0.45">
      <c r="A995" s="1" t="s">
        <v>10243</v>
      </c>
      <c r="B995" s="1" t="s">
        <v>10244</v>
      </c>
      <c r="C995" s="1" t="s">
        <v>255</v>
      </c>
      <c r="D995" s="1" t="s">
        <v>11381</v>
      </c>
      <c r="E995" s="1" t="s">
        <v>3917</v>
      </c>
      <c r="F995" s="1" t="s">
        <v>3918</v>
      </c>
      <c r="G995" s="1" t="s">
        <v>4983</v>
      </c>
    </row>
    <row r="996" spans="1:7" x14ac:dyDescent="0.45">
      <c r="A996" s="1" t="s">
        <v>10245</v>
      </c>
      <c r="B996" s="1" t="s">
        <v>4150</v>
      </c>
      <c r="C996" s="1" t="s">
        <v>255</v>
      </c>
      <c r="D996" s="1" t="s">
        <v>4740</v>
      </c>
      <c r="E996" s="1" t="s">
        <v>3917</v>
      </c>
      <c r="F996" s="1" t="s">
        <v>3918</v>
      </c>
      <c r="G996" s="1" t="s">
        <v>4983</v>
      </c>
    </row>
    <row r="997" spans="1:7" x14ac:dyDescent="0.45">
      <c r="A997" s="1" t="s">
        <v>10246</v>
      </c>
      <c r="B997" s="1" t="s">
        <v>10247</v>
      </c>
      <c r="C997" s="1" t="s">
        <v>255</v>
      </c>
      <c r="D997" s="1" t="s">
        <v>11382</v>
      </c>
      <c r="E997" s="1" t="s">
        <v>3917</v>
      </c>
      <c r="F997" s="1" t="s">
        <v>3918</v>
      </c>
      <c r="G997" s="1" t="s">
        <v>4983</v>
      </c>
    </row>
    <row r="998" spans="1:7" x14ac:dyDescent="0.45">
      <c r="A998" s="1" t="s">
        <v>4151</v>
      </c>
      <c r="B998" s="1" t="s">
        <v>4152</v>
      </c>
      <c r="C998" s="1" t="s">
        <v>255</v>
      </c>
      <c r="D998" s="1" t="s">
        <v>4741</v>
      </c>
      <c r="E998" s="1" t="s">
        <v>3917</v>
      </c>
      <c r="F998" s="1" t="s">
        <v>3918</v>
      </c>
      <c r="G998" s="1" t="s">
        <v>4983</v>
      </c>
    </row>
    <row r="999" spans="1:7" x14ac:dyDescent="0.45">
      <c r="A999" s="1" t="s">
        <v>7080</v>
      </c>
      <c r="B999" s="1" t="s">
        <v>7081</v>
      </c>
      <c r="C999" s="1" t="s">
        <v>255</v>
      </c>
      <c r="D999" s="1" t="s">
        <v>8044</v>
      </c>
      <c r="E999" s="1" t="s">
        <v>3917</v>
      </c>
      <c r="F999" s="1" t="s">
        <v>3918</v>
      </c>
      <c r="G999" s="1" t="s">
        <v>4983</v>
      </c>
    </row>
    <row r="1000" spans="1:7" x14ac:dyDescent="0.45">
      <c r="A1000" s="1" t="s">
        <v>10248</v>
      </c>
      <c r="B1000" s="1" t="s">
        <v>10249</v>
      </c>
      <c r="C1000" s="1" t="s">
        <v>255</v>
      </c>
      <c r="D1000" s="1" t="s">
        <v>11383</v>
      </c>
      <c r="E1000" s="1" t="s">
        <v>3917</v>
      </c>
      <c r="F1000" s="1" t="s">
        <v>3918</v>
      </c>
      <c r="G1000" s="1" t="s">
        <v>4983</v>
      </c>
    </row>
    <row r="1001" spans="1:7" x14ac:dyDescent="0.45">
      <c r="A1001" s="1" t="s">
        <v>7082</v>
      </c>
      <c r="B1001" s="1" t="s">
        <v>7083</v>
      </c>
      <c r="C1001" s="1" t="s">
        <v>255</v>
      </c>
      <c r="D1001" s="1" t="s">
        <v>8045</v>
      </c>
      <c r="E1001" s="1" t="s">
        <v>3917</v>
      </c>
      <c r="F1001" s="1" t="s">
        <v>3918</v>
      </c>
      <c r="G1001" s="1" t="s">
        <v>4983</v>
      </c>
    </row>
    <row r="1002" spans="1:7" x14ac:dyDescent="0.45">
      <c r="A1002" s="1" t="s">
        <v>785</v>
      </c>
      <c r="B1002" s="1" t="s">
        <v>784</v>
      </c>
      <c r="C1002" s="1" t="s">
        <v>255</v>
      </c>
      <c r="D1002" s="1" t="s">
        <v>2691</v>
      </c>
      <c r="E1002" s="1" t="s">
        <v>3917</v>
      </c>
      <c r="F1002" s="1" t="s">
        <v>3918</v>
      </c>
      <c r="G1002" s="1" t="s">
        <v>4983</v>
      </c>
    </row>
    <row r="1003" spans="1:7" x14ac:dyDescent="0.45">
      <c r="A1003" s="1" t="s">
        <v>7084</v>
      </c>
      <c r="B1003" s="1" t="s">
        <v>7085</v>
      </c>
      <c r="C1003" s="1" t="s">
        <v>255</v>
      </c>
      <c r="D1003" s="1" t="s">
        <v>8046</v>
      </c>
      <c r="E1003" s="1" t="s">
        <v>3917</v>
      </c>
      <c r="F1003" s="1" t="s">
        <v>3918</v>
      </c>
      <c r="G1003" s="1" t="s">
        <v>4983</v>
      </c>
    </row>
    <row r="1004" spans="1:7" x14ac:dyDescent="0.45">
      <c r="A1004" s="1" t="s">
        <v>783</v>
      </c>
      <c r="B1004" s="1" t="s">
        <v>782</v>
      </c>
      <c r="C1004" s="1" t="s">
        <v>255</v>
      </c>
      <c r="D1004" s="1" t="s">
        <v>2692</v>
      </c>
      <c r="E1004" s="1" t="s">
        <v>3917</v>
      </c>
      <c r="F1004" s="1" t="s">
        <v>3918</v>
      </c>
      <c r="G1004" s="1" t="s">
        <v>4983</v>
      </c>
    </row>
    <row r="1005" spans="1:7" x14ac:dyDescent="0.45">
      <c r="A1005" s="1" t="s">
        <v>10250</v>
      </c>
      <c r="B1005" s="1" t="s">
        <v>10251</v>
      </c>
      <c r="C1005" s="1" t="s">
        <v>255</v>
      </c>
      <c r="D1005" s="1" t="s">
        <v>11384</v>
      </c>
      <c r="E1005" s="1" t="s">
        <v>3917</v>
      </c>
      <c r="F1005" s="1" t="s">
        <v>3918</v>
      </c>
      <c r="G1005" s="1" t="s">
        <v>4983</v>
      </c>
    </row>
    <row r="1006" spans="1:7" x14ac:dyDescent="0.45">
      <c r="A1006" s="1" t="s">
        <v>10252</v>
      </c>
      <c r="B1006" s="1" t="s">
        <v>10253</v>
      </c>
      <c r="C1006" s="1" t="s">
        <v>255</v>
      </c>
      <c r="D1006" s="1" t="s">
        <v>11385</v>
      </c>
      <c r="E1006" s="1" t="s">
        <v>3917</v>
      </c>
      <c r="F1006" s="1" t="s">
        <v>3918</v>
      </c>
      <c r="G1006" s="1" t="s">
        <v>4983</v>
      </c>
    </row>
    <row r="1007" spans="1:7" x14ac:dyDescent="0.45">
      <c r="A1007" s="1" t="s">
        <v>10254</v>
      </c>
      <c r="B1007" s="1" t="s">
        <v>10255</v>
      </c>
      <c r="C1007" s="1" t="s">
        <v>255</v>
      </c>
      <c r="D1007" s="1" t="s">
        <v>11386</v>
      </c>
      <c r="E1007" s="1" t="s">
        <v>3917</v>
      </c>
      <c r="F1007" s="1" t="s">
        <v>3918</v>
      </c>
      <c r="G1007" s="1" t="s">
        <v>4983</v>
      </c>
    </row>
    <row r="1008" spans="1:7" x14ac:dyDescent="0.45">
      <c r="A1008" s="1" t="s">
        <v>7086</v>
      </c>
      <c r="B1008" s="1" t="s">
        <v>7087</v>
      </c>
      <c r="C1008" s="1" t="s">
        <v>255</v>
      </c>
      <c r="D1008" s="1" t="s">
        <v>8047</v>
      </c>
      <c r="E1008" s="1" t="s">
        <v>3917</v>
      </c>
      <c r="F1008" s="1" t="s">
        <v>3918</v>
      </c>
      <c r="G1008" s="1" t="s">
        <v>4983</v>
      </c>
    </row>
    <row r="1009" spans="1:7" x14ac:dyDescent="0.45">
      <c r="A1009" s="1" t="s">
        <v>10256</v>
      </c>
      <c r="B1009" s="1" t="s">
        <v>10257</v>
      </c>
      <c r="C1009" s="1" t="s">
        <v>255</v>
      </c>
      <c r="D1009" s="1" t="s">
        <v>11387</v>
      </c>
      <c r="E1009" s="1" t="s">
        <v>3917</v>
      </c>
      <c r="F1009" s="1" t="s">
        <v>3918</v>
      </c>
      <c r="G1009" s="1" t="s">
        <v>4983</v>
      </c>
    </row>
    <row r="1010" spans="1:7" x14ac:dyDescent="0.45">
      <c r="A1010" s="1" t="s">
        <v>4153</v>
      </c>
      <c r="B1010" s="1" t="s">
        <v>4154</v>
      </c>
      <c r="C1010" s="1" t="s">
        <v>255</v>
      </c>
      <c r="D1010" s="1" t="s">
        <v>4742</v>
      </c>
      <c r="E1010" s="1" t="s">
        <v>3917</v>
      </c>
      <c r="F1010" s="1" t="s">
        <v>3918</v>
      </c>
      <c r="G1010" s="1" t="s">
        <v>4983</v>
      </c>
    </row>
    <row r="1011" spans="1:7" x14ac:dyDescent="0.45">
      <c r="A1011" s="1" t="s">
        <v>4155</v>
      </c>
      <c r="B1011" s="1" t="s">
        <v>4156</v>
      </c>
      <c r="C1011" s="1" t="s">
        <v>255</v>
      </c>
      <c r="D1011" s="1" t="s">
        <v>4743</v>
      </c>
      <c r="E1011" s="1" t="s">
        <v>3917</v>
      </c>
      <c r="F1011" s="1" t="s">
        <v>3918</v>
      </c>
      <c r="G1011" s="1" t="s">
        <v>4983</v>
      </c>
    </row>
    <row r="1012" spans="1:7" x14ac:dyDescent="0.45">
      <c r="A1012" s="1" t="s">
        <v>10258</v>
      </c>
      <c r="B1012" s="1" t="s">
        <v>10259</v>
      </c>
      <c r="C1012" s="1" t="s">
        <v>255</v>
      </c>
      <c r="D1012" s="1" t="s">
        <v>11388</v>
      </c>
      <c r="E1012" s="1" t="s">
        <v>3917</v>
      </c>
      <c r="F1012" s="1" t="s">
        <v>3918</v>
      </c>
      <c r="G1012" s="1" t="s">
        <v>4983</v>
      </c>
    </row>
    <row r="1013" spans="1:7" x14ac:dyDescent="0.45">
      <c r="A1013" s="1" t="s">
        <v>10260</v>
      </c>
      <c r="B1013" s="1" t="s">
        <v>10261</v>
      </c>
      <c r="C1013" s="1" t="s">
        <v>255</v>
      </c>
      <c r="D1013" s="1" t="s">
        <v>11389</v>
      </c>
      <c r="E1013" s="1" t="s">
        <v>3917</v>
      </c>
      <c r="F1013" s="1" t="s">
        <v>3918</v>
      </c>
      <c r="G1013" s="1" t="s">
        <v>4983</v>
      </c>
    </row>
    <row r="1014" spans="1:7" x14ac:dyDescent="0.45">
      <c r="A1014" s="1" t="s">
        <v>781</v>
      </c>
      <c r="B1014" s="1" t="s">
        <v>780</v>
      </c>
      <c r="C1014" s="1" t="s">
        <v>255</v>
      </c>
      <c r="D1014" s="1" t="s">
        <v>2693</v>
      </c>
      <c r="E1014" s="1" t="s">
        <v>3917</v>
      </c>
      <c r="F1014" s="1" t="s">
        <v>3918</v>
      </c>
      <c r="G1014" s="1" t="s">
        <v>4983</v>
      </c>
    </row>
    <row r="1015" spans="1:7" x14ac:dyDescent="0.45">
      <c r="A1015" s="1" t="s">
        <v>3506</v>
      </c>
      <c r="B1015" s="1" t="s">
        <v>3507</v>
      </c>
      <c r="C1015" s="1" t="s">
        <v>255</v>
      </c>
      <c r="D1015" s="1" t="s">
        <v>3508</v>
      </c>
      <c r="E1015" s="1" t="s">
        <v>3917</v>
      </c>
      <c r="F1015" s="1" t="s">
        <v>3918</v>
      </c>
      <c r="G1015" s="1" t="s">
        <v>4983</v>
      </c>
    </row>
    <row r="1016" spans="1:7" x14ac:dyDescent="0.45">
      <c r="A1016" s="1" t="s">
        <v>4157</v>
      </c>
      <c r="B1016" s="1" t="s">
        <v>4158</v>
      </c>
      <c r="C1016" s="1" t="s">
        <v>255</v>
      </c>
      <c r="D1016" s="1" t="s">
        <v>4744</v>
      </c>
      <c r="E1016" s="1" t="s">
        <v>3917</v>
      </c>
      <c r="F1016" s="1" t="s">
        <v>3918</v>
      </c>
      <c r="G1016" s="1" t="s">
        <v>4983</v>
      </c>
    </row>
    <row r="1017" spans="1:7" x14ac:dyDescent="0.45">
      <c r="A1017" s="1" t="s">
        <v>7088</v>
      </c>
      <c r="B1017" s="1" t="s">
        <v>7089</v>
      </c>
      <c r="C1017" s="1" t="s">
        <v>255</v>
      </c>
      <c r="D1017" s="1" t="s">
        <v>8048</v>
      </c>
      <c r="E1017" s="1" t="s">
        <v>3917</v>
      </c>
      <c r="F1017" s="1" t="s">
        <v>3918</v>
      </c>
      <c r="G1017" s="1" t="s">
        <v>4983</v>
      </c>
    </row>
    <row r="1018" spans="1:7" x14ac:dyDescent="0.45">
      <c r="A1018" s="1" t="s">
        <v>779</v>
      </c>
      <c r="B1018" s="1" t="s">
        <v>778</v>
      </c>
      <c r="C1018" s="1" t="s">
        <v>255</v>
      </c>
      <c r="D1018" s="1" t="s">
        <v>2694</v>
      </c>
      <c r="E1018" s="1" t="s">
        <v>3917</v>
      </c>
      <c r="F1018" s="1" t="s">
        <v>3918</v>
      </c>
      <c r="G1018" s="1" t="s">
        <v>4983</v>
      </c>
    </row>
    <row r="1019" spans="1:7" x14ac:dyDescent="0.45">
      <c r="A1019" s="1" t="s">
        <v>10262</v>
      </c>
      <c r="B1019" s="1" t="s">
        <v>10263</v>
      </c>
      <c r="C1019" s="1" t="s">
        <v>255</v>
      </c>
      <c r="D1019" s="1" t="s">
        <v>11390</v>
      </c>
      <c r="E1019" s="1" t="s">
        <v>3917</v>
      </c>
      <c r="F1019" s="1" t="s">
        <v>3918</v>
      </c>
      <c r="G1019" s="1" t="s">
        <v>4983</v>
      </c>
    </row>
    <row r="1020" spans="1:7" x14ac:dyDescent="0.45">
      <c r="A1020" s="1" t="s">
        <v>1662</v>
      </c>
      <c r="B1020" s="1" t="s">
        <v>1663</v>
      </c>
      <c r="C1020" s="1" t="s">
        <v>255</v>
      </c>
      <c r="D1020" s="1" t="s">
        <v>2695</v>
      </c>
      <c r="E1020" s="1" t="s">
        <v>3917</v>
      </c>
      <c r="F1020" s="1" t="s">
        <v>3918</v>
      </c>
      <c r="G1020" s="1" t="s">
        <v>4983</v>
      </c>
    </row>
    <row r="1021" spans="1:7" x14ac:dyDescent="0.45">
      <c r="A1021" s="1" t="s">
        <v>2696</v>
      </c>
      <c r="B1021" s="1" t="s">
        <v>2697</v>
      </c>
      <c r="C1021" s="1" t="s">
        <v>255</v>
      </c>
      <c r="D1021" s="1" t="s">
        <v>2698</v>
      </c>
      <c r="E1021" s="1" t="s">
        <v>3917</v>
      </c>
      <c r="F1021" s="1" t="s">
        <v>3918</v>
      </c>
      <c r="G1021" s="1" t="s">
        <v>4983</v>
      </c>
    </row>
    <row r="1022" spans="1:7" x14ac:dyDescent="0.45">
      <c r="A1022" s="1" t="s">
        <v>777</v>
      </c>
      <c r="B1022" s="1" t="s">
        <v>776</v>
      </c>
      <c r="C1022" s="1" t="s">
        <v>255</v>
      </c>
      <c r="D1022" s="1" t="s">
        <v>2699</v>
      </c>
      <c r="E1022" s="1" t="s">
        <v>3917</v>
      </c>
      <c r="F1022" s="1" t="s">
        <v>3918</v>
      </c>
      <c r="G1022" s="1" t="s">
        <v>4983</v>
      </c>
    </row>
    <row r="1023" spans="1:7" x14ac:dyDescent="0.45">
      <c r="A1023" s="1" t="s">
        <v>775</v>
      </c>
      <c r="B1023" s="1" t="s">
        <v>774</v>
      </c>
      <c r="C1023" s="1" t="s">
        <v>255</v>
      </c>
      <c r="D1023" s="1" t="s">
        <v>2700</v>
      </c>
      <c r="E1023" s="1" t="s">
        <v>3917</v>
      </c>
      <c r="F1023" s="1" t="s">
        <v>3918</v>
      </c>
      <c r="G1023" s="1" t="s">
        <v>4983</v>
      </c>
    </row>
    <row r="1024" spans="1:7" x14ac:dyDescent="0.45">
      <c r="A1024" s="1" t="s">
        <v>7090</v>
      </c>
      <c r="B1024" s="1" t="s">
        <v>7091</v>
      </c>
      <c r="C1024" s="1" t="s">
        <v>255</v>
      </c>
      <c r="D1024" s="1" t="s">
        <v>8049</v>
      </c>
      <c r="E1024" s="1" t="s">
        <v>3917</v>
      </c>
      <c r="F1024" s="1" t="s">
        <v>3918</v>
      </c>
      <c r="G1024" s="1" t="s">
        <v>4983</v>
      </c>
    </row>
    <row r="1025" spans="1:7" x14ac:dyDescent="0.45">
      <c r="A1025" s="1" t="s">
        <v>7092</v>
      </c>
      <c r="B1025" s="1" t="s">
        <v>7093</v>
      </c>
      <c r="C1025" s="1" t="s">
        <v>255</v>
      </c>
      <c r="D1025" s="1" t="s">
        <v>8050</v>
      </c>
      <c r="E1025" s="1" t="s">
        <v>3917</v>
      </c>
      <c r="F1025" s="1" t="s">
        <v>3918</v>
      </c>
      <c r="G1025" s="1" t="s">
        <v>4983</v>
      </c>
    </row>
    <row r="1026" spans="1:7" x14ac:dyDescent="0.45">
      <c r="A1026" s="1" t="s">
        <v>7094</v>
      </c>
      <c r="B1026" s="1" t="s">
        <v>7095</v>
      </c>
      <c r="C1026" s="1" t="s">
        <v>255</v>
      </c>
      <c r="D1026" s="1" t="s">
        <v>8051</v>
      </c>
      <c r="E1026" s="1" t="s">
        <v>3917</v>
      </c>
      <c r="F1026" s="1" t="s">
        <v>3918</v>
      </c>
      <c r="G1026" s="1" t="s">
        <v>4983</v>
      </c>
    </row>
    <row r="1027" spans="1:7" x14ac:dyDescent="0.45">
      <c r="A1027" s="1" t="s">
        <v>10264</v>
      </c>
      <c r="B1027" s="1" t="s">
        <v>10265</v>
      </c>
      <c r="C1027" s="1" t="s">
        <v>255</v>
      </c>
      <c r="D1027" s="1" t="s">
        <v>11391</v>
      </c>
      <c r="E1027" s="1" t="s">
        <v>3917</v>
      </c>
      <c r="F1027" s="1" t="s">
        <v>3918</v>
      </c>
      <c r="G1027" s="1" t="s">
        <v>4983</v>
      </c>
    </row>
    <row r="1028" spans="1:7" x14ac:dyDescent="0.45">
      <c r="A1028" s="1" t="s">
        <v>7096</v>
      </c>
      <c r="B1028" s="1" t="s">
        <v>7097</v>
      </c>
      <c r="C1028" s="1" t="s">
        <v>255</v>
      </c>
      <c r="D1028" s="1" t="s">
        <v>8052</v>
      </c>
      <c r="E1028" s="1" t="s">
        <v>3917</v>
      </c>
      <c r="F1028" s="1" t="s">
        <v>3918</v>
      </c>
      <c r="G1028" s="1" t="s">
        <v>4983</v>
      </c>
    </row>
    <row r="1029" spans="1:7" x14ac:dyDescent="0.45">
      <c r="A1029" s="1" t="s">
        <v>10266</v>
      </c>
      <c r="B1029" s="1" t="s">
        <v>10267</v>
      </c>
      <c r="C1029" s="1" t="s">
        <v>255</v>
      </c>
      <c r="D1029" s="1" t="s">
        <v>11392</v>
      </c>
      <c r="E1029" s="1" t="s">
        <v>3917</v>
      </c>
      <c r="F1029" s="1" t="s">
        <v>3918</v>
      </c>
      <c r="G1029" s="1" t="s">
        <v>4983</v>
      </c>
    </row>
    <row r="1030" spans="1:7" x14ac:dyDescent="0.45">
      <c r="A1030" s="1" t="s">
        <v>10268</v>
      </c>
      <c r="B1030" s="1" t="s">
        <v>10269</v>
      </c>
      <c r="C1030" s="1" t="s">
        <v>255</v>
      </c>
      <c r="D1030" s="1" t="s">
        <v>11393</v>
      </c>
      <c r="E1030" s="1" t="s">
        <v>3917</v>
      </c>
      <c r="F1030" s="1" t="s">
        <v>3918</v>
      </c>
      <c r="G1030" s="1" t="s">
        <v>4983</v>
      </c>
    </row>
    <row r="1031" spans="1:7" x14ac:dyDescent="0.45">
      <c r="A1031" s="1" t="s">
        <v>7098</v>
      </c>
      <c r="B1031" s="1" t="s">
        <v>7099</v>
      </c>
      <c r="C1031" s="1" t="s">
        <v>255</v>
      </c>
      <c r="D1031" s="1" t="s">
        <v>8053</v>
      </c>
      <c r="E1031" s="1" t="s">
        <v>3917</v>
      </c>
      <c r="F1031" s="1" t="s">
        <v>3918</v>
      </c>
      <c r="G1031" s="1" t="s">
        <v>4983</v>
      </c>
    </row>
    <row r="1032" spans="1:7" x14ac:dyDescent="0.45">
      <c r="A1032" s="1" t="s">
        <v>10270</v>
      </c>
      <c r="B1032" s="1" t="s">
        <v>10271</v>
      </c>
      <c r="C1032" s="1" t="s">
        <v>255</v>
      </c>
      <c r="D1032" s="1" t="s">
        <v>11394</v>
      </c>
      <c r="E1032" s="1" t="s">
        <v>3917</v>
      </c>
      <c r="F1032" s="1" t="s">
        <v>3918</v>
      </c>
      <c r="G1032" s="1" t="s">
        <v>4983</v>
      </c>
    </row>
    <row r="1033" spans="1:7" x14ac:dyDescent="0.45">
      <c r="A1033" s="1" t="s">
        <v>773</v>
      </c>
      <c r="B1033" s="1" t="s">
        <v>772</v>
      </c>
      <c r="C1033" s="1" t="s">
        <v>255</v>
      </c>
      <c r="D1033" s="1" t="s">
        <v>2701</v>
      </c>
      <c r="E1033" s="1" t="s">
        <v>3917</v>
      </c>
      <c r="F1033" s="1" t="s">
        <v>3918</v>
      </c>
      <c r="G1033" s="1" t="s">
        <v>4983</v>
      </c>
    </row>
    <row r="1034" spans="1:7" x14ac:dyDescent="0.45">
      <c r="A1034" s="1" t="s">
        <v>3509</v>
      </c>
      <c r="B1034" s="1" t="s">
        <v>3510</v>
      </c>
      <c r="C1034" s="1" t="s">
        <v>255</v>
      </c>
      <c r="D1034" s="1" t="s">
        <v>3511</v>
      </c>
      <c r="E1034" s="1" t="s">
        <v>3917</v>
      </c>
      <c r="F1034" s="1" t="s">
        <v>3918</v>
      </c>
      <c r="G1034" s="1" t="s">
        <v>4983</v>
      </c>
    </row>
    <row r="1035" spans="1:7" x14ac:dyDescent="0.45">
      <c r="A1035" s="1" t="s">
        <v>4161</v>
      </c>
      <c r="B1035" s="1" t="s">
        <v>2106</v>
      </c>
      <c r="C1035" s="1" t="s">
        <v>255</v>
      </c>
      <c r="D1035" s="1" t="s">
        <v>2107</v>
      </c>
      <c r="E1035" s="1" t="s">
        <v>3917</v>
      </c>
      <c r="F1035" s="1" t="s">
        <v>3918</v>
      </c>
      <c r="G1035" s="1" t="s">
        <v>4983</v>
      </c>
    </row>
    <row r="1036" spans="1:7" x14ac:dyDescent="0.45">
      <c r="A1036" s="1" t="s">
        <v>10272</v>
      </c>
      <c r="B1036" s="1" t="s">
        <v>10273</v>
      </c>
      <c r="C1036" s="1" t="s">
        <v>255</v>
      </c>
      <c r="D1036" s="1" t="s">
        <v>11395</v>
      </c>
      <c r="E1036" s="1" t="s">
        <v>3917</v>
      </c>
      <c r="F1036" s="1" t="s">
        <v>3918</v>
      </c>
      <c r="G1036" s="1" t="s">
        <v>4983</v>
      </c>
    </row>
    <row r="1037" spans="1:7" x14ac:dyDescent="0.45">
      <c r="A1037" s="1" t="s">
        <v>4162</v>
      </c>
      <c r="B1037" s="1" t="s">
        <v>3323</v>
      </c>
      <c r="C1037" s="1" t="s">
        <v>255</v>
      </c>
      <c r="D1037" s="1" t="s">
        <v>3324</v>
      </c>
      <c r="E1037" s="1" t="s">
        <v>3917</v>
      </c>
      <c r="F1037" s="1" t="s">
        <v>3918</v>
      </c>
      <c r="G1037" s="1" t="s">
        <v>4983</v>
      </c>
    </row>
    <row r="1038" spans="1:7" x14ac:dyDescent="0.45">
      <c r="A1038" s="1" t="s">
        <v>10274</v>
      </c>
      <c r="B1038" s="1" t="s">
        <v>10275</v>
      </c>
      <c r="C1038" s="1" t="s">
        <v>255</v>
      </c>
      <c r="D1038" s="1" t="s">
        <v>11396</v>
      </c>
      <c r="E1038" s="1" t="s">
        <v>3919</v>
      </c>
      <c r="F1038" s="1" t="s">
        <v>3918</v>
      </c>
      <c r="G1038" s="1" t="s">
        <v>4983</v>
      </c>
    </row>
    <row r="1039" spans="1:7" x14ac:dyDescent="0.45">
      <c r="A1039" s="1" t="s">
        <v>10276</v>
      </c>
      <c r="B1039" s="1" t="s">
        <v>10277</v>
      </c>
      <c r="C1039" s="1" t="s">
        <v>255</v>
      </c>
      <c r="D1039" s="1" t="s">
        <v>11397</v>
      </c>
      <c r="E1039" s="1" t="s">
        <v>3919</v>
      </c>
      <c r="F1039" s="1" t="s">
        <v>3918</v>
      </c>
      <c r="G1039" s="1" t="s">
        <v>4983</v>
      </c>
    </row>
    <row r="1040" spans="1:7" x14ac:dyDescent="0.45">
      <c r="A1040" s="1" t="s">
        <v>10278</v>
      </c>
      <c r="B1040" s="1" t="s">
        <v>5262</v>
      </c>
      <c r="C1040" s="1" t="s">
        <v>255</v>
      </c>
      <c r="D1040" s="1" t="s">
        <v>5263</v>
      </c>
      <c r="E1040" s="1" t="s">
        <v>3917</v>
      </c>
      <c r="F1040" s="1" t="s">
        <v>3918</v>
      </c>
      <c r="G1040" s="1" t="s">
        <v>4983</v>
      </c>
    </row>
    <row r="1041" spans="1:7" x14ac:dyDescent="0.45">
      <c r="A1041" s="1" t="s">
        <v>10279</v>
      </c>
      <c r="B1041" s="1" t="s">
        <v>10280</v>
      </c>
      <c r="C1041" s="1" t="s">
        <v>255</v>
      </c>
      <c r="D1041" s="1" t="s">
        <v>11398</v>
      </c>
      <c r="E1041" s="1" t="s">
        <v>3917</v>
      </c>
      <c r="F1041" s="1" t="s">
        <v>3918</v>
      </c>
      <c r="G1041" s="1" t="s">
        <v>4983</v>
      </c>
    </row>
    <row r="1042" spans="1:7" x14ac:dyDescent="0.45">
      <c r="A1042" s="1" t="s">
        <v>10281</v>
      </c>
      <c r="B1042" s="1" t="s">
        <v>10282</v>
      </c>
      <c r="C1042" s="1" t="s">
        <v>255</v>
      </c>
      <c r="D1042" s="1" t="s">
        <v>11399</v>
      </c>
      <c r="E1042" s="1" t="s">
        <v>3917</v>
      </c>
      <c r="F1042" s="1" t="s">
        <v>3918</v>
      </c>
      <c r="G1042" s="1" t="s">
        <v>4983</v>
      </c>
    </row>
    <row r="1043" spans="1:7" x14ac:dyDescent="0.45">
      <c r="A1043" s="1" t="s">
        <v>4163</v>
      </c>
      <c r="B1043" s="1" t="s">
        <v>4164</v>
      </c>
      <c r="C1043" s="1" t="s">
        <v>255</v>
      </c>
      <c r="D1043" s="1" t="s">
        <v>4746</v>
      </c>
      <c r="E1043" s="1" t="s">
        <v>3917</v>
      </c>
      <c r="F1043" s="1" t="s">
        <v>3918</v>
      </c>
      <c r="G1043" s="1" t="s">
        <v>4983</v>
      </c>
    </row>
    <row r="1044" spans="1:7" x14ac:dyDescent="0.45">
      <c r="A1044" s="1" t="s">
        <v>1666</v>
      </c>
      <c r="B1044" s="1" t="s">
        <v>1667</v>
      </c>
      <c r="C1044" s="1" t="s">
        <v>255</v>
      </c>
      <c r="D1044" s="1" t="s">
        <v>2704</v>
      </c>
      <c r="E1044" s="1" t="s">
        <v>3917</v>
      </c>
      <c r="F1044" s="1" t="s">
        <v>3918</v>
      </c>
      <c r="G1044" s="1" t="s">
        <v>4983</v>
      </c>
    </row>
    <row r="1045" spans="1:7" x14ac:dyDescent="0.45">
      <c r="A1045" s="1" t="s">
        <v>7100</v>
      </c>
      <c r="B1045" s="1" t="s">
        <v>7101</v>
      </c>
      <c r="C1045" s="1" t="s">
        <v>255</v>
      </c>
      <c r="D1045" s="1" t="s">
        <v>8055</v>
      </c>
      <c r="E1045" s="1" t="s">
        <v>3917</v>
      </c>
      <c r="F1045" s="1" t="s">
        <v>3918</v>
      </c>
      <c r="G1045" s="1" t="s">
        <v>4983</v>
      </c>
    </row>
    <row r="1046" spans="1:7" x14ac:dyDescent="0.45">
      <c r="A1046" s="1" t="s">
        <v>10283</v>
      </c>
      <c r="B1046" s="1" t="s">
        <v>10284</v>
      </c>
      <c r="C1046" s="1" t="s">
        <v>255</v>
      </c>
      <c r="D1046" s="1" t="s">
        <v>11400</v>
      </c>
      <c r="E1046" s="1" t="s">
        <v>3917</v>
      </c>
      <c r="F1046" s="1" t="s">
        <v>3918</v>
      </c>
      <c r="G1046" s="1" t="s">
        <v>4983</v>
      </c>
    </row>
    <row r="1047" spans="1:7" x14ac:dyDescent="0.45">
      <c r="A1047" s="1" t="s">
        <v>4165</v>
      </c>
      <c r="B1047" s="1" t="s">
        <v>4166</v>
      </c>
      <c r="C1047" s="1" t="s">
        <v>255</v>
      </c>
      <c r="D1047" s="1" t="s">
        <v>4747</v>
      </c>
      <c r="E1047" s="1" t="s">
        <v>3917</v>
      </c>
      <c r="F1047" s="1" t="s">
        <v>3918</v>
      </c>
      <c r="G1047" s="1" t="s">
        <v>4983</v>
      </c>
    </row>
    <row r="1048" spans="1:7" x14ac:dyDescent="0.45">
      <c r="A1048" s="1" t="s">
        <v>3512</v>
      </c>
      <c r="B1048" s="1" t="s">
        <v>3513</v>
      </c>
      <c r="C1048" s="1" t="s">
        <v>255</v>
      </c>
      <c r="D1048" s="1" t="s">
        <v>3514</v>
      </c>
      <c r="E1048" s="1" t="s">
        <v>3917</v>
      </c>
      <c r="F1048" s="1" t="s">
        <v>3918</v>
      </c>
      <c r="G1048" s="1" t="s">
        <v>4983</v>
      </c>
    </row>
    <row r="1049" spans="1:7" x14ac:dyDescent="0.45">
      <c r="A1049" s="1" t="s">
        <v>10285</v>
      </c>
      <c r="B1049" s="1" t="s">
        <v>5443</v>
      </c>
      <c r="C1049" s="1" t="s">
        <v>255</v>
      </c>
      <c r="D1049" s="1" t="s">
        <v>5444</v>
      </c>
      <c r="E1049" s="1" t="s">
        <v>3917</v>
      </c>
      <c r="F1049" s="1" t="s">
        <v>3918</v>
      </c>
      <c r="G1049" s="1" t="s">
        <v>4983</v>
      </c>
    </row>
    <row r="1050" spans="1:7" x14ac:dyDescent="0.45">
      <c r="A1050" s="1" t="s">
        <v>10286</v>
      </c>
      <c r="B1050" s="1" t="s">
        <v>10287</v>
      </c>
      <c r="C1050" s="1" t="s">
        <v>255</v>
      </c>
      <c r="D1050" s="1" t="s">
        <v>11401</v>
      </c>
      <c r="E1050" s="1" t="s">
        <v>3917</v>
      </c>
      <c r="F1050" s="1" t="s">
        <v>3918</v>
      </c>
      <c r="G1050" s="1" t="s">
        <v>4983</v>
      </c>
    </row>
    <row r="1051" spans="1:7" x14ac:dyDescent="0.45">
      <c r="A1051" s="1" t="s">
        <v>3515</v>
      </c>
      <c r="B1051" s="1" t="s">
        <v>3516</v>
      </c>
      <c r="C1051" s="1" t="s">
        <v>255</v>
      </c>
      <c r="D1051" s="1" t="s">
        <v>3517</v>
      </c>
      <c r="E1051" s="1" t="s">
        <v>3917</v>
      </c>
      <c r="F1051" s="1" t="s">
        <v>3918</v>
      </c>
      <c r="G1051" s="1" t="s">
        <v>4983</v>
      </c>
    </row>
    <row r="1052" spans="1:7" x14ac:dyDescent="0.45">
      <c r="A1052" s="1" t="s">
        <v>10288</v>
      </c>
      <c r="B1052" s="1" t="s">
        <v>5599</v>
      </c>
      <c r="C1052" s="1" t="s">
        <v>255</v>
      </c>
      <c r="D1052" s="1" t="s">
        <v>5600</v>
      </c>
      <c r="E1052" s="1" t="s">
        <v>3917</v>
      </c>
      <c r="F1052" s="1" t="s">
        <v>3918</v>
      </c>
      <c r="G1052" s="1" t="s">
        <v>4983</v>
      </c>
    </row>
    <row r="1053" spans="1:7" x14ac:dyDescent="0.45">
      <c r="A1053" s="1" t="s">
        <v>1668</v>
      </c>
      <c r="B1053" s="1" t="s">
        <v>1669</v>
      </c>
      <c r="C1053" s="1" t="s">
        <v>255</v>
      </c>
      <c r="D1053" s="1" t="s">
        <v>2705</v>
      </c>
      <c r="E1053" s="1" t="s">
        <v>3917</v>
      </c>
      <c r="F1053" s="1" t="s">
        <v>3918</v>
      </c>
      <c r="G1053" s="1" t="s">
        <v>4983</v>
      </c>
    </row>
    <row r="1054" spans="1:7" x14ac:dyDescent="0.45">
      <c r="A1054" s="1" t="s">
        <v>769</v>
      </c>
      <c r="B1054" s="1" t="s">
        <v>768</v>
      </c>
      <c r="C1054" s="1" t="s">
        <v>255</v>
      </c>
      <c r="D1054" s="1" t="s">
        <v>2706</v>
      </c>
      <c r="E1054" s="1" t="s">
        <v>3917</v>
      </c>
      <c r="F1054" s="1" t="s">
        <v>3918</v>
      </c>
      <c r="G1054" s="1" t="s">
        <v>4983</v>
      </c>
    </row>
    <row r="1055" spans="1:7" x14ac:dyDescent="0.45">
      <c r="A1055" s="1" t="s">
        <v>2707</v>
      </c>
      <c r="B1055" s="1" t="s">
        <v>2708</v>
      </c>
      <c r="C1055" s="1" t="s">
        <v>255</v>
      </c>
      <c r="D1055" s="1" t="s">
        <v>2709</v>
      </c>
      <c r="E1055" s="1" t="s">
        <v>3917</v>
      </c>
      <c r="F1055" s="1" t="s">
        <v>3918</v>
      </c>
      <c r="G1055" s="1" t="s">
        <v>4983</v>
      </c>
    </row>
    <row r="1056" spans="1:7" x14ac:dyDescent="0.45">
      <c r="A1056" s="1" t="s">
        <v>3518</v>
      </c>
      <c r="B1056" s="1" t="s">
        <v>3519</v>
      </c>
      <c r="C1056" s="1" t="s">
        <v>255</v>
      </c>
      <c r="D1056" s="1" t="s">
        <v>3520</v>
      </c>
      <c r="E1056" s="1" t="s">
        <v>3917</v>
      </c>
      <c r="F1056" s="1" t="s">
        <v>3918</v>
      </c>
      <c r="G1056" s="1" t="s">
        <v>4983</v>
      </c>
    </row>
    <row r="1057" spans="1:7" x14ac:dyDescent="0.45">
      <c r="A1057" s="1" t="s">
        <v>4167</v>
      </c>
      <c r="B1057" s="1" t="s">
        <v>4168</v>
      </c>
      <c r="C1057" s="1" t="s">
        <v>255</v>
      </c>
      <c r="D1057" s="1" t="s">
        <v>4748</v>
      </c>
      <c r="E1057" s="1" t="s">
        <v>3917</v>
      </c>
      <c r="F1057" s="1" t="s">
        <v>3918</v>
      </c>
      <c r="G1057" s="1" t="s">
        <v>4983</v>
      </c>
    </row>
    <row r="1058" spans="1:7" x14ac:dyDescent="0.45">
      <c r="A1058" s="1" t="s">
        <v>3521</v>
      </c>
      <c r="B1058" s="1" t="s">
        <v>3522</v>
      </c>
      <c r="C1058" s="1" t="s">
        <v>255</v>
      </c>
      <c r="D1058" s="1" t="s">
        <v>3523</v>
      </c>
      <c r="E1058" s="1" t="s">
        <v>3919</v>
      </c>
      <c r="F1058" s="1" t="s">
        <v>3918</v>
      </c>
      <c r="G1058" s="1" t="s">
        <v>4983</v>
      </c>
    </row>
    <row r="1059" spans="1:7" x14ac:dyDescent="0.45">
      <c r="A1059" s="1" t="s">
        <v>10289</v>
      </c>
      <c r="B1059" s="1" t="s">
        <v>10290</v>
      </c>
      <c r="C1059" s="1" t="s">
        <v>255</v>
      </c>
      <c r="D1059" s="1" t="s">
        <v>11402</v>
      </c>
      <c r="E1059" s="1" t="s">
        <v>3917</v>
      </c>
      <c r="F1059" s="1" t="s">
        <v>3918</v>
      </c>
      <c r="G1059" s="1" t="s">
        <v>4983</v>
      </c>
    </row>
    <row r="1060" spans="1:7" x14ac:dyDescent="0.45">
      <c r="A1060" s="1" t="s">
        <v>7103</v>
      </c>
      <c r="B1060" s="1" t="s">
        <v>7104</v>
      </c>
      <c r="C1060" s="1" t="s">
        <v>255</v>
      </c>
      <c r="D1060" s="1" t="s">
        <v>8056</v>
      </c>
      <c r="E1060" s="1" t="s">
        <v>3917</v>
      </c>
      <c r="F1060" s="1" t="s">
        <v>3918</v>
      </c>
      <c r="G1060" s="1" t="s">
        <v>4983</v>
      </c>
    </row>
    <row r="1061" spans="1:7" x14ac:dyDescent="0.45">
      <c r="A1061" s="1" t="s">
        <v>7105</v>
      </c>
      <c r="B1061" s="1" t="s">
        <v>7106</v>
      </c>
      <c r="C1061" s="1" t="s">
        <v>255</v>
      </c>
      <c r="D1061" s="1" t="s">
        <v>8057</v>
      </c>
      <c r="E1061" s="1" t="s">
        <v>3917</v>
      </c>
      <c r="F1061" s="1" t="s">
        <v>3918</v>
      </c>
      <c r="G1061" s="1" t="s">
        <v>4983</v>
      </c>
    </row>
    <row r="1062" spans="1:7" x14ac:dyDescent="0.45">
      <c r="A1062" s="1" t="s">
        <v>7107</v>
      </c>
      <c r="B1062" s="1" t="s">
        <v>7108</v>
      </c>
      <c r="C1062" s="1" t="s">
        <v>255</v>
      </c>
      <c r="D1062" s="1" t="s">
        <v>8058</v>
      </c>
      <c r="E1062" s="1" t="s">
        <v>3917</v>
      </c>
      <c r="F1062" s="1" t="s">
        <v>3918</v>
      </c>
      <c r="G1062" s="1" t="s">
        <v>4983</v>
      </c>
    </row>
    <row r="1063" spans="1:7" x14ac:dyDescent="0.45">
      <c r="A1063" s="1" t="s">
        <v>7109</v>
      </c>
      <c r="B1063" s="1" t="s">
        <v>7110</v>
      </c>
      <c r="C1063" s="1" t="s">
        <v>255</v>
      </c>
      <c r="D1063" s="1" t="s">
        <v>8059</v>
      </c>
      <c r="E1063" s="1" t="s">
        <v>3917</v>
      </c>
      <c r="F1063" s="1" t="s">
        <v>3918</v>
      </c>
      <c r="G1063" s="1" t="s">
        <v>4983</v>
      </c>
    </row>
    <row r="1064" spans="1:7" x14ac:dyDescent="0.45">
      <c r="A1064" s="1" t="s">
        <v>10291</v>
      </c>
      <c r="B1064" s="1" t="s">
        <v>10292</v>
      </c>
      <c r="C1064" s="1" t="s">
        <v>255</v>
      </c>
      <c r="D1064" s="1" t="s">
        <v>11403</v>
      </c>
      <c r="E1064" s="1" t="s">
        <v>3917</v>
      </c>
      <c r="F1064" s="1" t="s">
        <v>3918</v>
      </c>
      <c r="G1064" s="1" t="s">
        <v>4983</v>
      </c>
    </row>
    <row r="1065" spans="1:7" x14ac:dyDescent="0.45">
      <c r="A1065" s="1" t="s">
        <v>10293</v>
      </c>
      <c r="B1065" s="1" t="s">
        <v>6200</v>
      </c>
      <c r="C1065" s="1" t="s">
        <v>255</v>
      </c>
      <c r="D1065" s="1" t="s">
        <v>6201</v>
      </c>
      <c r="E1065" s="1" t="s">
        <v>3917</v>
      </c>
      <c r="F1065" s="1" t="s">
        <v>3918</v>
      </c>
      <c r="G1065" s="1" t="s">
        <v>4983</v>
      </c>
    </row>
    <row r="1066" spans="1:7" x14ac:dyDescent="0.45">
      <c r="A1066" s="1" t="s">
        <v>10294</v>
      </c>
      <c r="B1066" s="1" t="s">
        <v>10295</v>
      </c>
      <c r="C1066" s="1" t="s">
        <v>255</v>
      </c>
      <c r="D1066" s="1" t="s">
        <v>11404</v>
      </c>
      <c r="E1066" s="1" t="s">
        <v>3917</v>
      </c>
      <c r="F1066" s="1" t="s">
        <v>3918</v>
      </c>
      <c r="G1066" s="1" t="s">
        <v>4983</v>
      </c>
    </row>
    <row r="1067" spans="1:7" x14ac:dyDescent="0.45">
      <c r="A1067" s="1" t="s">
        <v>4173</v>
      </c>
      <c r="B1067" s="1" t="s">
        <v>2102</v>
      </c>
      <c r="C1067" s="1" t="s">
        <v>255</v>
      </c>
      <c r="D1067" s="1" t="s">
        <v>2103</v>
      </c>
      <c r="E1067" s="1" t="s">
        <v>3917</v>
      </c>
      <c r="F1067" s="1" t="s">
        <v>3918</v>
      </c>
      <c r="G1067" s="1" t="s">
        <v>4983</v>
      </c>
    </row>
    <row r="1068" spans="1:7" x14ac:dyDescent="0.45">
      <c r="A1068" s="1" t="s">
        <v>1672</v>
      </c>
      <c r="B1068" s="1" t="s">
        <v>1673</v>
      </c>
      <c r="C1068" s="1" t="s">
        <v>255</v>
      </c>
      <c r="D1068" s="1" t="s">
        <v>2710</v>
      </c>
      <c r="E1068" s="1" t="s">
        <v>3917</v>
      </c>
      <c r="F1068" s="1" t="s">
        <v>3918</v>
      </c>
      <c r="G1068" s="1" t="s">
        <v>4983</v>
      </c>
    </row>
    <row r="1069" spans="1:7" x14ac:dyDescent="0.45">
      <c r="A1069" s="1" t="s">
        <v>10296</v>
      </c>
      <c r="B1069" s="1" t="s">
        <v>10297</v>
      </c>
      <c r="C1069" s="1" t="s">
        <v>255</v>
      </c>
      <c r="D1069" s="1" t="s">
        <v>11405</v>
      </c>
      <c r="E1069" s="1" t="s">
        <v>3917</v>
      </c>
      <c r="F1069" s="1" t="s">
        <v>3918</v>
      </c>
      <c r="G1069" s="1" t="s">
        <v>4983</v>
      </c>
    </row>
    <row r="1070" spans="1:7" x14ac:dyDescent="0.45">
      <c r="A1070" s="1" t="s">
        <v>7111</v>
      </c>
      <c r="B1070" s="1" t="s">
        <v>7112</v>
      </c>
      <c r="C1070" s="1" t="s">
        <v>255</v>
      </c>
      <c r="D1070" s="1" t="s">
        <v>8060</v>
      </c>
      <c r="E1070" s="1" t="s">
        <v>3917</v>
      </c>
      <c r="F1070" s="1" t="s">
        <v>3918</v>
      </c>
      <c r="G1070" s="1" t="s">
        <v>4983</v>
      </c>
    </row>
    <row r="1071" spans="1:7" x14ac:dyDescent="0.45">
      <c r="A1071" s="1" t="s">
        <v>4174</v>
      </c>
      <c r="B1071" s="1" t="s">
        <v>4175</v>
      </c>
      <c r="C1071" s="1" t="s">
        <v>255</v>
      </c>
      <c r="D1071" s="1" t="s">
        <v>4751</v>
      </c>
      <c r="E1071" s="1" t="s">
        <v>3919</v>
      </c>
      <c r="F1071" s="1" t="s">
        <v>3918</v>
      </c>
      <c r="G1071" s="1" t="s">
        <v>4983</v>
      </c>
    </row>
    <row r="1072" spans="1:7" x14ac:dyDescent="0.45">
      <c r="A1072" s="1" t="s">
        <v>7113</v>
      </c>
      <c r="B1072" s="1" t="s">
        <v>7114</v>
      </c>
      <c r="C1072" s="1" t="s">
        <v>255</v>
      </c>
      <c r="D1072" s="1" t="s">
        <v>8061</v>
      </c>
      <c r="E1072" s="1" t="s">
        <v>3917</v>
      </c>
      <c r="F1072" s="1" t="s">
        <v>3918</v>
      </c>
      <c r="G1072" s="1" t="s">
        <v>4983</v>
      </c>
    </row>
    <row r="1073" spans="1:7" x14ac:dyDescent="0.45">
      <c r="A1073" s="1" t="s">
        <v>7115</v>
      </c>
      <c r="B1073" s="1" t="s">
        <v>7116</v>
      </c>
      <c r="C1073" s="1" t="s">
        <v>255</v>
      </c>
      <c r="D1073" s="1" t="s">
        <v>8062</v>
      </c>
      <c r="E1073" s="1" t="s">
        <v>3917</v>
      </c>
      <c r="F1073" s="1" t="s">
        <v>3918</v>
      </c>
      <c r="G1073" s="1" t="s">
        <v>4983</v>
      </c>
    </row>
    <row r="1074" spans="1:7" x14ac:dyDescent="0.45">
      <c r="A1074" s="1" t="s">
        <v>4176</v>
      </c>
      <c r="B1074" s="1" t="s">
        <v>4177</v>
      </c>
      <c r="C1074" s="1" t="s">
        <v>255</v>
      </c>
      <c r="D1074" s="1" t="s">
        <v>4752</v>
      </c>
      <c r="E1074" s="1" t="s">
        <v>3917</v>
      </c>
      <c r="F1074" s="1" t="s">
        <v>3918</v>
      </c>
      <c r="G1074" s="1" t="s">
        <v>4983</v>
      </c>
    </row>
    <row r="1075" spans="1:7" x14ac:dyDescent="0.45">
      <c r="A1075" s="1" t="s">
        <v>10298</v>
      </c>
      <c r="B1075" s="1" t="s">
        <v>10299</v>
      </c>
      <c r="C1075" s="1" t="s">
        <v>255</v>
      </c>
      <c r="D1075" s="1" t="s">
        <v>11406</v>
      </c>
      <c r="E1075" s="1" t="s">
        <v>3917</v>
      </c>
      <c r="F1075" s="1" t="s">
        <v>3918</v>
      </c>
      <c r="G1075" s="1" t="s">
        <v>4983</v>
      </c>
    </row>
    <row r="1076" spans="1:7" x14ac:dyDescent="0.45">
      <c r="A1076" s="1" t="s">
        <v>1676</v>
      </c>
      <c r="B1076" s="1" t="s">
        <v>1677</v>
      </c>
      <c r="C1076" s="1" t="s">
        <v>255</v>
      </c>
      <c r="D1076" s="1" t="s">
        <v>2715</v>
      </c>
      <c r="E1076" s="1" t="s">
        <v>3917</v>
      </c>
      <c r="F1076" s="1" t="s">
        <v>3918</v>
      </c>
      <c r="G1076" s="1" t="s">
        <v>4983</v>
      </c>
    </row>
    <row r="1077" spans="1:7" x14ac:dyDescent="0.45">
      <c r="A1077" s="1" t="s">
        <v>10300</v>
      </c>
      <c r="B1077" s="1" t="s">
        <v>5238</v>
      </c>
      <c r="C1077" s="1" t="s">
        <v>255</v>
      </c>
      <c r="D1077" s="1" t="s">
        <v>5239</v>
      </c>
      <c r="E1077" s="1" t="s">
        <v>3917</v>
      </c>
      <c r="F1077" s="1" t="s">
        <v>3918</v>
      </c>
      <c r="G1077" s="1" t="s">
        <v>4983</v>
      </c>
    </row>
    <row r="1078" spans="1:7" x14ac:dyDescent="0.45">
      <c r="A1078" s="1" t="s">
        <v>10301</v>
      </c>
      <c r="B1078" s="1" t="s">
        <v>10302</v>
      </c>
      <c r="C1078" s="1" t="s">
        <v>255</v>
      </c>
      <c r="D1078" s="1" t="s">
        <v>11407</v>
      </c>
      <c r="E1078" s="1" t="s">
        <v>3917</v>
      </c>
      <c r="F1078" s="1" t="s">
        <v>3918</v>
      </c>
      <c r="G1078" s="1" t="s">
        <v>4983</v>
      </c>
    </row>
    <row r="1079" spans="1:7" x14ac:dyDescent="0.45">
      <c r="A1079" s="1" t="s">
        <v>767</v>
      </c>
      <c r="B1079" s="1" t="s">
        <v>766</v>
      </c>
      <c r="C1079" s="1" t="s">
        <v>255</v>
      </c>
      <c r="D1079" s="1" t="s">
        <v>2716</v>
      </c>
      <c r="E1079" s="1" t="s">
        <v>3917</v>
      </c>
      <c r="F1079" s="1" t="s">
        <v>3918</v>
      </c>
      <c r="G1079" s="1" t="s">
        <v>4983</v>
      </c>
    </row>
    <row r="1080" spans="1:7" x14ac:dyDescent="0.45">
      <c r="A1080" s="1" t="s">
        <v>765</v>
      </c>
      <c r="B1080" s="1" t="s">
        <v>764</v>
      </c>
      <c r="C1080" s="1" t="s">
        <v>255</v>
      </c>
      <c r="D1080" s="1" t="s">
        <v>2717</v>
      </c>
      <c r="E1080" s="1" t="s">
        <v>3917</v>
      </c>
      <c r="F1080" s="1" t="s">
        <v>3918</v>
      </c>
      <c r="G1080" s="1" t="s">
        <v>4983</v>
      </c>
    </row>
    <row r="1081" spans="1:7" x14ac:dyDescent="0.45">
      <c r="A1081" s="1" t="s">
        <v>4178</v>
      </c>
      <c r="B1081" s="1" t="s">
        <v>4179</v>
      </c>
      <c r="C1081" s="1" t="s">
        <v>255</v>
      </c>
      <c r="D1081" s="1" t="s">
        <v>4753</v>
      </c>
      <c r="E1081" s="1" t="s">
        <v>3917</v>
      </c>
      <c r="F1081" s="1" t="s">
        <v>3918</v>
      </c>
      <c r="G1081" s="1" t="s">
        <v>4983</v>
      </c>
    </row>
    <row r="1082" spans="1:7" x14ac:dyDescent="0.45">
      <c r="A1082" s="1" t="s">
        <v>7117</v>
      </c>
      <c r="B1082" s="1" t="s">
        <v>7118</v>
      </c>
      <c r="C1082" s="1" t="s">
        <v>255</v>
      </c>
      <c r="D1082" s="1" t="s">
        <v>8063</v>
      </c>
      <c r="E1082" s="1" t="s">
        <v>3917</v>
      </c>
      <c r="F1082" s="1" t="s">
        <v>3918</v>
      </c>
      <c r="G1082" s="1" t="s">
        <v>4983</v>
      </c>
    </row>
    <row r="1083" spans="1:7" x14ac:dyDescent="0.45">
      <c r="A1083" s="1" t="s">
        <v>7119</v>
      </c>
      <c r="B1083" s="1" t="s">
        <v>7120</v>
      </c>
      <c r="C1083" s="1" t="s">
        <v>255</v>
      </c>
      <c r="D1083" s="1" t="s">
        <v>8064</v>
      </c>
      <c r="E1083" s="1" t="s">
        <v>3917</v>
      </c>
      <c r="F1083" s="1" t="s">
        <v>3918</v>
      </c>
      <c r="G1083" s="1" t="s">
        <v>4983</v>
      </c>
    </row>
    <row r="1084" spans="1:7" x14ac:dyDescent="0.45">
      <c r="A1084" s="1" t="s">
        <v>4180</v>
      </c>
      <c r="B1084" s="1" t="s">
        <v>4181</v>
      </c>
      <c r="C1084" s="1" t="s">
        <v>255</v>
      </c>
      <c r="D1084" s="1" t="s">
        <v>4754</v>
      </c>
      <c r="E1084" s="1" t="s">
        <v>3917</v>
      </c>
      <c r="F1084" s="1" t="s">
        <v>3918</v>
      </c>
      <c r="G1084" s="1" t="s">
        <v>4983</v>
      </c>
    </row>
    <row r="1085" spans="1:7" x14ac:dyDescent="0.45">
      <c r="A1085" s="1" t="s">
        <v>4182</v>
      </c>
      <c r="B1085" s="1" t="s">
        <v>4183</v>
      </c>
      <c r="C1085" s="1" t="s">
        <v>255</v>
      </c>
      <c r="D1085" s="1" t="s">
        <v>4755</v>
      </c>
      <c r="E1085" s="1" t="s">
        <v>3917</v>
      </c>
      <c r="F1085" s="1" t="s">
        <v>3918</v>
      </c>
      <c r="G1085" s="1" t="s">
        <v>4983</v>
      </c>
    </row>
    <row r="1086" spans="1:7" x14ac:dyDescent="0.45">
      <c r="A1086" s="1" t="s">
        <v>10303</v>
      </c>
      <c r="B1086" s="1" t="s">
        <v>10304</v>
      </c>
      <c r="C1086" s="1" t="s">
        <v>255</v>
      </c>
      <c r="D1086" s="1" t="s">
        <v>11408</v>
      </c>
      <c r="E1086" s="1" t="s">
        <v>3917</v>
      </c>
      <c r="F1086" s="1" t="s">
        <v>3918</v>
      </c>
      <c r="G1086" s="1" t="s">
        <v>4983</v>
      </c>
    </row>
    <row r="1087" spans="1:7" x14ac:dyDescent="0.45">
      <c r="A1087" s="1" t="s">
        <v>3524</v>
      </c>
      <c r="B1087" s="1" t="s">
        <v>3525</v>
      </c>
      <c r="C1087" s="1" t="s">
        <v>255</v>
      </c>
      <c r="D1087" s="1" t="s">
        <v>3526</v>
      </c>
      <c r="E1087" s="1" t="s">
        <v>3917</v>
      </c>
      <c r="F1087" s="1" t="s">
        <v>3918</v>
      </c>
      <c r="G1087" s="1" t="s">
        <v>4983</v>
      </c>
    </row>
    <row r="1088" spans="1:7" x14ac:dyDescent="0.45">
      <c r="A1088" s="1" t="s">
        <v>4184</v>
      </c>
      <c r="B1088" s="1" t="s">
        <v>4185</v>
      </c>
      <c r="C1088" s="1" t="s">
        <v>255</v>
      </c>
      <c r="D1088" s="1" t="s">
        <v>4756</v>
      </c>
      <c r="E1088" s="1" t="s">
        <v>3917</v>
      </c>
      <c r="F1088" s="1" t="s">
        <v>3918</v>
      </c>
      <c r="G1088" s="1" t="s">
        <v>4983</v>
      </c>
    </row>
    <row r="1089" spans="1:7" x14ac:dyDescent="0.45">
      <c r="A1089" s="1" t="s">
        <v>10305</v>
      </c>
      <c r="B1089" s="1" t="s">
        <v>10306</v>
      </c>
      <c r="C1089" s="1" t="s">
        <v>255</v>
      </c>
      <c r="D1089" s="1" t="s">
        <v>11409</v>
      </c>
      <c r="E1089" s="1" t="s">
        <v>3917</v>
      </c>
      <c r="F1089" s="1" t="s">
        <v>3918</v>
      </c>
      <c r="G1089" s="1" t="s">
        <v>4983</v>
      </c>
    </row>
    <row r="1090" spans="1:7" x14ac:dyDescent="0.45">
      <c r="A1090" s="1" t="s">
        <v>7102</v>
      </c>
      <c r="B1090" s="1" t="s">
        <v>10307</v>
      </c>
      <c r="C1090" s="1" t="s">
        <v>255</v>
      </c>
      <c r="D1090" s="1" t="s">
        <v>11410</v>
      </c>
      <c r="E1090" s="1" t="s">
        <v>3917</v>
      </c>
      <c r="F1090" s="1" t="s">
        <v>3918</v>
      </c>
      <c r="G1090" s="1" t="s">
        <v>4983</v>
      </c>
    </row>
    <row r="1091" spans="1:7" x14ac:dyDescent="0.45">
      <c r="A1091" s="1" t="s">
        <v>763</v>
      </c>
      <c r="B1091" s="1" t="s">
        <v>762</v>
      </c>
      <c r="C1091" s="1" t="s">
        <v>255</v>
      </c>
      <c r="D1091" s="1" t="s">
        <v>2718</v>
      </c>
      <c r="E1091" s="1" t="s">
        <v>3917</v>
      </c>
      <c r="F1091" s="1" t="s">
        <v>3918</v>
      </c>
      <c r="G1091" s="1" t="s">
        <v>4983</v>
      </c>
    </row>
    <row r="1092" spans="1:7" x14ac:dyDescent="0.45">
      <c r="A1092" s="1" t="s">
        <v>10308</v>
      </c>
      <c r="B1092" s="1" t="s">
        <v>10309</v>
      </c>
      <c r="C1092" s="1" t="s">
        <v>255</v>
      </c>
      <c r="D1092" s="1" t="s">
        <v>11411</v>
      </c>
      <c r="E1092" s="1" t="s">
        <v>3917</v>
      </c>
      <c r="F1092" s="1" t="s">
        <v>3918</v>
      </c>
      <c r="G1092" s="1" t="s">
        <v>4983</v>
      </c>
    </row>
    <row r="1093" spans="1:7" x14ac:dyDescent="0.45">
      <c r="A1093" s="1" t="s">
        <v>7121</v>
      </c>
      <c r="B1093" s="1" t="s">
        <v>7122</v>
      </c>
      <c r="C1093" s="1" t="s">
        <v>255</v>
      </c>
      <c r="D1093" s="1" t="s">
        <v>8065</v>
      </c>
      <c r="E1093" s="1" t="s">
        <v>3917</v>
      </c>
      <c r="F1093" s="1" t="s">
        <v>3918</v>
      </c>
      <c r="G1093" s="1" t="s">
        <v>4983</v>
      </c>
    </row>
    <row r="1094" spans="1:7" x14ac:dyDescent="0.45">
      <c r="A1094" s="1" t="s">
        <v>10310</v>
      </c>
      <c r="B1094" s="1" t="s">
        <v>10311</v>
      </c>
      <c r="C1094" s="1" t="s">
        <v>255</v>
      </c>
      <c r="D1094" s="1" t="s">
        <v>11412</v>
      </c>
      <c r="E1094" s="1" t="s">
        <v>3917</v>
      </c>
      <c r="F1094" s="1" t="s">
        <v>3918</v>
      </c>
      <c r="G1094" s="1" t="s">
        <v>4983</v>
      </c>
    </row>
    <row r="1095" spans="1:7" x14ac:dyDescent="0.45">
      <c r="A1095" s="1" t="s">
        <v>7123</v>
      </c>
      <c r="B1095" s="1" t="s">
        <v>7124</v>
      </c>
      <c r="C1095" s="1" t="s">
        <v>255</v>
      </c>
      <c r="D1095" s="1" t="s">
        <v>8066</v>
      </c>
      <c r="E1095" s="1" t="s">
        <v>3917</v>
      </c>
      <c r="F1095" s="1" t="s">
        <v>3918</v>
      </c>
      <c r="G1095" s="1" t="s">
        <v>4983</v>
      </c>
    </row>
    <row r="1096" spans="1:7" x14ac:dyDescent="0.45">
      <c r="A1096" s="1" t="s">
        <v>7125</v>
      </c>
      <c r="B1096" s="1" t="s">
        <v>7126</v>
      </c>
      <c r="C1096" s="1" t="s">
        <v>255</v>
      </c>
      <c r="D1096" s="1" t="s">
        <v>8067</v>
      </c>
      <c r="E1096" s="1" t="s">
        <v>3919</v>
      </c>
      <c r="F1096" s="1" t="s">
        <v>3918</v>
      </c>
      <c r="G1096" s="1" t="s">
        <v>4983</v>
      </c>
    </row>
    <row r="1097" spans="1:7" x14ac:dyDescent="0.45">
      <c r="A1097" s="1" t="s">
        <v>2719</v>
      </c>
      <c r="B1097" s="1" t="s">
        <v>2720</v>
      </c>
      <c r="C1097" s="1" t="s">
        <v>255</v>
      </c>
      <c r="D1097" s="1" t="s">
        <v>2721</v>
      </c>
      <c r="E1097" s="1" t="s">
        <v>3917</v>
      </c>
      <c r="F1097" s="1" t="s">
        <v>3918</v>
      </c>
      <c r="G1097" s="1" t="s">
        <v>4983</v>
      </c>
    </row>
    <row r="1098" spans="1:7" x14ac:dyDescent="0.45">
      <c r="A1098" s="1" t="s">
        <v>3529</v>
      </c>
      <c r="B1098" s="1" t="s">
        <v>3530</v>
      </c>
      <c r="C1098" s="1" t="s">
        <v>255</v>
      </c>
      <c r="D1098" s="1" t="s">
        <v>3531</v>
      </c>
      <c r="E1098" s="1" t="s">
        <v>3917</v>
      </c>
      <c r="F1098" s="1" t="s">
        <v>3918</v>
      </c>
      <c r="G1098" s="1" t="s">
        <v>4983</v>
      </c>
    </row>
    <row r="1099" spans="1:7" x14ac:dyDescent="0.45">
      <c r="A1099" s="1" t="s">
        <v>4186</v>
      </c>
      <c r="B1099" s="1" t="s">
        <v>4187</v>
      </c>
      <c r="C1099" s="1" t="s">
        <v>255</v>
      </c>
      <c r="D1099" s="1" t="s">
        <v>4757</v>
      </c>
      <c r="E1099" s="1" t="s">
        <v>3917</v>
      </c>
      <c r="F1099" s="1" t="s">
        <v>3918</v>
      </c>
      <c r="G1099" s="1" t="s">
        <v>4983</v>
      </c>
    </row>
    <row r="1100" spans="1:7" x14ac:dyDescent="0.45">
      <c r="A1100" s="1" t="s">
        <v>7127</v>
      </c>
      <c r="B1100" s="1" t="s">
        <v>7128</v>
      </c>
      <c r="C1100" s="1" t="s">
        <v>255</v>
      </c>
      <c r="D1100" s="1" t="s">
        <v>8068</v>
      </c>
      <c r="E1100" s="1" t="s">
        <v>3917</v>
      </c>
      <c r="F1100" s="1" t="s">
        <v>3918</v>
      </c>
      <c r="G1100" s="1" t="s">
        <v>4983</v>
      </c>
    </row>
    <row r="1101" spans="1:7" x14ac:dyDescent="0.45">
      <c r="A1101" s="1" t="s">
        <v>759</v>
      </c>
      <c r="B1101" s="1" t="s">
        <v>758</v>
      </c>
      <c r="C1101" s="1" t="s">
        <v>255</v>
      </c>
      <c r="D1101" s="1" t="s">
        <v>2722</v>
      </c>
      <c r="E1101" s="1" t="s">
        <v>3917</v>
      </c>
      <c r="F1101" s="1" t="s">
        <v>3918</v>
      </c>
      <c r="G1101" s="1" t="s">
        <v>4983</v>
      </c>
    </row>
    <row r="1102" spans="1:7" x14ac:dyDescent="0.45">
      <c r="A1102" s="1" t="s">
        <v>10312</v>
      </c>
      <c r="B1102" s="1" t="s">
        <v>10313</v>
      </c>
      <c r="C1102" s="1" t="s">
        <v>255</v>
      </c>
      <c r="D1102" s="1" t="s">
        <v>11413</v>
      </c>
      <c r="E1102" s="1" t="s">
        <v>3917</v>
      </c>
      <c r="F1102" s="1" t="s">
        <v>3918</v>
      </c>
      <c r="G1102" s="1" t="s">
        <v>4983</v>
      </c>
    </row>
    <row r="1103" spans="1:7" x14ac:dyDescent="0.45">
      <c r="A1103" s="1" t="s">
        <v>7129</v>
      </c>
      <c r="B1103" s="1" t="s">
        <v>7130</v>
      </c>
      <c r="C1103" s="1" t="s">
        <v>255</v>
      </c>
      <c r="D1103" s="1" t="s">
        <v>8069</v>
      </c>
      <c r="E1103" s="1" t="s">
        <v>3917</v>
      </c>
      <c r="F1103" s="1" t="s">
        <v>3918</v>
      </c>
      <c r="G1103" s="1" t="s">
        <v>4983</v>
      </c>
    </row>
    <row r="1104" spans="1:7" x14ac:dyDescent="0.45">
      <c r="A1104" s="1" t="s">
        <v>1680</v>
      </c>
      <c r="B1104" s="1" t="s">
        <v>1681</v>
      </c>
      <c r="C1104" s="1" t="s">
        <v>255</v>
      </c>
      <c r="D1104" s="1" t="s">
        <v>2724</v>
      </c>
      <c r="E1104" s="1" t="s">
        <v>3917</v>
      </c>
      <c r="F1104" s="1" t="s">
        <v>3918</v>
      </c>
      <c r="G1104" s="1" t="s">
        <v>4983</v>
      </c>
    </row>
    <row r="1105" spans="1:7" x14ac:dyDescent="0.45">
      <c r="A1105" s="1" t="s">
        <v>10314</v>
      </c>
      <c r="B1105" s="1" t="s">
        <v>10315</v>
      </c>
      <c r="C1105" s="1" t="s">
        <v>255</v>
      </c>
      <c r="D1105" s="1" t="s">
        <v>5235</v>
      </c>
      <c r="E1105" s="1" t="s">
        <v>3917</v>
      </c>
      <c r="F1105" s="1" t="s">
        <v>3918</v>
      </c>
      <c r="G1105" s="1" t="s">
        <v>4983</v>
      </c>
    </row>
    <row r="1106" spans="1:7" x14ac:dyDescent="0.45">
      <c r="A1106" s="1" t="s">
        <v>10316</v>
      </c>
      <c r="B1106" s="1" t="s">
        <v>10317</v>
      </c>
      <c r="C1106" s="1" t="s">
        <v>255</v>
      </c>
      <c r="D1106" s="1" t="s">
        <v>11414</v>
      </c>
      <c r="E1106" s="1" t="s">
        <v>3917</v>
      </c>
      <c r="F1106" s="1" t="s">
        <v>3918</v>
      </c>
      <c r="G1106" s="1" t="s">
        <v>4983</v>
      </c>
    </row>
    <row r="1107" spans="1:7" x14ac:dyDescent="0.45">
      <c r="A1107" s="1" t="s">
        <v>10318</v>
      </c>
      <c r="B1107" s="1" t="s">
        <v>10319</v>
      </c>
      <c r="C1107" s="1" t="s">
        <v>255</v>
      </c>
      <c r="D1107" s="1" t="s">
        <v>11415</v>
      </c>
      <c r="E1107" s="1" t="s">
        <v>3917</v>
      </c>
      <c r="F1107" s="1" t="s">
        <v>3918</v>
      </c>
      <c r="G1107" s="1" t="s">
        <v>4983</v>
      </c>
    </row>
    <row r="1108" spans="1:7" x14ac:dyDescent="0.45">
      <c r="A1108" s="1" t="s">
        <v>1682</v>
      </c>
      <c r="B1108" s="1" t="s">
        <v>1683</v>
      </c>
      <c r="C1108" s="1" t="s">
        <v>255</v>
      </c>
      <c r="D1108" s="1" t="s">
        <v>2725</v>
      </c>
      <c r="E1108" s="1" t="s">
        <v>3917</v>
      </c>
      <c r="F1108" s="1" t="s">
        <v>3918</v>
      </c>
      <c r="G1108" s="1" t="s">
        <v>4983</v>
      </c>
    </row>
    <row r="1109" spans="1:7" x14ac:dyDescent="0.45">
      <c r="A1109" s="1" t="s">
        <v>4188</v>
      </c>
      <c r="B1109" s="1" t="s">
        <v>4189</v>
      </c>
      <c r="C1109" s="1" t="s">
        <v>255</v>
      </c>
      <c r="D1109" s="1" t="s">
        <v>4758</v>
      </c>
      <c r="E1109" s="1" t="s">
        <v>3917</v>
      </c>
      <c r="F1109" s="1" t="s">
        <v>3918</v>
      </c>
      <c r="G1109" s="1" t="s">
        <v>4983</v>
      </c>
    </row>
    <row r="1110" spans="1:7" x14ac:dyDescent="0.45">
      <c r="A1110" s="1" t="s">
        <v>10320</v>
      </c>
      <c r="B1110" s="1" t="s">
        <v>10321</v>
      </c>
      <c r="C1110" s="1" t="s">
        <v>255</v>
      </c>
      <c r="D1110" s="1" t="s">
        <v>11416</v>
      </c>
      <c r="E1110" s="1" t="s">
        <v>3917</v>
      </c>
      <c r="F1110" s="1" t="s">
        <v>3918</v>
      </c>
      <c r="G1110" s="1" t="s">
        <v>4983</v>
      </c>
    </row>
    <row r="1111" spans="1:7" x14ac:dyDescent="0.45">
      <c r="A1111" s="1" t="s">
        <v>7131</v>
      </c>
      <c r="B1111" s="1" t="s">
        <v>7132</v>
      </c>
      <c r="C1111" s="1" t="s">
        <v>255</v>
      </c>
      <c r="D1111" s="1" t="s">
        <v>8070</v>
      </c>
      <c r="E1111" s="1" t="s">
        <v>3917</v>
      </c>
      <c r="F1111" s="1" t="s">
        <v>3918</v>
      </c>
      <c r="G1111" s="1" t="s">
        <v>4983</v>
      </c>
    </row>
    <row r="1112" spans="1:7" x14ac:dyDescent="0.45">
      <c r="A1112" s="1" t="s">
        <v>756</v>
      </c>
      <c r="B1112" s="1" t="s">
        <v>755</v>
      </c>
      <c r="C1112" s="1" t="s">
        <v>255</v>
      </c>
      <c r="D1112" s="1" t="s">
        <v>2727</v>
      </c>
      <c r="E1112" s="1" t="s">
        <v>3917</v>
      </c>
      <c r="F1112" s="1" t="s">
        <v>3918</v>
      </c>
      <c r="G1112" s="1" t="s">
        <v>4983</v>
      </c>
    </row>
    <row r="1113" spans="1:7" x14ac:dyDescent="0.45">
      <c r="A1113" s="1" t="s">
        <v>7133</v>
      </c>
      <c r="B1113" s="1" t="s">
        <v>5566</v>
      </c>
      <c r="C1113" s="1" t="s">
        <v>255</v>
      </c>
      <c r="D1113" s="1" t="s">
        <v>5567</v>
      </c>
      <c r="E1113" s="1" t="s">
        <v>3917</v>
      </c>
      <c r="F1113" s="1" t="s">
        <v>3918</v>
      </c>
      <c r="G1113" s="1" t="s">
        <v>4983</v>
      </c>
    </row>
    <row r="1114" spans="1:7" x14ac:dyDescent="0.45">
      <c r="A1114" s="1" t="s">
        <v>7134</v>
      </c>
      <c r="B1114" s="1" t="s">
        <v>5713</v>
      </c>
      <c r="C1114" s="1" t="s">
        <v>255</v>
      </c>
      <c r="D1114" s="1" t="s">
        <v>5714</v>
      </c>
      <c r="E1114" s="1" t="s">
        <v>3917</v>
      </c>
      <c r="F1114" s="1" t="s">
        <v>3918</v>
      </c>
      <c r="G1114" s="1" t="s">
        <v>4983</v>
      </c>
    </row>
    <row r="1115" spans="1:7" x14ac:dyDescent="0.45">
      <c r="A1115" s="1" t="s">
        <v>4190</v>
      </c>
      <c r="B1115" s="1" t="s">
        <v>4191</v>
      </c>
      <c r="C1115" s="1" t="s">
        <v>255</v>
      </c>
      <c r="D1115" s="1" t="s">
        <v>4759</v>
      </c>
      <c r="E1115" s="1" t="s">
        <v>3917</v>
      </c>
      <c r="F1115" s="1" t="s">
        <v>3918</v>
      </c>
      <c r="G1115" s="1" t="s">
        <v>4983</v>
      </c>
    </row>
    <row r="1116" spans="1:7" x14ac:dyDescent="0.45">
      <c r="A1116" s="1" t="s">
        <v>10322</v>
      </c>
      <c r="B1116" s="1" t="s">
        <v>10323</v>
      </c>
      <c r="C1116" s="1" t="s">
        <v>255</v>
      </c>
      <c r="D1116" s="1" t="s">
        <v>11417</v>
      </c>
      <c r="E1116" s="1" t="s">
        <v>3917</v>
      </c>
      <c r="F1116" s="1" t="s">
        <v>3918</v>
      </c>
      <c r="G1116" s="1" t="s">
        <v>4983</v>
      </c>
    </row>
    <row r="1117" spans="1:7" x14ac:dyDescent="0.45">
      <c r="A1117" s="1" t="s">
        <v>10324</v>
      </c>
      <c r="B1117" s="1" t="s">
        <v>10325</v>
      </c>
      <c r="C1117" s="1" t="s">
        <v>255</v>
      </c>
      <c r="D1117" s="1" t="s">
        <v>11418</v>
      </c>
      <c r="E1117" s="1" t="s">
        <v>3917</v>
      </c>
      <c r="F1117" s="1" t="s">
        <v>3918</v>
      </c>
      <c r="G1117" s="1" t="s">
        <v>4983</v>
      </c>
    </row>
    <row r="1118" spans="1:7" x14ac:dyDescent="0.45">
      <c r="A1118" s="1" t="s">
        <v>7135</v>
      </c>
      <c r="B1118" s="1" t="s">
        <v>7136</v>
      </c>
      <c r="C1118" s="1" t="s">
        <v>255</v>
      </c>
      <c r="D1118" s="1" t="s">
        <v>8071</v>
      </c>
      <c r="E1118" s="1" t="s">
        <v>3917</v>
      </c>
      <c r="F1118" s="1" t="s">
        <v>3918</v>
      </c>
      <c r="G1118" s="1" t="s">
        <v>4983</v>
      </c>
    </row>
    <row r="1119" spans="1:7" x14ac:dyDescent="0.45">
      <c r="A1119" s="1" t="s">
        <v>4192</v>
      </c>
      <c r="B1119" s="1" t="s">
        <v>4193</v>
      </c>
      <c r="C1119" s="1" t="s">
        <v>255</v>
      </c>
      <c r="D1119" s="1" t="s">
        <v>4760</v>
      </c>
      <c r="E1119" s="1" t="s">
        <v>3917</v>
      </c>
      <c r="F1119" s="1" t="s">
        <v>3918</v>
      </c>
      <c r="G1119" s="1" t="s">
        <v>4983</v>
      </c>
    </row>
    <row r="1120" spans="1:7" x14ac:dyDescent="0.45">
      <c r="A1120" s="1" t="s">
        <v>4194</v>
      </c>
      <c r="B1120" s="1" t="s">
        <v>4195</v>
      </c>
      <c r="C1120" s="1" t="s">
        <v>255</v>
      </c>
      <c r="D1120" s="1" t="s">
        <v>4761</v>
      </c>
      <c r="E1120" s="1" t="s">
        <v>3917</v>
      </c>
      <c r="F1120" s="1" t="s">
        <v>3918</v>
      </c>
      <c r="G1120" s="1" t="s">
        <v>4983</v>
      </c>
    </row>
    <row r="1121" spans="1:7" x14ac:dyDescent="0.45">
      <c r="A1121" s="1" t="s">
        <v>4196</v>
      </c>
      <c r="B1121" s="1" t="s">
        <v>4197</v>
      </c>
      <c r="C1121" s="1" t="s">
        <v>255</v>
      </c>
      <c r="D1121" s="1" t="s">
        <v>4762</v>
      </c>
      <c r="E1121" s="1" t="s">
        <v>3919</v>
      </c>
      <c r="F1121" s="1" t="s">
        <v>3918</v>
      </c>
      <c r="G1121" s="1" t="s">
        <v>4983</v>
      </c>
    </row>
    <row r="1122" spans="1:7" x14ac:dyDescent="0.45">
      <c r="A1122" s="1" t="s">
        <v>4198</v>
      </c>
      <c r="B1122" s="1" t="s">
        <v>4199</v>
      </c>
      <c r="C1122" s="1" t="s">
        <v>255</v>
      </c>
      <c r="D1122" s="1" t="s">
        <v>4763</v>
      </c>
      <c r="E1122" s="1" t="s">
        <v>3917</v>
      </c>
      <c r="F1122" s="1" t="s">
        <v>3918</v>
      </c>
      <c r="G1122" s="1" t="s">
        <v>4983</v>
      </c>
    </row>
    <row r="1123" spans="1:7" x14ac:dyDescent="0.45">
      <c r="A1123" s="1" t="s">
        <v>10326</v>
      </c>
      <c r="B1123" s="1" t="s">
        <v>5401</v>
      </c>
      <c r="C1123" s="1" t="s">
        <v>255</v>
      </c>
      <c r="D1123" s="1" t="s">
        <v>5402</v>
      </c>
      <c r="E1123" s="1" t="s">
        <v>3917</v>
      </c>
      <c r="F1123" s="1" t="s">
        <v>3918</v>
      </c>
      <c r="G1123" s="1" t="s">
        <v>4983</v>
      </c>
    </row>
    <row r="1124" spans="1:7" x14ac:dyDescent="0.45">
      <c r="A1124" s="1" t="s">
        <v>751</v>
      </c>
      <c r="B1124" s="1" t="s">
        <v>750</v>
      </c>
      <c r="C1124" s="1" t="s">
        <v>255</v>
      </c>
      <c r="D1124" s="1" t="s">
        <v>2729</v>
      </c>
      <c r="E1124" s="1" t="s">
        <v>3917</v>
      </c>
      <c r="F1124" s="1" t="s">
        <v>3918</v>
      </c>
      <c r="G1124" s="1" t="s">
        <v>4983</v>
      </c>
    </row>
    <row r="1125" spans="1:7" x14ac:dyDescent="0.45">
      <c r="A1125" s="1" t="s">
        <v>10327</v>
      </c>
      <c r="B1125" s="1" t="s">
        <v>10328</v>
      </c>
      <c r="C1125" s="1" t="s">
        <v>255</v>
      </c>
      <c r="D1125" s="1" t="s">
        <v>11419</v>
      </c>
      <c r="E1125" s="1" t="s">
        <v>3917</v>
      </c>
      <c r="F1125" s="1" t="s">
        <v>3918</v>
      </c>
      <c r="G1125" s="1" t="s">
        <v>4983</v>
      </c>
    </row>
    <row r="1126" spans="1:7" x14ac:dyDescent="0.45">
      <c r="A1126" s="1" t="s">
        <v>2730</v>
      </c>
      <c r="B1126" s="1" t="s">
        <v>2731</v>
      </c>
      <c r="C1126" s="1" t="s">
        <v>255</v>
      </c>
      <c r="D1126" s="1" t="s">
        <v>2732</v>
      </c>
      <c r="E1126" s="1" t="s">
        <v>3917</v>
      </c>
      <c r="F1126" s="1" t="s">
        <v>3918</v>
      </c>
      <c r="G1126" s="1" t="s">
        <v>4983</v>
      </c>
    </row>
    <row r="1127" spans="1:7" x14ac:dyDescent="0.45">
      <c r="A1127" s="1" t="s">
        <v>2733</v>
      </c>
      <c r="B1127" s="1" t="s">
        <v>2734</v>
      </c>
      <c r="C1127" s="1" t="s">
        <v>255</v>
      </c>
      <c r="D1127" s="1" t="s">
        <v>2735</v>
      </c>
      <c r="E1127" s="1" t="s">
        <v>3917</v>
      </c>
      <c r="F1127" s="1" t="s">
        <v>3918</v>
      </c>
      <c r="G1127" s="1" t="s">
        <v>4983</v>
      </c>
    </row>
    <row r="1128" spans="1:7" x14ac:dyDescent="0.45">
      <c r="A1128" s="1" t="s">
        <v>7137</v>
      </c>
      <c r="B1128" s="1" t="s">
        <v>7138</v>
      </c>
      <c r="C1128" s="1" t="s">
        <v>255</v>
      </c>
      <c r="D1128" s="1" t="s">
        <v>8072</v>
      </c>
      <c r="E1128" s="1" t="s">
        <v>3917</v>
      </c>
      <c r="F1128" s="1" t="s">
        <v>3918</v>
      </c>
      <c r="G1128" s="1" t="s">
        <v>4983</v>
      </c>
    </row>
    <row r="1129" spans="1:7" x14ac:dyDescent="0.45">
      <c r="A1129" s="1" t="s">
        <v>10329</v>
      </c>
      <c r="B1129" s="1" t="s">
        <v>10330</v>
      </c>
      <c r="C1129" s="1" t="s">
        <v>255</v>
      </c>
      <c r="D1129" s="1" t="s">
        <v>11420</v>
      </c>
      <c r="E1129" s="1" t="s">
        <v>3917</v>
      </c>
      <c r="F1129" s="1" t="s">
        <v>3918</v>
      </c>
      <c r="G1129" s="1" t="s">
        <v>4983</v>
      </c>
    </row>
    <row r="1130" spans="1:7" x14ac:dyDescent="0.45">
      <c r="A1130" s="1" t="s">
        <v>7139</v>
      </c>
      <c r="B1130" s="1" t="s">
        <v>7140</v>
      </c>
      <c r="C1130" s="1" t="s">
        <v>255</v>
      </c>
      <c r="D1130" s="1" t="s">
        <v>8073</v>
      </c>
      <c r="E1130" s="1" t="s">
        <v>3917</v>
      </c>
      <c r="F1130" s="1" t="s">
        <v>3918</v>
      </c>
      <c r="G1130" s="1" t="s">
        <v>4983</v>
      </c>
    </row>
    <row r="1131" spans="1:7" x14ac:dyDescent="0.45">
      <c r="A1131" s="1" t="s">
        <v>10331</v>
      </c>
      <c r="B1131" s="1" t="s">
        <v>6642</v>
      </c>
      <c r="C1131" s="1" t="s">
        <v>255</v>
      </c>
      <c r="D1131" s="1" t="s">
        <v>6643</v>
      </c>
      <c r="E1131" s="1" t="s">
        <v>3917</v>
      </c>
      <c r="F1131" s="1" t="s">
        <v>3918</v>
      </c>
      <c r="G1131" s="1" t="s">
        <v>4983</v>
      </c>
    </row>
    <row r="1132" spans="1:7" x14ac:dyDescent="0.45">
      <c r="A1132" s="1" t="s">
        <v>10332</v>
      </c>
      <c r="B1132" s="1" t="s">
        <v>10333</v>
      </c>
      <c r="C1132" s="1" t="s">
        <v>255</v>
      </c>
      <c r="D1132" s="1" t="s">
        <v>8843</v>
      </c>
      <c r="E1132" s="1" t="s">
        <v>3917</v>
      </c>
      <c r="F1132" s="1" t="s">
        <v>3918</v>
      </c>
      <c r="G1132" s="1" t="s">
        <v>4983</v>
      </c>
    </row>
    <row r="1133" spans="1:7" x14ac:dyDescent="0.45">
      <c r="A1133" s="1" t="s">
        <v>3532</v>
      </c>
      <c r="B1133" s="1" t="s">
        <v>3533</v>
      </c>
      <c r="C1133" s="1" t="s">
        <v>255</v>
      </c>
      <c r="D1133" s="1" t="s">
        <v>3534</v>
      </c>
      <c r="E1133" s="1" t="s">
        <v>3917</v>
      </c>
      <c r="F1133" s="1" t="s">
        <v>3918</v>
      </c>
      <c r="G1133" s="1" t="s">
        <v>4983</v>
      </c>
    </row>
    <row r="1134" spans="1:7" x14ac:dyDescent="0.45">
      <c r="A1134" s="1" t="s">
        <v>7141</v>
      </c>
      <c r="B1134" s="1" t="s">
        <v>5608</v>
      </c>
      <c r="C1134" s="1" t="s">
        <v>255</v>
      </c>
      <c r="D1134" s="1" t="s">
        <v>5609</v>
      </c>
      <c r="E1134" s="1" t="s">
        <v>3917</v>
      </c>
      <c r="F1134" s="1" t="s">
        <v>3918</v>
      </c>
      <c r="G1134" s="1" t="s">
        <v>4983</v>
      </c>
    </row>
    <row r="1135" spans="1:7" x14ac:dyDescent="0.45">
      <c r="A1135" s="1" t="s">
        <v>10334</v>
      </c>
      <c r="B1135" s="1" t="s">
        <v>10335</v>
      </c>
      <c r="C1135" s="1" t="s">
        <v>255</v>
      </c>
      <c r="D1135" s="1" t="s">
        <v>11421</v>
      </c>
      <c r="E1135" s="1" t="s">
        <v>3917</v>
      </c>
      <c r="F1135" s="1" t="s">
        <v>3918</v>
      </c>
      <c r="G1135" s="1" t="s">
        <v>4983</v>
      </c>
    </row>
    <row r="1136" spans="1:7" x14ac:dyDescent="0.45">
      <c r="A1136" s="1" t="s">
        <v>1686</v>
      </c>
      <c r="B1136" s="1" t="s">
        <v>1687</v>
      </c>
      <c r="C1136" s="1" t="s">
        <v>255</v>
      </c>
      <c r="D1136" s="1" t="s">
        <v>2737</v>
      </c>
      <c r="E1136" s="1" t="s">
        <v>3917</v>
      </c>
      <c r="F1136" s="1" t="s">
        <v>3918</v>
      </c>
      <c r="G1136" s="1" t="s">
        <v>4983</v>
      </c>
    </row>
    <row r="1137" spans="1:7" x14ac:dyDescent="0.45">
      <c r="A1137" s="1" t="s">
        <v>10336</v>
      </c>
      <c r="B1137" s="1" t="s">
        <v>10337</v>
      </c>
      <c r="C1137" s="1" t="s">
        <v>255</v>
      </c>
      <c r="D1137" s="1" t="s">
        <v>2737</v>
      </c>
      <c r="E1137" s="1" t="s">
        <v>3917</v>
      </c>
      <c r="F1137" s="1" t="s">
        <v>3918</v>
      </c>
      <c r="G1137" s="1" t="s">
        <v>4983</v>
      </c>
    </row>
    <row r="1138" spans="1:7" x14ac:dyDescent="0.45">
      <c r="A1138" s="1" t="s">
        <v>1688</v>
      </c>
      <c r="B1138" s="1" t="s">
        <v>1689</v>
      </c>
      <c r="C1138" s="1" t="s">
        <v>255</v>
      </c>
      <c r="D1138" s="1" t="s">
        <v>2269</v>
      </c>
      <c r="E1138" s="1" t="s">
        <v>3917</v>
      </c>
      <c r="F1138" s="1" t="s">
        <v>3918</v>
      </c>
      <c r="G1138" s="1" t="s">
        <v>4983</v>
      </c>
    </row>
    <row r="1139" spans="1:7" x14ac:dyDescent="0.45">
      <c r="A1139" s="1" t="s">
        <v>7142</v>
      </c>
      <c r="B1139" s="1" t="s">
        <v>7143</v>
      </c>
      <c r="C1139" s="1" t="s">
        <v>255</v>
      </c>
      <c r="D1139" s="1" t="s">
        <v>2117</v>
      </c>
      <c r="E1139" s="1" t="s">
        <v>3917</v>
      </c>
      <c r="F1139" s="1" t="s">
        <v>3918</v>
      </c>
      <c r="G1139" s="1" t="s">
        <v>4983</v>
      </c>
    </row>
    <row r="1140" spans="1:7" x14ac:dyDescent="0.45">
      <c r="A1140" s="1" t="s">
        <v>3535</v>
      </c>
      <c r="B1140" s="1" t="s">
        <v>3536</v>
      </c>
      <c r="C1140" s="1" t="s">
        <v>255</v>
      </c>
      <c r="D1140" s="1" t="s">
        <v>3537</v>
      </c>
      <c r="E1140" s="1" t="s">
        <v>3917</v>
      </c>
      <c r="F1140" s="1" t="s">
        <v>3918</v>
      </c>
      <c r="G1140" s="1" t="s">
        <v>4983</v>
      </c>
    </row>
    <row r="1141" spans="1:7" x14ac:dyDescent="0.45">
      <c r="A1141" s="1" t="s">
        <v>10338</v>
      </c>
      <c r="B1141" s="1" t="s">
        <v>10339</v>
      </c>
      <c r="C1141" s="1" t="s">
        <v>255</v>
      </c>
      <c r="D1141" s="1" t="s">
        <v>11422</v>
      </c>
      <c r="E1141" s="1" t="s">
        <v>3917</v>
      </c>
      <c r="F1141" s="1" t="s">
        <v>3918</v>
      </c>
      <c r="G1141" s="1" t="s">
        <v>4983</v>
      </c>
    </row>
    <row r="1142" spans="1:7" x14ac:dyDescent="0.45">
      <c r="A1142" s="1" t="s">
        <v>10340</v>
      </c>
      <c r="B1142" s="1" t="s">
        <v>10341</v>
      </c>
      <c r="C1142" s="1" t="s">
        <v>255</v>
      </c>
      <c r="D1142" s="1" t="s">
        <v>11423</v>
      </c>
      <c r="E1142" s="1" t="s">
        <v>3917</v>
      </c>
      <c r="F1142" s="1" t="s">
        <v>3918</v>
      </c>
      <c r="G1142" s="1" t="s">
        <v>4983</v>
      </c>
    </row>
    <row r="1143" spans="1:7" x14ac:dyDescent="0.45">
      <c r="A1143" s="1" t="s">
        <v>10342</v>
      </c>
      <c r="B1143" s="1" t="s">
        <v>5260</v>
      </c>
      <c r="C1143" s="1" t="s">
        <v>255</v>
      </c>
      <c r="D1143" s="1" t="s">
        <v>5261</v>
      </c>
      <c r="E1143" s="1" t="s">
        <v>3917</v>
      </c>
      <c r="F1143" s="1" t="s">
        <v>3918</v>
      </c>
      <c r="G1143" s="1" t="s">
        <v>4983</v>
      </c>
    </row>
    <row r="1144" spans="1:7" x14ac:dyDescent="0.45">
      <c r="A1144" s="1" t="s">
        <v>4202</v>
      </c>
      <c r="B1144" s="1" t="s">
        <v>4203</v>
      </c>
      <c r="C1144" s="1" t="s">
        <v>255</v>
      </c>
      <c r="D1144" s="1" t="s">
        <v>4765</v>
      </c>
      <c r="E1144" s="1" t="s">
        <v>3917</v>
      </c>
      <c r="F1144" s="1" t="s">
        <v>3918</v>
      </c>
      <c r="G1144" s="1" t="s">
        <v>4983</v>
      </c>
    </row>
    <row r="1145" spans="1:7" x14ac:dyDescent="0.45">
      <c r="A1145" s="1" t="s">
        <v>4204</v>
      </c>
      <c r="B1145" s="1" t="s">
        <v>4205</v>
      </c>
      <c r="C1145" s="1" t="s">
        <v>255</v>
      </c>
      <c r="D1145" s="1" t="s">
        <v>4766</v>
      </c>
      <c r="E1145" s="1" t="s">
        <v>3917</v>
      </c>
      <c r="F1145" s="1" t="s">
        <v>3918</v>
      </c>
      <c r="G1145" s="1" t="s">
        <v>4983</v>
      </c>
    </row>
    <row r="1146" spans="1:7" x14ac:dyDescent="0.45">
      <c r="A1146" s="1" t="s">
        <v>7144</v>
      </c>
      <c r="B1146" s="1" t="s">
        <v>7145</v>
      </c>
      <c r="C1146" s="1" t="s">
        <v>255</v>
      </c>
      <c r="D1146" s="1" t="s">
        <v>8074</v>
      </c>
      <c r="E1146" s="1" t="s">
        <v>3917</v>
      </c>
      <c r="F1146" s="1" t="s">
        <v>3918</v>
      </c>
      <c r="G1146" s="1" t="s">
        <v>4983</v>
      </c>
    </row>
    <row r="1147" spans="1:7" x14ac:dyDescent="0.45">
      <c r="A1147" s="1" t="s">
        <v>10343</v>
      </c>
      <c r="B1147" s="1" t="s">
        <v>10344</v>
      </c>
      <c r="C1147" s="1" t="s">
        <v>255</v>
      </c>
      <c r="D1147" s="1" t="s">
        <v>11424</v>
      </c>
      <c r="E1147" s="1" t="s">
        <v>3917</v>
      </c>
      <c r="F1147" s="1" t="s">
        <v>3918</v>
      </c>
      <c r="G1147" s="1" t="s">
        <v>4983</v>
      </c>
    </row>
    <row r="1148" spans="1:7" x14ac:dyDescent="0.45">
      <c r="A1148" s="1" t="s">
        <v>7146</v>
      </c>
      <c r="B1148" s="1" t="s">
        <v>7147</v>
      </c>
      <c r="C1148" s="1" t="s">
        <v>255</v>
      </c>
      <c r="D1148" s="1" t="s">
        <v>8075</v>
      </c>
      <c r="E1148" s="1" t="s">
        <v>3917</v>
      </c>
      <c r="F1148" s="1" t="s">
        <v>3918</v>
      </c>
      <c r="G1148" s="1" t="s">
        <v>4983</v>
      </c>
    </row>
    <row r="1149" spans="1:7" x14ac:dyDescent="0.45">
      <c r="A1149" s="1" t="s">
        <v>7148</v>
      </c>
      <c r="B1149" s="1" t="s">
        <v>3538</v>
      </c>
      <c r="C1149" s="1" t="s">
        <v>255</v>
      </c>
      <c r="D1149" s="1" t="s">
        <v>3538</v>
      </c>
      <c r="E1149" s="1" t="s">
        <v>3917</v>
      </c>
      <c r="F1149" s="1" t="s">
        <v>3918</v>
      </c>
      <c r="G1149" s="1" t="s">
        <v>4983</v>
      </c>
    </row>
    <row r="1150" spans="1:7" x14ac:dyDescent="0.45">
      <c r="A1150" s="1" t="s">
        <v>10345</v>
      </c>
      <c r="B1150" s="1" t="s">
        <v>10346</v>
      </c>
      <c r="C1150" s="1" t="s">
        <v>255</v>
      </c>
      <c r="D1150" s="1" t="s">
        <v>11425</v>
      </c>
      <c r="E1150" s="1" t="s">
        <v>3917</v>
      </c>
      <c r="F1150" s="1" t="s">
        <v>3918</v>
      </c>
      <c r="G1150" s="1" t="s">
        <v>4983</v>
      </c>
    </row>
    <row r="1151" spans="1:7" x14ac:dyDescent="0.45">
      <c r="A1151" s="1" t="s">
        <v>3539</v>
      </c>
      <c r="B1151" s="1" t="s">
        <v>3540</v>
      </c>
      <c r="C1151" s="1" t="s">
        <v>255</v>
      </c>
      <c r="D1151" s="1" t="s">
        <v>3541</v>
      </c>
      <c r="E1151" s="1" t="s">
        <v>3917</v>
      </c>
      <c r="F1151" s="1" t="s">
        <v>3918</v>
      </c>
      <c r="G1151" s="1" t="s">
        <v>4983</v>
      </c>
    </row>
    <row r="1152" spans="1:7" x14ac:dyDescent="0.45">
      <c r="A1152" s="1" t="s">
        <v>749</v>
      </c>
      <c r="B1152" s="1" t="s">
        <v>748</v>
      </c>
      <c r="C1152" s="1" t="s">
        <v>255</v>
      </c>
      <c r="D1152" s="1" t="s">
        <v>2739</v>
      </c>
      <c r="E1152" s="1" t="s">
        <v>3917</v>
      </c>
      <c r="F1152" s="1" t="s">
        <v>3918</v>
      </c>
      <c r="G1152" s="1" t="s">
        <v>4983</v>
      </c>
    </row>
    <row r="1153" spans="1:7" x14ac:dyDescent="0.45">
      <c r="A1153" s="1" t="s">
        <v>1564</v>
      </c>
      <c r="B1153" s="1" t="s">
        <v>747</v>
      </c>
      <c r="C1153" s="1" t="s">
        <v>255</v>
      </c>
      <c r="D1153" s="1" t="s">
        <v>2740</v>
      </c>
      <c r="E1153" s="1" t="s">
        <v>3917</v>
      </c>
      <c r="F1153" s="1" t="s">
        <v>3918</v>
      </c>
      <c r="G1153" s="1" t="s">
        <v>4983</v>
      </c>
    </row>
    <row r="1154" spans="1:7" x14ac:dyDescent="0.45">
      <c r="A1154" s="1" t="s">
        <v>10347</v>
      </c>
      <c r="B1154" s="1" t="s">
        <v>10348</v>
      </c>
      <c r="C1154" s="1" t="s">
        <v>255</v>
      </c>
      <c r="D1154" s="1" t="s">
        <v>9310</v>
      </c>
      <c r="E1154" s="1" t="s">
        <v>3917</v>
      </c>
      <c r="F1154" s="1" t="s">
        <v>3918</v>
      </c>
      <c r="G1154" s="1" t="s">
        <v>4983</v>
      </c>
    </row>
    <row r="1155" spans="1:7" x14ac:dyDescent="0.45">
      <c r="A1155" s="1" t="s">
        <v>10349</v>
      </c>
      <c r="B1155" s="1" t="s">
        <v>10350</v>
      </c>
      <c r="C1155" s="1" t="s">
        <v>255</v>
      </c>
      <c r="D1155" s="1" t="s">
        <v>11426</v>
      </c>
      <c r="E1155" s="1" t="s">
        <v>3917</v>
      </c>
      <c r="F1155" s="1" t="s">
        <v>3918</v>
      </c>
      <c r="G1155" s="1" t="s">
        <v>4983</v>
      </c>
    </row>
    <row r="1156" spans="1:7" x14ac:dyDescent="0.45">
      <c r="A1156" s="1" t="s">
        <v>7149</v>
      </c>
      <c r="B1156" s="1" t="s">
        <v>7150</v>
      </c>
      <c r="C1156" s="1" t="s">
        <v>255</v>
      </c>
      <c r="D1156" s="1" t="s">
        <v>8076</v>
      </c>
      <c r="E1156" s="1" t="s">
        <v>3917</v>
      </c>
      <c r="F1156" s="1" t="s">
        <v>3918</v>
      </c>
      <c r="G1156" s="1" t="s">
        <v>4983</v>
      </c>
    </row>
    <row r="1157" spans="1:7" x14ac:dyDescent="0.45">
      <c r="A1157" s="1" t="s">
        <v>10351</v>
      </c>
      <c r="B1157" s="1" t="s">
        <v>10352</v>
      </c>
      <c r="C1157" s="1" t="s">
        <v>255</v>
      </c>
      <c r="D1157" s="1" t="s">
        <v>11427</v>
      </c>
      <c r="E1157" s="1" t="s">
        <v>3917</v>
      </c>
      <c r="F1157" s="1" t="s">
        <v>3918</v>
      </c>
      <c r="G1157" s="1" t="s">
        <v>4983</v>
      </c>
    </row>
    <row r="1158" spans="1:7" x14ac:dyDescent="0.45">
      <c r="A1158" s="1" t="s">
        <v>744</v>
      </c>
      <c r="B1158" s="1" t="s">
        <v>743</v>
      </c>
      <c r="C1158" s="1" t="s">
        <v>255</v>
      </c>
      <c r="D1158" s="1" t="s">
        <v>2742</v>
      </c>
      <c r="E1158" s="1" t="s">
        <v>3917</v>
      </c>
      <c r="F1158" s="1" t="s">
        <v>3918</v>
      </c>
      <c r="G1158" s="1" t="s">
        <v>4983</v>
      </c>
    </row>
    <row r="1159" spans="1:7" x14ac:dyDescent="0.45">
      <c r="A1159" s="1" t="s">
        <v>10353</v>
      </c>
      <c r="B1159" s="1" t="s">
        <v>10354</v>
      </c>
      <c r="C1159" s="1" t="s">
        <v>255</v>
      </c>
      <c r="D1159" s="1" t="s">
        <v>11428</v>
      </c>
      <c r="E1159" s="1" t="s">
        <v>3917</v>
      </c>
      <c r="F1159" s="1" t="s">
        <v>3918</v>
      </c>
      <c r="G1159" s="1" t="s">
        <v>4983</v>
      </c>
    </row>
    <row r="1160" spans="1:7" x14ac:dyDescent="0.45">
      <c r="A1160" s="1" t="s">
        <v>7151</v>
      </c>
      <c r="B1160" s="1" t="s">
        <v>7152</v>
      </c>
      <c r="C1160" s="1" t="s">
        <v>255</v>
      </c>
      <c r="D1160" s="1" t="s">
        <v>8077</v>
      </c>
      <c r="E1160" s="1" t="s">
        <v>3917</v>
      </c>
      <c r="F1160" s="1" t="s">
        <v>3918</v>
      </c>
      <c r="G1160" s="1" t="s">
        <v>4983</v>
      </c>
    </row>
    <row r="1161" spans="1:7" x14ac:dyDescent="0.45">
      <c r="A1161" s="1" t="s">
        <v>742</v>
      </c>
      <c r="B1161" s="1" t="s">
        <v>741</v>
      </c>
      <c r="C1161" s="1" t="s">
        <v>255</v>
      </c>
      <c r="D1161" s="1" t="s">
        <v>2743</v>
      </c>
      <c r="E1161" s="1" t="s">
        <v>3917</v>
      </c>
      <c r="F1161" s="1" t="s">
        <v>3918</v>
      </c>
      <c r="G1161" s="1" t="s">
        <v>4983</v>
      </c>
    </row>
    <row r="1162" spans="1:7" x14ac:dyDescent="0.45">
      <c r="A1162" s="1" t="s">
        <v>740</v>
      </c>
      <c r="B1162" s="1" t="s">
        <v>739</v>
      </c>
      <c r="C1162" s="1" t="s">
        <v>255</v>
      </c>
      <c r="D1162" s="1" t="s">
        <v>2744</v>
      </c>
      <c r="E1162" s="1" t="s">
        <v>3917</v>
      </c>
      <c r="F1162" s="1" t="s">
        <v>3918</v>
      </c>
      <c r="G1162" s="1" t="s">
        <v>4983</v>
      </c>
    </row>
    <row r="1163" spans="1:7" x14ac:dyDescent="0.45">
      <c r="A1163" s="1" t="s">
        <v>1691</v>
      </c>
      <c r="B1163" s="1" t="s">
        <v>1692</v>
      </c>
      <c r="C1163" s="1" t="s">
        <v>255</v>
      </c>
      <c r="D1163" s="1" t="s">
        <v>2745</v>
      </c>
      <c r="E1163" s="1" t="s">
        <v>3917</v>
      </c>
      <c r="F1163" s="1" t="s">
        <v>3918</v>
      </c>
      <c r="G1163" s="1" t="s">
        <v>4983</v>
      </c>
    </row>
    <row r="1164" spans="1:7" x14ac:dyDescent="0.45">
      <c r="A1164" s="1" t="s">
        <v>10355</v>
      </c>
      <c r="B1164" s="1" t="s">
        <v>10356</v>
      </c>
      <c r="C1164" s="1" t="s">
        <v>255</v>
      </c>
      <c r="D1164" s="1" t="s">
        <v>11429</v>
      </c>
      <c r="E1164" s="1" t="s">
        <v>3917</v>
      </c>
      <c r="F1164" s="1" t="s">
        <v>3918</v>
      </c>
      <c r="G1164" s="1" t="s">
        <v>4983</v>
      </c>
    </row>
    <row r="1165" spans="1:7" x14ac:dyDescent="0.45">
      <c r="A1165" s="1" t="s">
        <v>1693</v>
      </c>
      <c r="B1165" s="1" t="s">
        <v>1694</v>
      </c>
      <c r="C1165" s="1" t="s">
        <v>255</v>
      </c>
      <c r="D1165" s="1" t="s">
        <v>2746</v>
      </c>
      <c r="E1165" s="1" t="s">
        <v>3919</v>
      </c>
      <c r="F1165" s="1" t="s">
        <v>3918</v>
      </c>
      <c r="G1165" s="1" t="s">
        <v>4983</v>
      </c>
    </row>
    <row r="1166" spans="1:7" x14ac:dyDescent="0.45">
      <c r="A1166" s="1" t="s">
        <v>738</v>
      </c>
      <c r="B1166" s="1" t="s">
        <v>737</v>
      </c>
      <c r="C1166" s="1" t="s">
        <v>255</v>
      </c>
      <c r="D1166" s="1" t="s">
        <v>2747</v>
      </c>
      <c r="E1166" s="1" t="s">
        <v>3917</v>
      </c>
      <c r="F1166" s="1" t="s">
        <v>3918</v>
      </c>
      <c r="G1166" s="1" t="s">
        <v>4983</v>
      </c>
    </row>
    <row r="1167" spans="1:7" x14ac:dyDescent="0.45">
      <c r="A1167" s="1" t="s">
        <v>3542</v>
      </c>
      <c r="B1167" s="1" t="s">
        <v>736</v>
      </c>
      <c r="C1167" s="1" t="s">
        <v>255</v>
      </c>
      <c r="D1167" s="1" t="s">
        <v>2748</v>
      </c>
      <c r="E1167" s="1" t="s">
        <v>3917</v>
      </c>
      <c r="F1167" s="1" t="s">
        <v>3918</v>
      </c>
      <c r="G1167" s="1" t="s">
        <v>4983</v>
      </c>
    </row>
    <row r="1168" spans="1:7" x14ac:dyDescent="0.45">
      <c r="A1168" s="1" t="s">
        <v>10357</v>
      </c>
      <c r="B1168" s="1" t="s">
        <v>10358</v>
      </c>
      <c r="C1168" s="1" t="s">
        <v>255</v>
      </c>
      <c r="D1168" s="1" t="s">
        <v>11430</v>
      </c>
      <c r="E1168" s="1" t="s">
        <v>3917</v>
      </c>
      <c r="F1168" s="1" t="s">
        <v>3918</v>
      </c>
      <c r="G1168" s="1" t="s">
        <v>4983</v>
      </c>
    </row>
    <row r="1169" spans="1:7" x14ac:dyDescent="0.45">
      <c r="A1169" s="1" t="s">
        <v>10359</v>
      </c>
      <c r="B1169" s="1" t="s">
        <v>10360</v>
      </c>
      <c r="C1169" s="1" t="s">
        <v>255</v>
      </c>
      <c r="D1169" s="1" t="s">
        <v>11431</v>
      </c>
      <c r="E1169" s="1" t="s">
        <v>3917</v>
      </c>
      <c r="F1169" s="1" t="s">
        <v>3918</v>
      </c>
      <c r="G1169" s="1" t="s">
        <v>4983</v>
      </c>
    </row>
    <row r="1170" spans="1:7" x14ac:dyDescent="0.45">
      <c r="A1170" s="1" t="s">
        <v>4206</v>
      </c>
      <c r="B1170" s="1" t="s">
        <v>4207</v>
      </c>
      <c r="C1170" s="1" t="s">
        <v>255</v>
      </c>
      <c r="D1170" s="1" t="s">
        <v>4767</v>
      </c>
      <c r="E1170" s="1" t="s">
        <v>3917</v>
      </c>
      <c r="F1170" s="1" t="s">
        <v>3918</v>
      </c>
      <c r="G1170" s="1" t="s">
        <v>4983</v>
      </c>
    </row>
    <row r="1171" spans="1:7" x14ac:dyDescent="0.45">
      <c r="A1171" s="1" t="s">
        <v>4208</v>
      </c>
      <c r="B1171" s="1" t="s">
        <v>4209</v>
      </c>
      <c r="C1171" s="1" t="s">
        <v>255</v>
      </c>
      <c r="D1171" s="1" t="s">
        <v>4768</v>
      </c>
      <c r="E1171" s="1" t="s">
        <v>3917</v>
      </c>
      <c r="F1171" s="1" t="s">
        <v>3918</v>
      </c>
      <c r="G1171" s="1" t="s">
        <v>4983</v>
      </c>
    </row>
    <row r="1172" spans="1:7" x14ac:dyDescent="0.45">
      <c r="A1172" s="1" t="s">
        <v>7153</v>
      </c>
      <c r="B1172" s="1" t="s">
        <v>7154</v>
      </c>
      <c r="C1172" s="1" t="s">
        <v>255</v>
      </c>
      <c r="D1172" s="1" t="s">
        <v>8078</v>
      </c>
      <c r="E1172" s="1" t="s">
        <v>3917</v>
      </c>
      <c r="F1172" s="1" t="s">
        <v>3918</v>
      </c>
      <c r="G1172" s="1" t="s">
        <v>4983</v>
      </c>
    </row>
    <row r="1173" spans="1:7" x14ac:dyDescent="0.45">
      <c r="A1173" s="1" t="s">
        <v>10361</v>
      </c>
      <c r="B1173" s="1" t="s">
        <v>10362</v>
      </c>
      <c r="C1173" s="1" t="s">
        <v>255</v>
      </c>
      <c r="D1173" s="1" t="s">
        <v>11432</v>
      </c>
      <c r="E1173" s="1" t="s">
        <v>3917</v>
      </c>
      <c r="F1173" s="1" t="s">
        <v>3918</v>
      </c>
      <c r="G1173" s="1" t="s">
        <v>4983</v>
      </c>
    </row>
    <row r="1174" spans="1:7" x14ac:dyDescent="0.45">
      <c r="A1174" s="1" t="s">
        <v>735</v>
      </c>
      <c r="B1174" s="1" t="s">
        <v>734</v>
      </c>
      <c r="C1174" s="1" t="s">
        <v>255</v>
      </c>
      <c r="D1174" s="1" t="s">
        <v>2749</v>
      </c>
      <c r="E1174" s="1" t="s">
        <v>3917</v>
      </c>
      <c r="F1174" s="1" t="s">
        <v>3918</v>
      </c>
      <c r="G1174" s="1" t="s">
        <v>4983</v>
      </c>
    </row>
    <row r="1175" spans="1:7" x14ac:dyDescent="0.45">
      <c r="A1175" s="1" t="s">
        <v>1695</v>
      </c>
      <c r="B1175" s="1" t="s">
        <v>1696</v>
      </c>
      <c r="C1175" s="1" t="s">
        <v>255</v>
      </c>
      <c r="D1175" s="1" t="s">
        <v>2750</v>
      </c>
      <c r="E1175" s="1" t="s">
        <v>3919</v>
      </c>
      <c r="F1175" s="1" t="s">
        <v>3918</v>
      </c>
      <c r="G1175" s="1" t="s">
        <v>4983</v>
      </c>
    </row>
    <row r="1176" spans="1:7" x14ac:dyDescent="0.45">
      <c r="A1176" s="1" t="s">
        <v>10363</v>
      </c>
      <c r="B1176" s="1" t="s">
        <v>10364</v>
      </c>
      <c r="C1176" s="1" t="s">
        <v>255</v>
      </c>
      <c r="D1176" s="1" t="s">
        <v>11433</v>
      </c>
      <c r="E1176" s="1" t="s">
        <v>3917</v>
      </c>
      <c r="F1176" s="1" t="s">
        <v>3918</v>
      </c>
      <c r="G1176" s="1" t="s">
        <v>4983</v>
      </c>
    </row>
    <row r="1177" spans="1:7" x14ac:dyDescent="0.45">
      <c r="A1177" s="1" t="s">
        <v>733</v>
      </c>
      <c r="B1177" s="1" t="s">
        <v>732</v>
      </c>
      <c r="C1177" s="1" t="s">
        <v>255</v>
      </c>
      <c r="D1177" s="1" t="s">
        <v>2751</v>
      </c>
      <c r="E1177" s="1" t="s">
        <v>3917</v>
      </c>
      <c r="F1177" s="1" t="s">
        <v>3918</v>
      </c>
      <c r="G1177" s="1" t="s">
        <v>4983</v>
      </c>
    </row>
    <row r="1178" spans="1:7" x14ac:dyDescent="0.45">
      <c r="A1178" s="1" t="s">
        <v>10365</v>
      </c>
      <c r="B1178" s="1" t="s">
        <v>10366</v>
      </c>
      <c r="C1178" s="1" t="s">
        <v>255</v>
      </c>
      <c r="D1178" s="1" t="s">
        <v>3346</v>
      </c>
      <c r="E1178" s="1" t="s">
        <v>3917</v>
      </c>
      <c r="F1178" s="1" t="s">
        <v>3918</v>
      </c>
      <c r="G1178" s="1" t="s">
        <v>4983</v>
      </c>
    </row>
    <row r="1179" spans="1:7" x14ac:dyDescent="0.45">
      <c r="A1179" s="1" t="s">
        <v>10367</v>
      </c>
      <c r="B1179" s="1" t="s">
        <v>10368</v>
      </c>
      <c r="C1179" s="1" t="s">
        <v>255</v>
      </c>
      <c r="D1179" s="1" t="s">
        <v>11434</v>
      </c>
      <c r="E1179" s="1" t="s">
        <v>3917</v>
      </c>
      <c r="F1179" s="1" t="s">
        <v>3918</v>
      </c>
      <c r="G1179" s="1" t="s">
        <v>4983</v>
      </c>
    </row>
    <row r="1180" spans="1:7" x14ac:dyDescent="0.45">
      <c r="A1180" s="1" t="s">
        <v>1697</v>
      </c>
      <c r="B1180" s="1" t="s">
        <v>1698</v>
      </c>
      <c r="C1180" s="1" t="s">
        <v>255</v>
      </c>
      <c r="D1180" s="1" t="s">
        <v>2752</v>
      </c>
      <c r="E1180" s="1" t="s">
        <v>3917</v>
      </c>
      <c r="F1180" s="1" t="s">
        <v>3918</v>
      </c>
      <c r="G1180" s="1" t="s">
        <v>4983</v>
      </c>
    </row>
    <row r="1181" spans="1:7" x14ac:dyDescent="0.45">
      <c r="A1181" s="1" t="s">
        <v>7155</v>
      </c>
      <c r="B1181" s="1" t="s">
        <v>7156</v>
      </c>
      <c r="C1181" s="1" t="s">
        <v>255</v>
      </c>
      <c r="D1181" s="1" t="s">
        <v>8079</v>
      </c>
      <c r="E1181" s="1" t="s">
        <v>3917</v>
      </c>
      <c r="F1181" s="1" t="s">
        <v>3918</v>
      </c>
      <c r="G1181" s="1" t="s">
        <v>4983</v>
      </c>
    </row>
    <row r="1182" spans="1:7" x14ac:dyDescent="0.45">
      <c r="A1182" s="1" t="s">
        <v>10369</v>
      </c>
      <c r="B1182" s="1" t="s">
        <v>10370</v>
      </c>
      <c r="C1182" s="1" t="s">
        <v>255</v>
      </c>
      <c r="D1182" s="1" t="s">
        <v>11435</v>
      </c>
      <c r="E1182" s="1" t="s">
        <v>3917</v>
      </c>
      <c r="F1182" s="1" t="s">
        <v>3918</v>
      </c>
      <c r="G1182" s="1" t="s">
        <v>4983</v>
      </c>
    </row>
    <row r="1183" spans="1:7" x14ac:dyDescent="0.45">
      <c r="A1183" s="1" t="s">
        <v>2753</v>
      </c>
      <c r="B1183" s="1" t="s">
        <v>2754</v>
      </c>
      <c r="C1183" s="1" t="s">
        <v>255</v>
      </c>
      <c r="D1183" s="1" t="s">
        <v>2755</v>
      </c>
      <c r="E1183" s="1" t="s">
        <v>3917</v>
      </c>
      <c r="F1183" s="1" t="s">
        <v>3918</v>
      </c>
      <c r="G1183" s="1" t="s">
        <v>4983</v>
      </c>
    </row>
    <row r="1184" spans="1:7" x14ac:dyDescent="0.45">
      <c r="A1184" s="1" t="s">
        <v>731</v>
      </c>
      <c r="B1184" s="1" t="s">
        <v>730</v>
      </c>
      <c r="C1184" s="1" t="s">
        <v>255</v>
      </c>
      <c r="D1184" s="1" t="s">
        <v>2756</v>
      </c>
      <c r="E1184" s="1" t="s">
        <v>3917</v>
      </c>
      <c r="F1184" s="1" t="s">
        <v>3918</v>
      </c>
      <c r="G1184" s="1" t="s">
        <v>4983</v>
      </c>
    </row>
    <row r="1185" spans="1:7" x14ac:dyDescent="0.45">
      <c r="A1185" s="1" t="s">
        <v>1699</v>
      </c>
      <c r="B1185" s="1" t="s">
        <v>1700</v>
      </c>
      <c r="C1185" s="1" t="s">
        <v>255</v>
      </c>
      <c r="D1185" s="1" t="s">
        <v>2757</v>
      </c>
      <c r="E1185" s="1" t="s">
        <v>3917</v>
      </c>
      <c r="F1185" s="1" t="s">
        <v>3918</v>
      </c>
      <c r="G1185" s="1" t="s">
        <v>4983</v>
      </c>
    </row>
    <row r="1186" spans="1:7" x14ac:dyDescent="0.45">
      <c r="A1186" s="1" t="s">
        <v>7157</v>
      </c>
      <c r="B1186" s="1" t="s">
        <v>5724</v>
      </c>
      <c r="C1186" s="1" t="s">
        <v>255</v>
      </c>
      <c r="D1186" s="1" t="s">
        <v>5725</v>
      </c>
      <c r="E1186" s="1" t="s">
        <v>3917</v>
      </c>
      <c r="F1186" s="1" t="s">
        <v>3918</v>
      </c>
      <c r="G1186" s="1" t="s">
        <v>4983</v>
      </c>
    </row>
    <row r="1187" spans="1:7" x14ac:dyDescent="0.45">
      <c r="A1187" s="1" t="s">
        <v>10371</v>
      </c>
      <c r="B1187" s="1" t="s">
        <v>10372</v>
      </c>
      <c r="C1187" s="1" t="s">
        <v>255</v>
      </c>
      <c r="D1187" s="1" t="s">
        <v>11436</v>
      </c>
      <c r="E1187" s="1" t="s">
        <v>3917</v>
      </c>
      <c r="F1187" s="1" t="s">
        <v>3918</v>
      </c>
      <c r="G1187" s="1" t="s">
        <v>4983</v>
      </c>
    </row>
    <row r="1188" spans="1:7" x14ac:dyDescent="0.45">
      <c r="A1188" s="1" t="s">
        <v>10373</v>
      </c>
      <c r="B1188" s="1" t="s">
        <v>9651</v>
      </c>
      <c r="C1188" s="1" t="s">
        <v>255</v>
      </c>
      <c r="D1188" s="1" t="s">
        <v>9652</v>
      </c>
      <c r="E1188" s="1" t="s">
        <v>3917</v>
      </c>
      <c r="F1188" s="1" t="s">
        <v>3918</v>
      </c>
      <c r="G1188" s="1" t="s">
        <v>4983</v>
      </c>
    </row>
    <row r="1189" spans="1:7" x14ac:dyDescent="0.45">
      <c r="A1189" s="1" t="s">
        <v>10374</v>
      </c>
      <c r="B1189" s="1" t="s">
        <v>10375</v>
      </c>
      <c r="C1189" s="1" t="s">
        <v>255</v>
      </c>
      <c r="D1189" s="1" t="s">
        <v>11437</v>
      </c>
      <c r="E1189" s="1" t="s">
        <v>3917</v>
      </c>
      <c r="F1189" s="1" t="s">
        <v>3918</v>
      </c>
      <c r="G1189" s="1" t="s">
        <v>4983</v>
      </c>
    </row>
    <row r="1190" spans="1:7" x14ac:dyDescent="0.45">
      <c r="A1190" s="1" t="s">
        <v>10376</v>
      </c>
      <c r="B1190" s="1" t="s">
        <v>10377</v>
      </c>
      <c r="C1190" s="1" t="s">
        <v>255</v>
      </c>
      <c r="D1190" s="1" t="s">
        <v>11438</v>
      </c>
      <c r="E1190" s="1" t="s">
        <v>3917</v>
      </c>
      <c r="F1190" s="1" t="s">
        <v>3918</v>
      </c>
      <c r="G1190" s="1" t="s">
        <v>4983</v>
      </c>
    </row>
    <row r="1191" spans="1:7" x14ac:dyDescent="0.45">
      <c r="A1191" s="1" t="s">
        <v>7158</v>
      </c>
      <c r="B1191" s="1" t="s">
        <v>5504</v>
      </c>
      <c r="C1191" s="1" t="s">
        <v>255</v>
      </c>
      <c r="D1191" s="1" t="s">
        <v>5505</v>
      </c>
      <c r="E1191" s="1" t="s">
        <v>3917</v>
      </c>
      <c r="F1191" s="1" t="s">
        <v>3918</v>
      </c>
      <c r="G1191" s="1" t="s">
        <v>4983</v>
      </c>
    </row>
    <row r="1192" spans="1:7" x14ac:dyDescent="0.45">
      <c r="A1192" s="1" t="s">
        <v>3543</v>
      </c>
      <c r="B1192" s="1" t="s">
        <v>3544</v>
      </c>
      <c r="C1192" s="1" t="s">
        <v>255</v>
      </c>
      <c r="D1192" s="1" t="s">
        <v>3545</v>
      </c>
      <c r="E1192" s="1" t="s">
        <v>3917</v>
      </c>
      <c r="F1192" s="1" t="s">
        <v>3918</v>
      </c>
      <c r="G1192" s="1" t="s">
        <v>4983</v>
      </c>
    </row>
    <row r="1193" spans="1:7" x14ac:dyDescent="0.45">
      <c r="A1193" s="1" t="s">
        <v>7159</v>
      </c>
      <c r="B1193" s="1" t="s">
        <v>7160</v>
      </c>
      <c r="C1193" s="1" t="s">
        <v>255</v>
      </c>
      <c r="D1193" s="1" t="s">
        <v>8080</v>
      </c>
      <c r="E1193" s="1" t="s">
        <v>3917</v>
      </c>
      <c r="F1193" s="1" t="s">
        <v>3918</v>
      </c>
      <c r="G1193" s="1" t="s">
        <v>4983</v>
      </c>
    </row>
    <row r="1194" spans="1:7" x14ac:dyDescent="0.45">
      <c r="A1194" s="1" t="s">
        <v>7161</v>
      </c>
      <c r="B1194" s="1" t="s">
        <v>7162</v>
      </c>
      <c r="C1194" s="1" t="s">
        <v>255</v>
      </c>
      <c r="D1194" s="1" t="s">
        <v>8081</v>
      </c>
      <c r="E1194" s="1" t="s">
        <v>3917</v>
      </c>
      <c r="F1194" s="1" t="s">
        <v>3918</v>
      </c>
      <c r="G1194" s="1" t="s">
        <v>4983</v>
      </c>
    </row>
    <row r="1195" spans="1:7" x14ac:dyDescent="0.45">
      <c r="A1195" s="1" t="s">
        <v>7163</v>
      </c>
      <c r="B1195" s="1" t="s">
        <v>7164</v>
      </c>
      <c r="C1195" s="1" t="s">
        <v>255</v>
      </c>
      <c r="D1195" s="1" t="s">
        <v>8082</v>
      </c>
      <c r="E1195" s="1" t="s">
        <v>3917</v>
      </c>
      <c r="F1195" s="1" t="s">
        <v>3918</v>
      </c>
      <c r="G1195" s="1" t="s">
        <v>4983</v>
      </c>
    </row>
    <row r="1196" spans="1:7" x14ac:dyDescent="0.45">
      <c r="A1196" s="1" t="s">
        <v>7165</v>
      </c>
      <c r="B1196" s="1" t="s">
        <v>5355</v>
      </c>
      <c r="C1196" s="1" t="s">
        <v>255</v>
      </c>
      <c r="D1196" s="1" t="s">
        <v>5356</v>
      </c>
      <c r="E1196" s="1" t="s">
        <v>3917</v>
      </c>
      <c r="F1196" s="1" t="s">
        <v>3918</v>
      </c>
      <c r="G1196" s="1" t="s">
        <v>4983</v>
      </c>
    </row>
    <row r="1197" spans="1:7" x14ac:dyDescent="0.45">
      <c r="A1197" s="1" t="s">
        <v>10378</v>
      </c>
      <c r="B1197" s="1" t="s">
        <v>10379</v>
      </c>
      <c r="C1197" s="1" t="s">
        <v>255</v>
      </c>
      <c r="D1197" s="1" t="s">
        <v>11439</v>
      </c>
      <c r="E1197" s="1" t="s">
        <v>3917</v>
      </c>
      <c r="F1197" s="1" t="s">
        <v>3918</v>
      </c>
      <c r="G1197" s="1" t="s">
        <v>4983</v>
      </c>
    </row>
    <row r="1198" spans="1:7" x14ac:dyDescent="0.45">
      <c r="A1198" s="1" t="s">
        <v>7166</v>
      </c>
      <c r="B1198" s="1" t="s">
        <v>7167</v>
      </c>
      <c r="C1198" s="1" t="s">
        <v>255</v>
      </c>
      <c r="D1198" s="1" t="s">
        <v>8083</v>
      </c>
      <c r="E1198" s="1" t="s">
        <v>3917</v>
      </c>
      <c r="F1198" s="1" t="s">
        <v>3918</v>
      </c>
      <c r="G1198" s="1" t="s">
        <v>4983</v>
      </c>
    </row>
    <row r="1199" spans="1:7" x14ac:dyDescent="0.45">
      <c r="A1199" s="1" t="s">
        <v>10380</v>
      </c>
      <c r="B1199" s="1" t="s">
        <v>10381</v>
      </c>
      <c r="C1199" s="1" t="s">
        <v>255</v>
      </c>
      <c r="D1199" s="1" t="s">
        <v>11440</v>
      </c>
      <c r="E1199" s="1" t="s">
        <v>3917</v>
      </c>
      <c r="F1199" s="1" t="s">
        <v>3918</v>
      </c>
      <c r="G1199" s="1" t="s">
        <v>4983</v>
      </c>
    </row>
    <row r="1200" spans="1:7" x14ac:dyDescent="0.45">
      <c r="A1200" s="1" t="s">
        <v>4214</v>
      </c>
      <c r="B1200" s="1" t="s">
        <v>3272</v>
      </c>
      <c r="C1200" s="1" t="s">
        <v>255</v>
      </c>
      <c r="D1200" s="1" t="s">
        <v>3273</v>
      </c>
      <c r="E1200" s="1" t="s">
        <v>3917</v>
      </c>
      <c r="F1200" s="1" t="s">
        <v>3918</v>
      </c>
      <c r="G1200" s="1" t="s">
        <v>4983</v>
      </c>
    </row>
    <row r="1201" spans="1:7" x14ac:dyDescent="0.45">
      <c r="A1201" s="1" t="s">
        <v>10382</v>
      </c>
      <c r="B1201" s="1" t="s">
        <v>10383</v>
      </c>
      <c r="C1201" s="1" t="s">
        <v>255</v>
      </c>
      <c r="D1201" s="1" t="s">
        <v>11441</v>
      </c>
      <c r="E1201" s="1" t="s">
        <v>3917</v>
      </c>
      <c r="F1201" s="1" t="s">
        <v>3918</v>
      </c>
      <c r="G1201" s="1" t="s">
        <v>4983</v>
      </c>
    </row>
    <row r="1202" spans="1:7" x14ac:dyDescent="0.45">
      <c r="A1202" s="1" t="s">
        <v>10384</v>
      </c>
      <c r="B1202" s="1" t="s">
        <v>6222</v>
      </c>
      <c r="C1202" s="1" t="s">
        <v>255</v>
      </c>
      <c r="D1202" s="1" t="s">
        <v>6223</v>
      </c>
      <c r="E1202" s="1" t="s">
        <v>3917</v>
      </c>
      <c r="F1202" s="1" t="s">
        <v>3918</v>
      </c>
      <c r="G1202" s="1" t="s">
        <v>4983</v>
      </c>
    </row>
    <row r="1203" spans="1:7" x14ac:dyDescent="0.45">
      <c r="A1203" s="1" t="s">
        <v>7168</v>
      </c>
      <c r="B1203" s="1" t="s">
        <v>7169</v>
      </c>
      <c r="C1203" s="1" t="s">
        <v>255</v>
      </c>
      <c r="D1203" s="1" t="s">
        <v>8084</v>
      </c>
      <c r="E1203" s="1" t="s">
        <v>3917</v>
      </c>
      <c r="F1203" s="1" t="s">
        <v>3918</v>
      </c>
      <c r="G1203" s="1" t="s">
        <v>4983</v>
      </c>
    </row>
    <row r="1204" spans="1:7" x14ac:dyDescent="0.45">
      <c r="A1204" s="1" t="s">
        <v>7170</v>
      </c>
      <c r="B1204" s="1" t="s">
        <v>7171</v>
      </c>
      <c r="C1204" s="1" t="s">
        <v>255</v>
      </c>
      <c r="D1204" s="1" t="s">
        <v>8085</v>
      </c>
      <c r="E1204" s="1" t="s">
        <v>3917</v>
      </c>
      <c r="F1204" s="1" t="s">
        <v>3918</v>
      </c>
      <c r="G1204" s="1" t="s">
        <v>4983</v>
      </c>
    </row>
    <row r="1205" spans="1:7" x14ac:dyDescent="0.45">
      <c r="A1205" s="1" t="s">
        <v>10385</v>
      </c>
      <c r="B1205" s="1" t="s">
        <v>5113</v>
      </c>
      <c r="C1205" s="1" t="s">
        <v>255</v>
      </c>
      <c r="D1205" s="1" t="s">
        <v>5114</v>
      </c>
      <c r="E1205" s="1" t="s">
        <v>3919</v>
      </c>
      <c r="F1205" s="1" t="s">
        <v>3918</v>
      </c>
      <c r="G1205" s="1" t="s">
        <v>4983</v>
      </c>
    </row>
    <row r="1206" spans="1:7" x14ac:dyDescent="0.45">
      <c r="A1206" s="1" t="s">
        <v>7174</v>
      </c>
      <c r="B1206" s="1" t="s">
        <v>5572</v>
      </c>
      <c r="C1206" s="1" t="s">
        <v>255</v>
      </c>
      <c r="D1206" s="1" t="s">
        <v>8087</v>
      </c>
      <c r="E1206" s="1" t="s">
        <v>3917</v>
      </c>
      <c r="F1206" s="1" t="s">
        <v>3918</v>
      </c>
      <c r="G1206" s="1" t="s">
        <v>4983</v>
      </c>
    </row>
    <row r="1207" spans="1:7" x14ac:dyDescent="0.45">
      <c r="A1207" s="1" t="s">
        <v>4215</v>
      </c>
      <c r="B1207" s="1" t="s">
        <v>4216</v>
      </c>
      <c r="C1207" s="1" t="s">
        <v>255</v>
      </c>
      <c r="D1207" s="1" t="s">
        <v>4771</v>
      </c>
      <c r="E1207" s="1" t="s">
        <v>3917</v>
      </c>
      <c r="F1207" s="1" t="s">
        <v>3918</v>
      </c>
      <c r="G1207" s="1" t="s">
        <v>4983</v>
      </c>
    </row>
    <row r="1208" spans="1:7" x14ac:dyDescent="0.45">
      <c r="A1208" s="1" t="s">
        <v>725</v>
      </c>
      <c r="B1208" s="1" t="s">
        <v>724</v>
      </c>
      <c r="C1208" s="1" t="s">
        <v>255</v>
      </c>
      <c r="D1208" s="1" t="s">
        <v>2759</v>
      </c>
      <c r="E1208" s="1" t="s">
        <v>3917</v>
      </c>
      <c r="F1208" s="1" t="s">
        <v>3918</v>
      </c>
      <c r="G1208" s="1" t="s">
        <v>4983</v>
      </c>
    </row>
    <row r="1209" spans="1:7" x14ac:dyDescent="0.45">
      <c r="A1209" s="1" t="s">
        <v>4217</v>
      </c>
      <c r="B1209" s="1" t="s">
        <v>3296</v>
      </c>
      <c r="C1209" s="1" t="s">
        <v>255</v>
      </c>
      <c r="D1209" s="1" t="s">
        <v>3297</v>
      </c>
      <c r="E1209" s="1" t="s">
        <v>3917</v>
      </c>
      <c r="F1209" s="1" t="s">
        <v>3918</v>
      </c>
      <c r="G1209" s="1" t="s">
        <v>4983</v>
      </c>
    </row>
    <row r="1210" spans="1:7" x14ac:dyDescent="0.45">
      <c r="A1210" s="1" t="s">
        <v>10386</v>
      </c>
      <c r="B1210" s="1" t="s">
        <v>10387</v>
      </c>
      <c r="C1210" s="1" t="s">
        <v>255</v>
      </c>
      <c r="D1210" s="1" t="s">
        <v>11442</v>
      </c>
      <c r="E1210" s="1" t="s">
        <v>3917</v>
      </c>
      <c r="F1210" s="1" t="s">
        <v>3918</v>
      </c>
      <c r="G1210" s="1" t="s">
        <v>4983</v>
      </c>
    </row>
    <row r="1211" spans="1:7" x14ac:dyDescent="0.45">
      <c r="A1211" s="1" t="s">
        <v>7175</v>
      </c>
      <c r="B1211" s="1" t="s">
        <v>7176</v>
      </c>
      <c r="C1211" s="1" t="s">
        <v>255</v>
      </c>
      <c r="D1211" s="1" t="s">
        <v>8088</v>
      </c>
      <c r="E1211" s="1" t="s">
        <v>3919</v>
      </c>
      <c r="F1211" s="1" t="s">
        <v>3918</v>
      </c>
      <c r="G1211" s="1" t="s">
        <v>4983</v>
      </c>
    </row>
    <row r="1212" spans="1:7" x14ac:dyDescent="0.45">
      <c r="A1212" s="1" t="s">
        <v>7177</v>
      </c>
      <c r="B1212" s="1" t="s">
        <v>5606</v>
      </c>
      <c r="C1212" s="1" t="s">
        <v>255</v>
      </c>
      <c r="D1212" s="1" t="s">
        <v>5607</v>
      </c>
      <c r="E1212" s="1" t="s">
        <v>3917</v>
      </c>
      <c r="F1212" s="1" t="s">
        <v>3918</v>
      </c>
      <c r="G1212" s="1" t="s">
        <v>4983</v>
      </c>
    </row>
    <row r="1213" spans="1:7" x14ac:dyDescent="0.45">
      <c r="A1213" s="1" t="s">
        <v>723</v>
      </c>
      <c r="B1213" s="1" t="s">
        <v>722</v>
      </c>
      <c r="C1213" s="1" t="s">
        <v>255</v>
      </c>
      <c r="D1213" s="1" t="s">
        <v>2760</v>
      </c>
      <c r="E1213" s="1" t="s">
        <v>3917</v>
      </c>
      <c r="F1213" s="1" t="s">
        <v>3918</v>
      </c>
      <c r="G1213" s="1" t="s">
        <v>4983</v>
      </c>
    </row>
    <row r="1214" spans="1:7" x14ac:dyDescent="0.45">
      <c r="A1214" s="1" t="s">
        <v>7178</v>
      </c>
      <c r="B1214" s="1" t="s">
        <v>5610</v>
      </c>
      <c r="C1214" s="1" t="s">
        <v>255</v>
      </c>
      <c r="D1214" s="1" t="s">
        <v>5611</v>
      </c>
      <c r="E1214" s="1" t="s">
        <v>3917</v>
      </c>
      <c r="F1214" s="1" t="s">
        <v>3918</v>
      </c>
      <c r="G1214" s="1" t="s">
        <v>4983</v>
      </c>
    </row>
    <row r="1215" spans="1:7" x14ac:dyDescent="0.45">
      <c r="A1215" s="1" t="s">
        <v>10388</v>
      </c>
      <c r="B1215" s="1" t="s">
        <v>5035</v>
      </c>
      <c r="C1215" s="1" t="s">
        <v>255</v>
      </c>
      <c r="D1215" s="1" t="s">
        <v>5036</v>
      </c>
      <c r="E1215" s="1" t="s">
        <v>3917</v>
      </c>
      <c r="F1215" s="1" t="s">
        <v>3918</v>
      </c>
      <c r="G1215" s="1" t="s">
        <v>4983</v>
      </c>
    </row>
    <row r="1216" spans="1:7" x14ac:dyDescent="0.45">
      <c r="A1216" s="1" t="s">
        <v>10389</v>
      </c>
      <c r="B1216" s="1" t="s">
        <v>10390</v>
      </c>
      <c r="C1216" s="1" t="s">
        <v>255</v>
      </c>
      <c r="D1216" s="1" t="s">
        <v>11443</v>
      </c>
      <c r="E1216" s="1" t="s">
        <v>3917</v>
      </c>
      <c r="F1216" s="1" t="s">
        <v>3918</v>
      </c>
      <c r="G1216" s="1" t="s">
        <v>4983</v>
      </c>
    </row>
    <row r="1217" spans="1:7" x14ac:dyDescent="0.45">
      <c r="A1217" s="1" t="s">
        <v>10391</v>
      </c>
      <c r="B1217" s="1" t="s">
        <v>10392</v>
      </c>
      <c r="C1217" s="1" t="s">
        <v>255</v>
      </c>
      <c r="D1217" s="1" t="s">
        <v>11444</v>
      </c>
      <c r="E1217" s="1" t="s">
        <v>3917</v>
      </c>
      <c r="F1217" s="1" t="s">
        <v>3918</v>
      </c>
      <c r="G1217" s="1" t="s">
        <v>4983</v>
      </c>
    </row>
    <row r="1218" spans="1:7" x14ac:dyDescent="0.45">
      <c r="A1218" s="1" t="s">
        <v>721</v>
      </c>
      <c r="B1218" s="1" t="s">
        <v>720</v>
      </c>
      <c r="C1218" s="1" t="s">
        <v>255</v>
      </c>
      <c r="D1218" s="1" t="s">
        <v>2764</v>
      </c>
      <c r="E1218" s="1" t="s">
        <v>3917</v>
      </c>
      <c r="F1218" s="1" t="s">
        <v>3918</v>
      </c>
      <c r="G1218" s="1" t="s">
        <v>4983</v>
      </c>
    </row>
    <row r="1219" spans="1:7" x14ac:dyDescent="0.45">
      <c r="A1219" s="1" t="s">
        <v>7179</v>
      </c>
      <c r="B1219" s="1" t="s">
        <v>7180</v>
      </c>
      <c r="C1219" s="1" t="s">
        <v>255</v>
      </c>
      <c r="D1219" s="1" t="s">
        <v>8089</v>
      </c>
      <c r="E1219" s="1" t="s">
        <v>3917</v>
      </c>
      <c r="F1219" s="1" t="s">
        <v>3918</v>
      </c>
      <c r="G1219" s="1" t="s">
        <v>4983</v>
      </c>
    </row>
    <row r="1220" spans="1:7" x14ac:dyDescent="0.45">
      <c r="A1220" s="1" t="s">
        <v>10393</v>
      </c>
      <c r="B1220" s="1" t="s">
        <v>10394</v>
      </c>
      <c r="C1220" s="1" t="s">
        <v>255</v>
      </c>
      <c r="D1220" s="1" t="s">
        <v>11445</v>
      </c>
      <c r="E1220" s="1" t="s">
        <v>3917</v>
      </c>
      <c r="F1220" s="1" t="s">
        <v>3918</v>
      </c>
      <c r="G1220" s="1" t="s">
        <v>4983</v>
      </c>
    </row>
    <row r="1221" spans="1:7" x14ac:dyDescent="0.45">
      <c r="A1221" s="1" t="s">
        <v>2765</v>
      </c>
      <c r="B1221" s="1" t="s">
        <v>2766</v>
      </c>
      <c r="C1221" s="1" t="s">
        <v>255</v>
      </c>
      <c r="D1221" s="1" t="s">
        <v>2767</v>
      </c>
      <c r="E1221" s="1" t="s">
        <v>3917</v>
      </c>
      <c r="F1221" s="1" t="s">
        <v>3918</v>
      </c>
      <c r="G1221" s="1" t="s">
        <v>4983</v>
      </c>
    </row>
    <row r="1222" spans="1:7" x14ac:dyDescent="0.45">
      <c r="A1222" s="1" t="s">
        <v>2768</v>
      </c>
      <c r="B1222" s="1" t="s">
        <v>2769</v>
      </c>
      <c r="C1222" s="1" t="s">
        <v>255</v>
      </c>
      <c r="D1222" s="1" t="s">
        <v>2770</v>
      </c>
      <c r="E1222" s="1" t="s">
        <v>3917</v>
      </c>
      <c r="F1222" s="1" t="s">
        <v>3918</v>
      </c>
      <c r="G1222" s="1" t="s">
        <v>4983</v>
      </c>
    </row>
    <row r="1223" spans="1:7" x14ac:dyDescent="0.45">
      <c r="A1223" s="1" t="s">
        <v>7181</v>
      </c>
      <c r="B1223" s="1" t="s">
        <v>7182</v>
      </c>
      <c r="C1223" s="1" t="s">
        <v>255</v>
      </c>
      <c r="D1223" s="1" t="s">
        <v>8090</v>
      </c>
      <c r="E1223" s="1" t="s">
        <v>3917</v>
      </c>
      <c r="F1223" s="1" t="s">
        <v>3918</v>
      </c>
      <c r="G1223" s="1" t="s">
        <v>4983</v>
      </c>
    </row>
    <row r="1224" spans="1:7" x14ac:dyDescent="0.45">
      <c r="A1224" s="1" t="s">
        <v>7183</v>
      </c>
      <c r="B1224" s="1" t="s">
        <v>5635</v>
      </c>
      <c r="C1224" s="1" t="s">
        <v>255</v>
      </c>
      <c r="D1224" s="1" t="s">
        <v>5636</v>
      </c>
      <c r="E1224" s="1" t="s">
        <v>3917</v>
      </c>
      <c r="F1224" s="1" t="s">
        <v>3918</v>
      </c>
      <c r="G1224" s="1" t="s">
        <v>4983</v>
      </c>
    </row>
    <row r="1225" spans="1:7" x14ac:dyDescent="0.45">
      <c r="A1225" s="1" t="s">
        <v>10395</v>
      </c>
      <c r="B1225" s="1" t="s">
        <v>10396</v>
      </c>
      <c r="C1225" s="1" t="s">
        <v>255</v>
      </c>
      <c r="D1225" s="1" t="s">
        <v>11446</v>
      </c>
      <c r="E1225" s="1" t="s">
        <v>3917</v>
      </c>
      <c r="F1225" s="1" t="s">
        <v>3918</v>
      </c>
      <c r="G1225" s="1" t="s">
        <v>4983</v>
      </c>
    </row>
    <row r="1226" spans="1:7" x14ac:dyDescent="0.45">
      <c r="A1226" s="1" t="s">
        <v>7184</v>
      </c>
      <c r="B1226" s="1" t="s">
        <v>7185</v>
      </c>
      <c r="C1226" s="1" t="s">
        <v>255</v>
      </c>
      <c r="D1226" s="1" t="s">
        <v>8091</v>
      </c>
      <c r="E1226" s="1" t="s">
        <v>3917</v>
      </c>
      <c r="F1226" s="1" t="s">
        <v>3918</v>
      </c>
      <c r="G1226" s="1" t="s">
        <v>4983</v>
      </c>
    </row>
    <row r="1227" spans="1:7" x14ac:dyDescent="0.45">
      <c r="A1227" s="1" t="s">
        <v>10397</v>
      </c>
      <c r="B1227" s="1" t="s">
        <v>10398</v>
      </c>
      <c r="C1227" s="1" t="s">
        <v>255</v>
      </c>
      <c r="D1227" s="1" t="s">
        <v>11447</v>
      </c>
      <c r="E1227" s="1" t="s">
        <v>3917</v>
      </c>
      <c r="F1227" s="1" t="s">
        <v>3918</v>
      </c>
      <c r="G1227" s="1" t="s">
        <v>4983</v>
      </c>
    </row>
    <row r="1228" spans="1:7" x14ac:dyDescent="0.45">
      <c r="A1228" s="1" t="s">
        <v>7186</v>
      </c>
      <c r="B1228" s="1" t="s">
        <v>7187</v>
      </c>
      <c r="C1228" s="1" t="s">
        <v>255</v>
      </c>
      <c r="D1228" s="1" t="s">
        <v>8092</v>
      </c>
      <c r="E1228" s="1" t="s">
        <v>3917</v>
      </c>
      <c r="F1228" s="1" t="s">
        <v>3918</v>
      </c>
      <c r="G1228" s="1" t="s">
        <v>4983</v>
      </c>
    </row>
    <row r="1229" spans="1:7" x14ac:dyDescent="0.45">
      <c r="A1229" s="1" t="s">
        <v>10399</v>
      </c>
      <c r="B1229" s="1" t="s">
        <v>10400</v>
      </c>
      <c r="C1229" s="1" t="s">
        <v>255</v>
      </c>
      <c r="D1229" s="1" t="s">
        <v>11448</v>
      </c>
      <c r="E1229" s="1" t="s">
        <v>3917</v>
      </c>
      <c r="F1229" s="1" t="s">
        <v>3918</v>
      </c>
      <c r="G1229" s="1" t="s">
        <v>4983</v>
      </c>
    </row>
    <row r="1230" spans="1:7" x14ac:dyDescent="0.45">
      <c r="A1230" s="1" t="s">
        <v>4218</v>
      </c>
      <c r="B1230" s="1" t="s">
        <v>4219</v>
      </c>
      <c r="C1230" s="1" t="s">
        <v>255</v>
      </c>
      <c r="D1230" s="1" t="s">
        <v>4772</v>
      </c>
      <c r="E1230" s="1" t="s">
        <v>3917</v>
      </c>
      <c r="F1230" s="1" t="s">
        <v>3918</v>
      </c>
      <c r="G1230" s="1" t="s">
        <v>4983</v>
      </c>
    </row>
    <row r="1231" spans="1:7" x14ac:dyDescent="0.45">
      <c r="A1231" s="1" t="s">
        <v>10401</v>
      </c>
      <c r="B1231" s="1" t="s">
        <v>10402</v>
      </c>
      <c r="C1231" s="1" t="s">
        <v>255</v>
      </c>
      <c r="D1231" s="1" t="s">
        <v>11449</v>
      </c>
      <c r="E1231" s="1" t="s">
        <v>3917</v>
      </c>
      <c r="F1231" s="1" t="s">
        <v>3918</v>
      </c>
      <c r="G1231" s="1" t="s">
        <v>4983</v>
      </c>
    </row>
    <row r="1232" spans="1:7" x14ac:dyDescent="0.45">
      <c r="A1232" s="1" t="s">
        <v>7192</v>
      </c>
      <c r="B1232" s="1" t="s">
        <v>7193</v>
      </c>
      <c r="C1232" s="1" t="s">
        <v>255</v>
      </c>
      <c r="D1232" s="1" t="s">
        <v>8095</v>
      </c>
      <c r="E1232" s="1" t="s">
        <v>3917</v>
      </c>
      <c r="F1232" s="1" t="s">
        <v>3918</v>
      </c>
      <c r="G1232" s="1" t="s">
        <v>4983</v>
      </c>
    </row>
    <row r="1233" spans="1:7" x14ac:dyDescent="0.45">
      <c r="A1233" s="1" t="s">
        <v>7194</v>
      </c>
      <c r="B1233" s="1" t="s">
        <v>7195</v>
      </c>
      <c r="C1233" s="1" t="s">
        <v>255</v>
      </c>
      <c r="D1233" s="1" t="s">
        <v>8096</v>
      </c>
      <c r="E1233" s="1" t="s">
        <v>3917</v>
      </c>
      <c r="F1233" s="1" t="s">
        <v>3918</v>
      </c>
      <c r="G1233" s="1" t="s">
        <v>4983</v>
      </c>
    </row>
    <row r="1234" spans="1:7" x14ac:dyDescent="0.45">
      <c r="A1234" s="1" t="s">
        <v>1703</v>
      </c>
      <c r="B1234" s="1" t="s">
        <v>1704</v>
      </c>
      <c r="C1234" s="1" t="s">
        <v>255</v>
      </c>
      <c r="D1234" s="1" t="s">
        <v>2772</v>
      </c>
      <c r="E1234" s="1" t="s">
        <v>3919</v>
      </c>
      <c r="F1234" s="1" t="s">
        <v>3918</v>
      </c>
      <c r="G1234" s="1" t="s">
        <v>4983</v>
      </c>
    </row>
    <row r="1235" spans="1:7" x14ac:dyDescent="0.45">
      <c r="A1235" s="1" t="s">
        <v>4220</v>
      </c>
      <c r="B1235" s="1" t="s">
        <v>4221</v>
      </c>
      <c r="C1235" s="1" t="s">
        <v>255</v>
      </c>
      <c r="D1235" s="1" t="s">
        <v>4773</v>
      </c>
      <c r="E1235" s="1" t="s">
        <v>3917</v>
      </c>
      <c r="F1235" s="1" t="s">
        <v>3918</v>
      </c>
      <c r="G1235" s="1" t="s">
        <v>4983</v>
      </c>
    </row>
    <row r="1236" spans="1:7" x14ac:dyDescent="0.45">
      <c r="A1236" s="1" t="s">
        <v>10403</v>
      </c>
      <c r="B1236" s="1" t="s">
        <v>10404</v>
      </c>
      <c r="C1236" s="1" t="s">
        <v>255</v>
      </c>
      <c r="D1236" s="1" t="s">
        <v>11450</v>
      </c>
      <c r="E1236" s="1" t="s">
        <v>3917</v>
      </c>
      <c r="F1236" s="1" t="s">
        <v>3918</v>
      </c>
      <c r="G1236" s="1" t="s">
        <v>4983</v>
      </c>
    </row>
    <row r="1237" spans="1:7" x14ac:dyDescent="0.45">
      <c r="A1237" s="1" t="s">
        <v>4222</v>
      </c>
      <c r="B1237" s="1" t="s">
        <v>4223</v>
      </c>
      <c r="C1237" s="1" t="s">
        <v>255</v>
      </c>
      <c r="D1237" s="1" t="s">
        <v>4774</v>
      </c>
      <c r="E1237" s="1" t="s">
        <v>3917</v>
      </c>
      <c r="F1237" s="1" t="s">
        <v>3918</v>
      </c>
      <c r="G1237" s="1" t="s">
        <v>4983</v>
      </c>
    </row>
    <row r="1238" spans="1:7" x14ac:dyDescent="0.45">
      <c r="A1238" s="1" t="s">
        <v>7196</v>
      </c>
      <c r="B1238" s="1" t="s">
        <v>7197</v>
      </c>
      <c r="C1238" s="1" t="s">
        <v>255</v>
      </c>
      <c r="D1238" s="1" t="s">
        <v>8097</v>
      </c>
      <c r="E1238" s="1" t="s">
        <v>3917</v>
      </c>
      <c r="F1238" s="1" t="s">
        <v>3918</v>
      </c>
      <c r="G1238" s="1" t="s">
        <v>4983</v>
      </c>
    </row>
    <row r="1239" spans="1:7" x14ac:dyDescent="0.45">
      <c r="A1239" s="1" t="s">
        <v>10405</v>
      </c>
      <c r="B1239" s="1" t="s">
        <v>10406</v>
      </c>
      <c r="C1239" s="1" t="s">
        <v>255</v>
      </c>
      <c r="D1239" s="1" t="s">
        <v>11451</v>
      </c>
      <c r="E1239" s="1" t="s">
        <v>3917</v>
      </c>
      <c r="F1239" s="1" t="s">
        <v>3918</v>
      </c>
      <c r="G1239" s="1" t="s">
        <v>4983</v>
      </c>
    </row>
    <row r="1240" spans="1:7" x14ac:dyDescent="0.45">
      <c r="A1240" s="1" t="s">
        <v>719</v>
      </c>
      <c r="B1240" s="1" t="s">
        <v>718</v>
      </c>
      <c r="C1240" s="1" t="s">
        <v>255</v>
      </c>
      <c r="D1240" s="1" t="s">
        <v>2773</v>
      </c>
      <c r="E1240" s="1" t="s">
        <v>3917</v>
      </c>
      <c r="F1240" s="1" t="s">
        <v>3918</v>
      </c>
      <c r="G1240" s="1" t="s">
        <v>4983</v>
      </c>
    </row>
    <row r="1241" spans="1:7" x14ac:dyDescent="0.45">
      <c r="A1241" s="1" t="s">
        <v>10407</v>
      </c>
      <c r="B1241" s="1" t="s">
        <v>10408</v>
      </c>
      <c r="C1241" s="1" t="s">
        <v>255</v>
      </c>
      <c r="D1241" s="1" t="s">
        <v>11452</v>
      </c>
      <c r="E1241" s="1" t="s">
        <v>3917</v>
      </c>
      <c r="F1241" s="1" t="s">
        <v>3918</v>
      </c>
      <c r="G1241" s="1" t="s">
        <v>4983</v>
      </c>
    </row>
    <row r="1242" spans="1:7" x14ac:dyDescent="0.45">
      <c r="A1242" s="1" t="s">
        <v>7198</v>
      </c>
      <c r="B1242" s="1" t="s">
        <v>7199</v>
      </c>
      <c r="C1242" s="1" t="s">
        <v>255</v>
      </c>
      <c r="D1242" s="1" t="s">
        <v>8098</v>
      </c>
      <c r="E1242" s="1" t="s">
        <v>3917</v>
      </c>
      <c r="F1242" s="1" t="s">
        <v>3918</v>
      </c>
      <c r="G1242" s="1" t="s">
        <v>4983</v>
      </c>
    </row>
    <row r="1243" spans="1:7" x14ac:dyDescent="0.45">
      <c r="A1243" s="1" t="s">
        <v>7200</v>
      </c>
      <c r="B1243" s="1" t="s">
        <v>7201</v>
      </c>
      <c r="C1243" s="1" t="s">
        <v>255</v>
      </c>
      <c r="D1243" s="1" t="s">
        <v>8099</v>
      </c>
      <c r="E1243" s="1" t="s">
        <v>3917</v>
      </c>
      <c r="F1243" s="1" t="s">
        <v>3918</v>
      </c>
      <c r="G1243" s="1" t="s">
        <v>4983</v>
      </c>
    </row>
    <row r="1244" spans="1:7" x14ac:dyDescent="0.45">
      <c r="A1244" s="1" t="s">
        <v>10409</v>
      </c>
      <c r="B1244" s="1" t="s">
        <v>10410</v>
      </c>
      <c r="C1244" s="1" t="s">
        <v>255</v>
      </c>
      <c r="D1244" s="1" t="s">
        <v>11453</v>
      </c>
      <c r="E1244" s="1" t="s">
        <v>3917</v>
      </c>
      <c r="F1244" s="1" t="s">
        <v>3918</v>
      </c>
      <c r="G1244" s="1" t="s">
        <v>4983</v>
      </c>
    </row>
    <row r="1245" spans="1:7" x14ac:dyDescent="0.45">
      <c r="A1245" s="1" t="s">
        <v>10411</v>
      </c>
      <c r="B1245" s="1" t="s">
        <v>10412</v>
      </c>
      <c r="C1245" s="1" t="s">
        <v>255</v>
      </c>
      <c r="D1245" s="1" t="s">
        <v>11454</v>
      </c>
      <c r="E1245" s="1" t="s">
        <v>3917</v>
      </c>
      <c r="F1245" s="1" t="s">
        <v>3918</v>
      </c>
      <c r="G1245" s="1" t="s">
        <v>4983</v>
      </c>
    </row>
    <row r="1246" spans="1:7" x14ac:dyDescent="0.45">
      <c r="A1246" s="1" t="s">
        <v>717</v>
      </c>
      <c r="B1246" s="1" t="s">
        <v>716</v>
      </c>
      <c r="C1246" s="1" t="s">
        <v>255</v>
      </c>
      <c r="D1246" s="1" t="s">
        <v>2774</v>
      </c>
      <c r="E1246" s="1" t="s">
        <v>3917</v>
      </c>
      <c r="F1246" s="1" t="s">
        <v>3918</v>
      </c>
      <c r="G1246" s="1" t="s">
        <v>4983</v>
      </c>
    </row>
    <row r="1247" spans="1:7" x14ac:dyDescent="0.45">
      <c r="A1247" s="1" t="s">
        <v>3552</v>
      </c>
      <c r="B1247" s="1" t="s">
        <v>3553</v>
      </c>
      <c r="C1247" s="1" t="s">
        <v>255</v>
      </c>
      <c r="D1247" s="1" t="s">
        <v>3554</v>
      </c>
      <c r="E1247" s="1" t="s">
        <v>3917</v>
      </c>
      <c r="F1247" s="1" t="s">
        <v>3918</v>
      </c>
      <c r="G1247" s="1" t="s">
        <v>4983</v>
      </c>
    </row>
    <row r="1248" spans="1:7" x14ac:dyDescent="0.45">
      <c r="A1248" s="1" t="s">
        <v>4224</v>
      </c>
      <c r="B1248" s="1" t="s">
        <v>4225</v>
      </c>
      <c r="C1248" s="1" t="s">
        <v>255</v>
      </c>
      <c r="D1248" s="1" t="s">
        <v>4775</v>
      </c>
      <c r="E1248" s="1" t="s">
        <v>3917</v>
      </c>
      <c r="F1248" s="1" t="s">
        <v>3918</v>
      </c>
      <c r="G1248" s="1" t="s">
        <v>4983</v>
      </c>
    </row>
    <row r="1249" spans="1:7" x14ac:dyDescent="0.45">
      <c r="A1249" s="1" t="s">
        <v>4226</v>
      </c>
      <c r="B1249" s="1" t="s">
        <v>4227</v>
      </c>
      <c r="C1249" s="1" t="s">
        <v>255</v>
      </c>
      <c r="D1249" s="1" t="s">
        <v>4776</v>
      </c>
      <c r="E1249" s="1" t="s">
        <v>3917</v>
      </c>
      <c r="F1249" s="1" t="s">
        <v>3918</v>
      </c>
      <c r="G1249" s="1" t="s">
        <v>4983</v>
      </c>
    </row>
    <row r="1250" spans="1:7" x14ac:dyDescent="0.45">
      <c r="A1250" s="1" t="s">
        <v>3555</v>
      </c>
      <c r="B1250" s="1" t="s">
        <v>3556</v>
      </c>
      <c r="C1250" s="1" t="s">
        <v>255</v>
      </c>
      <c r="D1250" s="1" t="s">
        <v>3557</v>
      </c>
      <c r="E1250" s="1" t="s">
        <v>3917</v>
      </c>
      <c r="F1250" s="1" t="s">
        <v>3918</v>
      </c>
      <c r="G1250" s="1" t="s">
        <v>4983</v>
      </c>
    </row>
    <row r="1251" spans="1:7" x14ac:dyDescent="0.45">
      <c r="A1251" s="1" t="s">
        <v>10413</v>
      </c>
      <c r="B1251" s="1" t="s">
        <v>5230</v>
      </c>
      <c r="C1251" s="1" t="s">
        <v>255</v>
      </c>
      <c r="D1251" s="1" t="s">
        <v>5231</v>
      </c>
      <c r="E1251" s="1" t="s">
        <v>3917</v>
      </c>
      <c r="F1251" s="1" t="s">
        <v>3918</v>
      </c>
      <c r="G1251" s="1" t="s">
        <v>4983</v>
      </c>
    </row>
    <row r="1252" spans="1:7" x14ac:dyDescent="0.45">
      <c r="A1252" s="1" t="s">
        <v>3558</v>
      </c>
      <c r="B1252" s="1" t="s">
        <v>3559</v>
      </c>
      <c r="C1252" s="1" t="s">
        <v>255</v>
      </c>
      <c r="D1252" s="1" t="s">
        <v>3560</v>
      </c>
      <c r="E1252" s="1" t="s">
        <v>3917</v>
      </c>
      <c r="F1252" s="1" t="s">
        <v>3918</v>
      </c>
      <c r="G1252" s="1" t="s">
        <v>4983</v>
      </c>
    </row>
    <row r="1253" spans="1:7" x14ac:dyDescent="0.45">
      <c r="A1253" s="1" t="s">
        <v>7202</v>
      </c>
      <c r="B1253" s="1" t="s">
        <v>7203</v>
      </c>
      <c r="C1253" s="1" t="s">
        <v>255</v>
      </c>
      <c r="D1253" s="1" t="s">
        <v>8101</v>
      </c>
      <c r="E1253" s="1" t="s">
        <v>3919</v>
      </c>
      <c r="F1253" s="1" t="s">
        <v>3918</v>
      </c>
      <c r="G1253" s="1" t="s">
        <v>4983</v>
      </c>
    </row>
    <row r="1254" spans="1:7" x14ac:dyDescent="0.45">
      <c r="A1254" s="1" t="s">
        <v>10414</v>
      </c>
      <c r="B1254" s="1" t="s">
        <v>5618</v>
      </c>
      <c r="C1254" s="1" t="s">
        <v>255</v>
      </c>
      <c r="D1254" s="1" t="s">
        <v>5619</v>
      </c>
      <c r="E1254" s="1" t="s">
        <v>3917</v>
      </c>
      <c r="F1254" s="1" t="s">
        <v>3918</v>
      </c>
      <c r="G1254" s="1" t="s">
        <v>4983</v>
      </c>
    </row>
    <row r="1255" spans="1:7" x14ac:dyDescent="0.45">
      <c r="A1255" s="1" t="s">
        <v>1705</v>
      </c>
      <c r="B1255" s="1" t="s">
        <v>1706</v>
      </c>
      <c r="C1255" s="1" t="s">
        <v>255</v>
      </c>
      <c r="D1255" s="1" t="s">
        <v>1859</v>
      </c>
      <c r="E1255" s="1" t="s">
        <v>3917</v>
      </c>
      <c r="F1255" s="1" t="s">
        <v>3918</v>
      </c>
      <c r="G1255" s="1" t="s">
        <v>4983</v>
      </c>
    </row>
    <row r="1256" spans="1:7" x14ac:dyDescent="0.45">
      <c r="A1256" s="1" t="s">
        <v>10415</v>
      </c>
      <c r="B1256" s="1" t="s">
        <v>10416</v>
      </c>
      <c r="C1256" s="1" t="s">
        <v>255</v>
      </c>
      <c r="D1256" s="1" t="s">
        <v>1859</v>
      </c>
      <c r="E1256" s="1" t="s">
        <v>3917</v>
      </c>
      <c r="F1256" s="1" t="s">
        <v>3918</v>
      </c>
      <c r="G1256" s="1" t="s">
        <v>4983</v>
      </c>
    </row>
    <row r="1257" spans="1:7" x14ac:dyDescent="0.45">
      <c r="A1257" s="1" t="s">
        <v>7204</v>
      </c>
      <c r="B1257" s="1" t="s">
        <v>7205</v>
      </c>
      <c r="C1257" s="1" t="s">
        <v>255</v>
      </c>
      <c r="D1257" s="1" t="s">
        <v>8102</v>
      </c>
      <c r="E1257" s="1" t="s">
        <v>3919</v>
      </c>
      <c r="F1257" s="1" t="s">
        <v>3918</v>
      </c>
      <c r="G1257" s="1" t="s">
        <v>4983</v>
      </c>
    </row>
    <row r="1258" spans="1:7" x14ac:dyDescent="0.45">
      <c r="A1258" s="1" t="s">
        <v>10417</v>
      </c>
      <c r="B1258" s="1" t="s">
        <v>10418</v>
      </c>
      <c r="C1258" s="1" t="s">
        <v>255</v>
      </c>
      <c r="D1258" s="1" t="s">
        <v>11455</v>
      </c>
      <c r="E1258" s="1" t="s">
        <v>3917</v>
      </c>
      <c r="F1258" s="1" t="s">
        <v>3918</v>
      </c>
      <c r="G1258" s="1" t="s">
        <v>4983</v>
      </c>
    </row>
    <row r="1259" spans="1:7" x14ac:dyDescent="0.45">
      <c r="A1259" s="1" t="s">
        <v>10419</v>
      </c>
      <c r="B1259" s="1" t="s">
        <v>10420</v>
      </c>
      <c r="C1259" s="1" t="s">
        <v>255</v>
      </c>
      <c r="D1259" s="1" t="s">
        <v>11456</v>
      </c>
      <c r="E1259" s="1" t="s">
        <v>3917</v>
      </c>
      <c r="F1259" s="1" t="s">
        <v>3918</v>
      </c>
      <c r="G1259" s="1" t="s">
        <v>4983</v>
      </c>
    </row>
    <row r="1260" spans="1:7" x14ac:dyDescent="0.45">
      <c r="A1260" s="1" t="s">
        <v>4228</v>
      </c>
      <c r="B1260" s="1" t="s">
        <v>4229</v>
      </c>
      <c r="C1260" s="1" t="s">
        <v>255</v>
      </c>
      <c r="D1260" s="1" t="s">
        <v>4777</v>
      </c>
      <c r="E1260" s="1" t="s">
        <v>3919</v>
      </c>
      <c r="F1260" s="1" t="s">
        <v>3918</v>
      </c>
      <c r="G1260" s="1" t="s">
        <v>4983</v>
      </c>
    </row>
    <row r="1261" spans="1:7" x14ac:dyDescent="0.45">
      <c r="A1261" s="1" t="s">
        <v>7206</v>
      </c>
      <c r="B1261" s="1" t="s">
        <v>7207</v>
      </c>
      <c r="C1261" s="1" t="s">
        <v>255</v>
      </c>
      <c r="D1261" s="1" t="s">
        <v>8103</v>
      </c>
      <c r="E1261" s="1" t="s">
        <v>3917</v>
      </c>
      <c r="F1261" s="1" t="s">
        <v>3918</v>
      </c>
      <c r="G1261" s="1" t="s">
        <v>4983</v>
      </c>
    </row>
    <row r="1262" spans="1:7" x14ac:dyDescent="0.45">
      <c r="A1262" s="1" t="s">
        <v>715</v>
      </c>
      <c r="B1262" s="1" t="s">
        <v>714</v>
      </c>
      <c r="C1262" s="1" t="s">
        <v>255</v>
      </c>
      <c r="D1262" s="1" t="s">
        <v>2776</v>
      </c>
      <c r="E1262" s="1" t="s">
        <v>3917</v>
      </c>
      <c r="F1262" s="1" t="s">
        <v>3918</v>
      </c>
      <c r="G1262" s="1" t="s">
        <v>4983</v>
      </c>
    </row>
    <row r="1263" spans="1:7" x14ac:dyDescent="0.45">
      <c r="A1263" s="1" t="s">
        <v>713</v>
      </c>
      <c r="B1263" s="1" t="s">
        <v>712</v>
      </c>
      <c r="C1263" s="1" t="s">
        <v>255</v>
      </c>
      <c r="D1263" s="1" t="s">
        <v>2777</v>
      </c>
      <c r="E1263" s="1" t="s">
        <v>3917</v>
      </c>
      <c r="F1263" s="1" t="s">
        <v>3918</v>
      </c>
      <c r="G1263" s="1" t="s">
        <v>4983</v>
      </c>
    </row>
    <row r="1264" spans="1:7" x14ac:dyDescent="0.45">
      <c r="A1264" s="1" t="s">
        <v>10421</v>
      </c>
      <c r="B1264" s="1" t="s">
        <v>10422</v>
      </c>
      <c r="C1264" s="1" t="s">
        <v>255</v>
      </c>
      <c r="D1264" s="1" t="s">
        <v>11457</v>
      </c>
      <c r="E1264" s="1" t="s">
        <v>3917</v>
      </c>
      <c r="F1264" s="1" t="s">
        <v>3918</v>
      </c>
      <c r="G1264" s="1" t="s">
        <v>4983</v>
      </c>
    </row>
    <row r="1265" spans="1:7" x14ac:dyDescent="0.45">
      <c r="A1265" s="1" t="s">
        <v>3567</v>
      </c>
      <c r="B1265" s="1" t="s">
        <v>3568</v>
      </c>
      <c r="C1265" s="1" t="s">
        <v>255</v>
      </c>
      <c r="D1265" s="1" t="s">
        <v>3569</v>
      </c>
      <c r="E1265" s="1" t="s">
        <v>3917</v>
      </c>
      <c r="F1265" s="1" t="s">
        <v>3918</v>
      </c>
      <c r="G1265" s="1" t="s">
        <v>4983</v>
      </c>
    </row>
    <row r="1266" spans="1:7" x14ac:dyDescent="0.45">
      <c r="A1266" s="1" t="s">
        <v>711</v>
      </c>
      <c r="B1266" s="1" t="s">
        <v>710</v>
      </c>
      <c r="C1266" s="1" t="s">
        <v>255</v>
      </c>
      <c r="D1266" s="1" t="s">
        <v>2778</v>
      </c>
      <c r="E1266" s="1" t="s">
        <v>3917</v>
      </c>
      <c r="F1266" s="1" t="s">
        <v>3918</v>
      </c>
      <c r="G1266" s="1" t="s">
        <v>4983</v>
      </c>
    </row>
    <row r="1267" spans="1:7" x14ac:dyDescent="0.45">
      <c r="A1267" s="1" t="s">
        <v>7208</v>
      </c>
      <c r="B1267" s="1" t="s">
        <v>5726</v>
      </c>
      <c r="C1267" s="1" t="s">
        <v>255</v>
      </c>
      <c r="D1267" s="1" t="s">
        <v>5727</v>
      </c>
      <c r="E1267" s="1" t="s">
        <v>3917</v>
      </c>
      <c r="F1267" s="1" t="s">
        <v>3918</v>
      </c>
      <c r="G1267" s="1" t="s">
        <v>4983</v>
      </c>
    </row>
    <row r="1268" spans="1:7" x14ac:dyDescent="0.45">
      <c r="A1268" s="1" t="s">
        <v>10423</v>
      </c>
      <c r="B1268" s="1" t="s">
        <v>10424</v>
      </c>
      <c r="C1268" s="1" t="s">
        <v>255</v>
      </c>
      <c r="D1268" s="1" t="s">
        <v>11458</v>
      </c>
      <c r="E1268" s="1" t="s">
        <v>3917</v>
      </c>
      <c r="F1268" s="1" t="s">
        <v>3918</v>
      </c>
      <c r="G1268" s="1" t="s">
        <v>4983</v>
      </c>
    </row>
    <row r="1269" spans="1:7" x14ac:dyDescent="0.45">
      <c r="A1269" s="1" t="s">
        <v>3570</v>
      </c>
      <c r="B1269" s="1" t="s">
        <v>3571</v>
      </c>
      <c r="C1269" s="1" t="s">
        <v>255</v>
      </c>
      <c r="D1269" s="1" t="s">
        <v>3572</v>
      </c>
      <c r="E1269" s="1" t="s">
        <v>3917</v>
      </c>
      <c r="F1269" s="1" t="s">
        <v>3918</v>
      </c>
      <c r="G1269" s="1" t="s">
        <v>4983</v>
      </c>
    </row>
    <row r="1270" spans="1:7" x14ac:dyDescent="0.45">
      <c r="A1270" s="1" t="s">
        <v>7211</v>
      </c>
      <c r="B1270" s="1" t="s">
        <v>3366</v>
      </c>
      <c r="C1270" s="1" t="s">
        <v>255</v>
      </c>
      <c r="D1270" s="1" t="s">
        <v>3367</v>
      </c>
      <c r="E1270" s="1" t="s">
        <v>3917</v>
      </c>
      <c r="F1270" s="1" t="s">
        <v>3918</v>
      </c>
      <c r="G1270" s="1" t="s">
        <v>4983</v>
      </c>
    </row>
    <row r="1271" spans="1:7" x14ac:dyDescent="0.45">
      <c r="A1271" s="1" t="s">
        <v>7212</v>
      </c>
      <c r="B1271" s="1" t="s">
        <v>7213</v>
      </c>
      <c r="C1271" s="1" t="s">
        <v>255</v>
      </c>
      <c r="D1271" s="1" t="s">
        <v>8105</v>
      </c>
      <c r="E1271" s="1" t="s">
        <v>3917</v>
      </c>
      <c r="F1271" s="1" t="s">
        <v>3918</v>
      </c>
      <c r="G1271" s="1" t="s">
        <v>4983</v>
      </c>
    </row>
    <row r="1272" spans="1:7" x14ac:dyDescent="0.45">
      <c r="A1272" s="1" t="s">
        <v>4230</v>
      </c>
      <c r="B1272" s="1" t="s">
        <v>4231</v>
      </c>
      <c r="C1272" s="1" t="s">
        <v>255</v>
      </c>
      <c r="D1272" s="1" t="s">
        <v>4778</v>
      </c>
      <c r="E1272" s="1" t="s">
        <v>3919</v>
      </c>
      <c r="F1272" s="1" t="s">
        <v>3918</v>
      </c>
      <c r="G1272" s="1" t="s">
        <v>4983</v>
      </c>
    </row>
    <row r="1273" spans="1:7" x14ac:dyDescent="0.45">
      <c r="A1273" s="1" t="s">
        <v>7214</v>
      </c>
      <c r="B1273" s="1" t="s">
        <v>5519</v>
      </c>
      <c r="C1273" s="1" t="s">
        <v>255</v>
      </c>
      <c r="D1273" s="1" t="s">
        <v>5520</v>
      </c>
      <c r="E1273" s="1" t="s">
        <v>3917</v>
      </c>
      <c r="F1273" s="1" t="s">
        <v>3918</v>
      </c>
      <c r="G1273" s="1" t="s">
        <v>4983</v>
      </c>
    </row>
    <row r="1274" spans="1:7" x14ac:dyDescent="0.45">
      <c r="A1274" s="1" t="s">
        <v>10425</v>
      </c>
      <c r="B1274" s="1" t="s">
        <v>10426</v>
      </c>
      <c r="C1274" s="1" t="s">
        <v>255</v>
      </c>
      <c r="D1274" s="1" t="s">
        <v>11459</v>
      </c>
      <c r="E1274" s="1" t="s">
        <v>3917</v>
      </c>
      <c r="F1274" s="1" t="s">
        <v>3918</v>
      </c>
      <c r="G1274" s="1" t="s">
        <v>4983</v>
      </c>
    </row>
    <row r="1275" spans="1:7" x14ac:dyDescent="0.45">
      <c r="A1275" s="1" t="s">
        <v>10427</v>
      </c>
      <c r="B1275" s="1" t="s">
        <v>10428</v>
      </c>
      <c r="C1275" s="1" t="s">
        <v>255</v>
      </c>
      <c r="D1275" s="1" t="s">
        <v>5234</v>
      </c>
      <c r="E1275" s="1" t="s">
        <v>3917</v>
      </c>
      <c r="F1275" s="1" t="s">
        <v>3918</v>
      </c>
      <c r="G1275" s="1" t="s">
        <v>4983</v>
      </c>
    </row>
    <row r="1276" spans="1:7" x14ac:dyDescent="0.45">
      <c r="A1276" s="1" t="s">
        <v>10429</v>
      </c>
      <c r="B1276" s="1" t="s">
        <v>5188</v>
      </c>
      <c r="C1276" s="1" t="s">
        <v>255</v>
      </c>
      <c r="D1276" s="1" t="s">
        <v>5189</v>
      </c>
      <c r="E1276" s="1" t="s">
        <v>3917</v>
      </c>
      <c r="F1276" s="1" t="s">
        <v>3918</v>
      </c>
      <c r="G1276" s="1" t="s">
        <v>4983</v>
      </c>
    </row>
    <row r="1277" spans="1:7" x14ac:dyDescent="0.45">
      <c r="A1277" s="1" t="s">
        <v>10430</v>
      </c>
      <c r="B1277" s="1" t="s">
        <v>6735</v>
      </c>
      <c r="C1277" s="1" t="s">
        <v>255</v>
      </c>
      <c r="D1277" s="1" t="s">
        <v>6736</v>
      </c>
      <c r="E1277" s="1" t="s">
        <v>3917</v>
      </c>
      <c r="F1277" s="1" t="s">
        <v>3918</v>
      </c>
      <c r="G1277" s="1" t="s">
        <v>4983</v>
      </c>
    </row>
    <row r="1278" spans="1:7" x14ac:dyDescent="0.45">
      <c r="A1278" s="1" t="s">
        <v>3573</v>
      </c>
      <c r="B1278" s="1" t="s">
        <v>3574</v>
      </c>
      <c r="C1278" s="1" t="s">
        <v>255</v>
      </c>
      <c r="D1278" s="1" t="s">
        <v>2779</v>
      </c>
      <c r="E1278" s="1" t="s">
        <v>3917</v>
      </c>
      <c r="F1278" s="1" t="s">
        <v>3918</v>
      </c>
      <c r="G1278" s="1" t="s">
        <v>4983</v>
      </c>
    </row>
    <row r="1279" spans="1:7" x14ac:dyDescent="0.45">
      <c r="A1279" s="1" t="s">
        <v>4232</v>
      </c>
      <c r="B1279" s="1" t="s">
        <v>4233</v>
      </c>
      <c r="C1279" s="1" t="s">
        <v>255</v>
      </c>
      <c r="D1279" s="1" t="s">
        <v>4779</v>
      </c>
      <c r="E1279" s="1" t="s">
        <v>3917</v>
      </c>
      <c r="F1279" s="1" t="s">
        <v>3918</v>
      </c>
      <c r="G1279" s="1" t="s">
        <v>4983</v>
      </c>
    </row>
    <row r="1280" spans="1:7" x14ac:dyDescent="0.45">
      <c r="A1280" s="1" t="s">
        <v>10431</v>
      </c>
      <c r="B1280" s="1" t="s">
        <v>10432</v>
      </c>
      <c r="C1280" s="1" t="s">
        <v>255</v>
      </c>
      <c r="D1280" s="1" t="s">
        <v>11460</v>
      </c>
      <c r="E1280" s="1" t="s">
        <v>3917</v>
      </c>
      <c r="F1280" s="1" t="s">
        <v>3918</v>
      </c>
      <c r="G1280" s="1" t="s">
        <v>4983</v>
      </c>
    </row>
    <row r="1281" spans="1:7" x14ac:dyDescent="0.45">
      <c r="A1281" s="1" t="s">
        <v>10433</v>
      </c>
      <c r="B1281" s="1" t="s">
        <v>5525</v>
      </c>
      <c r="C1281" s="1" t="s">
        <v>255</v>
      </c>
      <c r="D1281" s="1" t="s">
        <v>11461</v>
      </c>
      <c r="E1281" s="1" t="s">
        <v>3917</v>
      </c>
      <c r="F1281" s="1" t="s">
        <v>3918</v>
      </c>
      <c r="G1281" s="1" t="s">
        <v>4983</v>
      </c>
    </row>
    <row r="1282" spans="1:7" x14ac:dyDescent="0.45">
      <c r="A1282" s="1" t="s">
        <v>7215</v>
      </c>
      <c r="B1282" s="1" t="s">
        <v>7216</v>
      </c>
      <c r="C1282" s="1" t="s">
        <v>255</v>
      </c>
      <c r="D1282" s="1" t="s">
        <v>8106</v>
      </c>
      <c r="E1282" s="1" t="s">
        <v>3917</v>
      </c>
      <c r="F1282" s="1" t="s">
        <v>3918</v>
      </c>
      <c r="G1282" s="1" t="s">
        <v>4983</v>
      </c>
    </row>
    <row r="1283" spans="1:7" x14ac:dyDescent="0.45">
      <c r="A1283" s="1" t="s">
        <v>709</v>
      </c>
      <c r="B1283" s="1" t="s">
        <v>708</v>
      </c>
      <c r="C1283" s="1" t="s">
        <v>255</v>
      </c>
      <c r="D1283" s="1" t="s">
        <v>2780</v>
      </c>
      <c r="E1283" s="1" t="s">
        <v>3917</v>
      </c>
      <c r="F1283" s="1" t="s">
        <v>3918</v>
      </c>
      <c r="G1283" s="1" t="s">
        <v>4983</v>
      </c>
    </row>
    <row r="1284" spans="1:7" x14ac:dyDescent="0.45">
      <c r="A1284" s="1" t="s">
        <v>707</v>
      </c>
      <c r="B1284" s="1" t="s">
        <v>706</v>
      </c>
      <c r="C1284" s="1" t="s">
        <v>255</v>
      </c>
      <c r="D1284" s="1" t="s">
        <v>2781</v>
      </c>
      <c r="E1284" s="1" t="s">
        <v>3917</v>
      </c>
      <c r="F1284" s="1" t="s">
        <v>3918</v>
      </c>
      <c r="G1284" s="1" t="s">
        <v>4983</v>
      </c>
    </row>
    <row r="1285" spans="1:7" x14ac:dyDescent="0.45">
      <c r="A1285" s="1" t="s">
        <v>4234</v>
      </c>
      <c r="B1285" s="1" t="s">
        <v>4235</v>
      </c>
      <c r="C1285" s="1" t="s">
        <v>255</v>
      </c>
      <c r="D1285" s="1" t="s">
        <v>4780</v>
      </c>
      <c r="E1285" s="1" t="s">
        <v>3917</v>
      </c>
      <c r="F1285" s="1" t="s">
        <v>3918</v>
      </c>
      <c r="G1285" s="1" t="s">
        <v>4983</v>
      </c>
    </row>
    <row r="1286" spans="1:7" x14ac:dyDescent="0.45">
      <c r="A1286" s="1" t="s">
        <v>7217</v>
      </c>
      <c r="B1286" s="1" t="s">
        <v>7218</v>
      </c>
      <c r="C1286" s="1" t="s">
        <v>255</v>
      </c>
      <c r="D1286" s="1" t="s">
        <v>8107</v>
      </c>
      <c r="E1286" s="1" t="s">
        <v>3917</v>
      </c>
      <c r="F1286" s="1" t="s">
        <v>3918</v>
      </c>
      <c r="G1286" s="1" t="s">
        <v>4983</v>
      </c>
    </row>
    <row r="1287" spans="1:7" x14ac:dyDescent="0.45">
      <c r="A1287" s="1" t="s">
        <v>10434</v>
      </c>
      <c r="B1287" s="1" t="s">
        <v>10435</v>
      </c>
      <c r="C1287" s="1" t="s">
        <v>255</v>
      </c>
      <c r="D1287" s="1" t="s">
        <v>11462</v>
      </c>
      <c r="E1287" s="1" t="s">
        <v>3917</v>
      </c>
      <c r="F1287" s="1" t="s">
        <v>3918</v>
      </c>
      <c r="G1287" s="1" t="s">
        <v>4983</v>
      </c>
    </row>
    <row r="1288" spans="1:7" x14ac:dyDescent="0.45">
      <c r="A1288" s="1" t="s">
        <v>705</v>
      </c>
      <c r="B1288" s="1" t="s">
        <v>704</v>
      </c>
      <c r="C1288" s="1" t="s">
        <v>255</v>
      </c>
      <c r="D1288" s="1" t="s">
        <v>2782</v>
      </c>
      <c r="E1288" s="1" t="s">
        <v>3917</v>
      </c>
      <c r="F1288" s="1" t="s">
        <v>3918</v>
      </c>
      <c r="G1288" s="1" t="s">
        <v>4983</v>
      </c>
    </row>
    <row r="1289" spans="1:7" x14ac:dyDescent="0.45">
      <c r="A1289" s="1" t="s">
        <v>10436</v>
      </c>
      <c r="B1289" s="1" t="s">
        <v>10437</v>
      </c>
      <c r="C1289" s="1" t="s">
        <v>255</v>
      </c>
      <c r="D1289" s="1" t="s">
        <v>11463</v>
      </c>
      <c r="E1289" s="1" t="s">
        <v>3917</v>
      </c>
      <c r="F1289" s="1" t="s">
        <v>3918</v>
      </c>
      <c r="G1289" s="1" t="s">
        <v>4983</v>
      </c>
    </row>
    <row r="1290" spans="1:7" x14ac:dyDescent="0.45">
      <c r="A1290" s="1" t="s">
        <v>4236</v>
      </c>
      <c r="B1290" s="1" t="s">
        <v>4237</v>
      </c>
      <c r="C1290" s="1" t="s">
        <v>255</v>
      </c>
      <c r="D1290" s="1" t="s">
        <v>4781</v>
      </c>
      <c r="E1290" s="1" t="s">
        <v>3917</v>
      </c>
      <c r="F1290" s="1" t="s">
        <v>3918</v>
      </c>
      <c r="G1290" s="1" t="s">
        <v>4983</v>
      </c>
    </row>
    <row r="1291" spans="1:7" x14ac:dyDescent="0.45">
      <c r="A1291" s="1" t="s">
        <v>10438</v>
      </c>
      <c r="B1291" s="1" t="s">
        <v>10439</v>
      </c>
      <c r="C1291" s="1" t="s">
        <v>255</v>
      </c>
      <c r="D1291" s="1" t="s">
        <v>11464</v>
      </c>
      <c r="E1291" s="1" t="s">
        <v>3917</v>
      </c>
      <c r="F1291" s="1" t="s">
        <v>3918</v>
      </c>
      <c r="G1291" s="1" t="s">
        <v>4983</v>
      </c>
    </row>
    <row r="1292" spans="1:7" x14ac:dyDescent="0.45">
      <c r="A1292" s="1" t="s">
        <v>703</v>
      </c>
      <c r="B1292" s="1" t="s">
        <v>7219</v>
      </c>
      <c r="C1292" s="1" t="s">
        <v>255</v>
      </c>
      <c r="D1292" s="1" t="s">
        <v>2783</v>
      </c>
      <c r="E1292" s="1" t="s">
        <v>3917</v>
      </c>
      <c r="F1292" s="1" t="s">
        <v>3918</v>
      </c>
      <c r="G1292" s="1" t="s">
        <v>4983</v>
      </c>
    </row>
    <row r="1293" spans="1:7" x14ac:dyDescent="0.45">
      <c r="A1293" s="1" t="s">
        <v>10440</v>
      </c>
      <c r="B1293" s="1" t="s">
        <v>5172</v>
      </c>
      <c r="C1293" s="1" t="s">
        <v>255</v>
      </c>
      <c r="D1293" s="1" t="s">
        <v>5173</v>
      </c>
      <c r="E1293" s="1" t="s">
        <v>3917</v>
      </c>
      <c r="F1293" s="1" t="s">
        <v>3918</v>
      </c>
      <c r="G1293" s="1" t="s">
        <v>4983</v>
      </c>
    </row>
    <row r="1294" spans="1:7" x14ac:dyDescent="0.45">
      <c r="A1294" s="1" t="s">
        <v>7220</v>
      </c>
      <c r="B1294" s="1" t="s">
        <v>7221</v>
      </c>
      <c r="C1294" s="1" t="s">
        <v>255</v>
      </c>
      <c r="D1294" s="1" t="s">
        <v>8108</v>
      </c>
      <c r="E1294" s="1" t="s">
        <v>3917</v>
      </c>
      <c r="F1294" s="1" t="s">
        <v>3918</v>
      </c>
      <c r="G1294" s="1" t="s">
        <v>4983</v>
      </c>
    </row>
    <row r="1295" spans="1:7" x14ac:dyDescent="0.45">
      <c r="A1295" s="1" t="s">
        <v>10441</v>
      </c>
      <c r="B1295" s="1" t="s">
        <v>10442</v>
      </c>
      <c r="C1295" s="1" t="s">
        <v>255</v>
      </c>
      <c r="D1295" s="1" t="s">
        <v>11465</v>
      </c>
      <c r="E1295" s="1" t="s">
        <v>3917</v>
      </c>
      <c r="F1295" s="1" t="s">
        <v>3918</v>
      </c>
      <c r="G1295" s="1" t="s">
        <v>4983</v>
      </c>
    </row>
    <row r="1296" spans="1:7" x14ac:dyDescent="0.45">
      <c r="A1296" s="1" t="s">
        <v>10443</v>
      </c>
      <c r="B1296" s="1" t="s">
        <v>6671</v>
      </c>
      <c r="C1296" s="1" t="s">
        <v>255</v>
      </c>
      <c r="D1296" s="1" t="s">
        <v>6672</v>
      </c>
      <c r="E1296" s="1" t="s">
        <v>3917</v>
      </c>
      <c r="F1296" s="1" t="s">
        <v>3918</v>
      </c>
      <c r="G1296" s="1" t="s">
        <v>4983</v>
      </c>
    </row>
    <row r="1297" spans="1:7" x14ac:dyDescent="0.45">
      <c r="A1297" s="1" t="s">
        <v>10444</v>
      </c>
      <c r="B1297" s="1" t="s">
        <v>10445</v>
      </c>
      <c r="C1297" s="1" t="s">
        <v>255</v>
      </c>
      <c r="D1297" s="1" t="s">
        <v>11466</v>
      </c>
      <c r="E1297" s="1" t="s">
        <v>3917</v>
      </c>
      <c r="F1297" s="1" t="s">
        <v>3918</v>
      </c>
      <c r="G1297" s="1" t="s">
        <v>4983</v>
      </c>
    </row>
    <row r="1298" spans="1:7" x14ac:dyDescent="0.45">
      <c r="A1298" s="1" t="s">
        <v>4238</v>
      </c>
      <c r="B1298" s="1" t="s">
        <v>3372</v>
      </c>
      <c r="C1298" s="1" t="s">
        <v>255</v>
      </c>
      <c r="D1298" s="1" t="s">
        <v>3373</v>
      </c>
      <c r="E1298" s="1" t="s">
        <v>3917</v>
      </c>
      <c r="F1298" s="1" t="s">
        <v>3918</v>
      </c>
      <c r="G1298" s="1" t="s">
        <v>4983</v>
      </c>
    </row>
    <row r="1299" spans="1:7" x14ac:dyDescent="0.45">
      <c r="A1299" s="1" t="s">
        <v>1709</v>
      </c>
      <c r="B1299" s="1" t="s">
        <v>1710</v>
      </c>
      <c r="C1299" s="1" t="s">
        <v>255</v>
      </c>
      <c r="D1299" s="1" t="s">
        <v>2784</v>
      </c>
      <c r="E1299" s="1" t="s">
        <v>3917</v>
      </c>
      <c r="F1299" s="1" t="s">
        <v>3918</v>
      </c>
      <c r="G1299" s="1" t="s">
        <v>4983</v>
      </c>
    </row>
    <row r="1300" spans="1:7" x14ac:dyDescent="0.45">
      <c r="A1300" s="1" t="s">
        <v>7222</v>
      </c>
      <c r="B1300" s="1" t="s">
        <v>7223</v>
      </c>
      <c r="C1300" s="1" t="s">
        <v>255</v>
      </c>
      <c r="D1300" s="1" t="s">
        <v>8109</v>
      </c>
      <c r="E1300" s="1" t="s">
        <v>3917</v>
      </c>
      <c r="F1300" s="1" t="s">
        <v>3918</v>
      </c>
      <c r="G1300" s="1" t="s">
        <v>4983</v>
      </c>
    </row>
    <row r="1301" spans="1:7" x14ac:dyDescent="0.45">
      <c r="A1301" s="1" t="s">
        <v>10446</v>
      </c>
      <c r="B1301" s="1" t="s">
        <v>10447</v>
      </c>
      <c r="C1301" s="1" t="s">
        <v>255</v>
      </c>
      <c r="D1301" s="1" t="s">
        <v>11467</v>
      </c>
      <c r="E1301" s="1" t="s">
        <v>3917</v>
      </c>
      <c r="F1301" s="1" t="s">
        <v>3918</v>
      </c>
      <c r="G1301" s="1" t="s">
        <v>4983</v>
      </c>
    </row>
    <row r="1302" spans="1:7" x14ac:dyDescent="0.45">
      <c r="A1302" s="1" t="s">
        <v>1711</v>
      </c>
      <c r="B1302" s="1" t="s">
        <v>1712</v>
      </c>
      <c r="C1302" s="1" t="s">
        <v>255</v>
      </c>
      <c r="D1302" s="1" t="s">
        <v>2785</v>
      </c>
      <c r="E1302" s="1" t="s">
        <v>3919</v>
      </c>
      <c r="F1302" s="1" t="s">
        <v>3918</v>
      </c>
      <c r="G1302" s="1" t="s">
        <v>4983</v>
      </c>
    </row>
    <row r="1303" spans="1:7" x14ac:dyDescent="0.45">
      <c r="A1303" s="1" t="s">
        <v>4239</v>
      </c>
      <c r="B1303" s="1" t="s">
        <v>4240</v>
      </c>
      <c r="C1303" s="1" t="s">
        <v>255</v>
      </c>
      <c r="D1303" s="1" t="s">
        <v>4782</v>
      </c>
      <c r="E1303" s="1" t="s">
        <v>3917</v>
      </c>
      <c r="F1303" s="1" t="s">
        <v>3918</v>
      </c>
      <c r="G1303" s="1" t="s">
        <v>4983</v>
      </c>
    </row>
    <row r="1304" spans="1:7" x14ac:dyDescent="0.45">
      <c r="A1304" s="1" t="s">
        <v>700</v>
      </c>
      <c r="B1304" s="1" t="s">
        <v>699</v>
      </c>
      <c r="C1304" s="1" t="s">
        <v>255</v>
      </c>
      <c r="D1304" s="1" t="s">
        <v>2786</v>
      </c>
      <c r="E1304" s="1" t="s">
        <v>3917</v>
      </c>
      <c r="F1304" s="1" t="s">
        <v>3918</v>
      </c>
      <c r="G1304" s="1" t="s">
        <v>4983</v>
      </c>
    </row>
    <row r="1305" spans="1:7" x14ac:dyDescent="0.45">
      <c r="A1305" s="1" t="s">
        <v>3575</v>
      </c>
      <c r="B1305" s="1" t="s">
        <v>3576</v>
      </c>
      <c r="C1305" s="1" t="s">
        <v>255</v>
      </c>
      <c r="D1305" s="1" t="s">
        <v>3577</v>
      </c>
      <c r="E1305" s="1" t="s">
        <v>3917</v>
      </c>
      <c r="F1305" s="1" t="s">
        <v>3918</v>
      </c>
      <c r="G1305" s="1" t="s">
        <v>4983</v>
      </c>
    </row>
    <row r="1306" spans="1:7" x14ac:dyDescent="0.45">
      <c r="A1306" s="1" t="s">
        <v>698</v>
      </c>
      <c r="B1306" s="1" t="s">
        <v>697</v>
      </c>
      <c r="C1306" s="1" t="s">
        <v>255</v>
      </c>
      <c r="D1306" s="1" t="s">
        <v>2787</v>
      </c>
      <c r="E1306" s="1" t="s">
        <v>3917</v>
      </c>
      <c r="F1306" s="1" t="s">
        <v>3918</v>
      </c>
      <c r="G1306" s="1" t="s">
        <v>4983</v>
      </c>
    </row>
    <row r="1307" spans="1:7" x14ac:dyDescent="0.45">
      <c r="A1307" s="1" t="s">
        <v>10448</v>
      </c>
      <c r="B1307" s="1" t="s">
        <v>10449</v>
      </c>
      <c r="C1307" s="1" t="s">
        <v>255</v>
      </c>
      <c r="D1307" s="1" t="s">
        <v>11468</v>
      </c>
      <c r="E1307" s="1" t="s">
        <v>3917</v>
      </c>
      <c r="F1307" s="1" t="s">
        <v>3918</v>
      </c>
      <c r="G1307" s="1" t="s">
        <v>4983</v>
      </c>
    </row>
    <row r="1308" spans="1:7" x14ac:dyDescent="0.45">
      <c r="A1308" s="1" t="s">
        <v>3578</v>
      </c>
      <c r="B1308" s="1" t="s">
        <v>3579</v>
      </c>
      <c r="C1308" s="1" t="s">
        <v>255</v>
      </c>
      <c r="D1308" s="1" t="s">
        <v>3580</v>
      </c>
      <c r="E1308" s="1" t="s">
        <v>3917</v>
      </c>
      <c r="F1308" s="1" t="s">
        <v>3918</v>
      </c>
      <c r="G1308" s="1" t="s">
        <v>4983</v>
      </c>
    </row>
    <row r="1309" spans="1:7" x14ac:dyDescent="0.45">
      <c r="A1309" s="1" t="s">
        <v>10450</v>
      </c>
      <c r="B1309" s="1" t="s">
        <v>10451</v>
      </c>
      <c r="C1309" s="1" t="s">
        <v>255</v>
      </c>
      <c r="D1309" s="1" t="s">
        <v>11469</v>
      </c>
      <c r="E1309" s="1" t="s">
        <v>3917</v>
      </c>
      <c r="F1309" s="1" t="s">
        <v>3918</v>
      </c>
      <c r="G1309" s="1" t="s">
        <v>4983</v>
      </c>
    </row>
    <row r="1310" spans="1:7" x14ac:dyDescent="0.45">
      <c r="A1310" s="1" t="s">
        <v>696</v>
      </c>
      <c r="B1310" s="1" t="s">
        <v>695</v>
      </c>
      <c r="C1310" s="1" t="s">
        <v>255</v>
      </c>
      <c r="D1310" s="1" t="s">
        <v>2788</v>
      </c>
      <c r="E1310" s="1" t="s">
        <v>3917</v>
      </c>
      <c r="F1310" s="1" t="s">
        <v>3918</v>
      </c>
      <c r="G1310" s="1" t="s">
        <v>4983</v>
      </c>
    </row>
    <row r="1311" spans="1:7" x14ac:dyDescent="0.45">
      <c r="A1311" s="1" t="s">
        <v>10452</v>
      </c>
      <c r="B1311" s="1" t="s">
        <v>10453</v>
      </c>
      <c r="C1311" s="1" t="s">
        <v>255</v>
      </c>
      <c r="D1311" s="1" t="s">
        <v>11470</v>
      </c>
      <c r="E1311" s="1" t="s">
        <v>3917</v>
      </c>
      <c r="F1311" s="1" t="s">
        <v>3918</v>
      </c>
      <c r="G1311" s="1" t="s">
        <v>4983</v>
      </c>
    </row>
    <row r="1312" spans="1:7" x14ac:dyDescent="0.45">
      <c r="A1312" s="1" t="s">
        <v>7224</v>
      </c>
      <c r="B1312" s="1" t="s">
        <v>7225</v>
      </c>
      <c r="C1312" s="1" t="s">
        <v>255</v>
      </c>
      <c r="D1312" s="1" t="s">
        <v>8110</v>
      </c>
      <c r="E1312" s="1" t="s">
        <v>3917</v>
      </c>
      <c r="F1312" s="1" t="s">
        <v>3918</v>
      </c>
      <c r="G1312" s="1" t="s">
        <v>4983</v>
      </c>
    </row>
    <row r="1313" spans="1:7" x14ac:dyDescent="0.45">
      <c r="A1313" s="1" t="s">
        <v>7226</v>
      </c>
      <c r="B1313" s="1" t="s">
        <v>7227</v>
      </c>
      <c r="C1313" s="1" t="s">
        <v>255</v>
      </c>
      <c r="D1313" s="1" t="s">
        <v>8111</v>
      </c>
      <c r="E1313" s="1" t="s">
        <v>3917</v>
      </c>
      <c r="F1313" s="1" t="s">
        <v>3918</v>
      </c>
      <c r="G1313" s="1" t="s">
        <v>4983</v>
      </c>
    </row>
    <row r="1314" spans="1:7" x14ac:dyDescent="0.45">
      <c r="A1314" s="1" t="s">
        <v>10454</v>
      </c>
      <c r="B1314" s="1" t="s">
        <v>10455</v>
      </c>
      <c r="C1314" s="1" t="s">
        <v>255</v>
      </c>
      <c r="D1314" s="1" t="s">
        <v>11471</v>
      </c>
      <c r="E1314" s="1" t="s">
        <v>3917</v>
      </c>
      <c r="F1314" s="1" t="s">
        <v>3918</v>
      </c>
      <c r="G1314" s="1" t="s">
        <v>4983</v>
      </c>
    </row>
    <row r="1315" spans="1:7" x14ac:dyDescent="0.45">
      <c r="A1315" s="1" t="s">
        <v>4241</v>
      </c>
      <c r="B1315" s="1" t="s">
        <v>3337</v>
      </c>
      <c r="C1315" s="1" t="s">
        <v>255</v>
      </c>
      <c r="D1315" s="1" t="s">
        <v>3338</v>
      </c>
      <c r="E1315" s="1" t="s">
        <v>3917</v>
      </c>
      <c r="F1315" s="1" t="s">
        <v>3918</v>
      </c>
      <c r="G1315" s="1" t="s">
        <v>4983</v>
      </c>
    </row>
    <row r="1316" spans="1:7" x14ac:dyDescent="0.45">
      <c r="A1316" s="1" t="s">
        <v>10456</v>
      </c>
      <c r="B1316" s="1" t="s">
        <v>10457</v>
      </c>
      <c r="C1316" s="1" t="s">
        <v>255</v>
      </c>
      <c r="D1316" s="1" t="s">
        <v>11472</v>
      </c>
      <c r="E1316" s="1" t="s">
        <v>3919</v>
      </c>
      <c r="F1316" s="1" t="s">
        <v>3918</v>
      </c>
      <c r="G1316" s="1" t="s">
        <v>4983</v>
      </c>
    </row>
    <row r="1317" spans="1:7" x14ac:dyDescent="0.45">
      <c r="A1317" s="1" t="s">
        <v>7228</v>
      </c>
      <c r="B1317" s="1" t="s">
        <v>7229</v>
      </c>
      <c r="C1317" s="1" t="s">
        <v>255</v>
      </c>
      <c r="D1317" s="1" t="s">
        <v>8112</v>
      </c>
      <c r="E1317" s="1" t="s">
        <v>3917</v>
      </c>
      <c r="F1317" s="1" t="s">
        <v>3918</v>
      </c>
      <c r="G1317" s="1" t="s">
        <v>4983</v>
      </c>
    </row>
    <row r="1318" spans="1:7" x14ac:dyDescent="0.45">
      <c r="A1318" s="1" t="s">
        <v>10458</v>
      </c>
      <c r="B1318" s="1" t="s">
        <v>10459</v>
      </c>
      <c r="C1318" s="1" t="s">
        <v>255</v>
      </c>
      <c r="D1318" s="1" t="s">
        <v>11473</v>
      </c>
      <c r="E1318" s="1" t="s">
        <v>3917</v>
      </c>
      <c r="F1318" s="1" t="s">
        <v>3918</v>
      </c>
      <c r="G1318" s="1" t="s">
        <v>4983</v>
      </c>
    </row>
    <row r="1319" spans="1:7" x14ac:dyDescent="0.45">
      <c r="A1319" s="1" t="s">
        <v>10460</v>
      </c>
      <c r="B1319" s="1" t="s">
        <v>10461</v>
      </c>
      <c r="C1319" s="1" t="s">
        <v>255</v>
      </c>
      <c r="D1319" s="1" t="s">
        <v>11474</v>
      </c>
      <c r="E1319" s="1" t="s">
        <v>3917</v>
      </c>
      <c r="F1319" s="1" t="s">
        <v>3918</v>
      </c>
      <c r="G1319" s="1" t="s">
        <v>4983</v>
      </c>
    </row>
    <row r="1320" spans="1:7" x14ac:dyDescent="0.45">
      <c r="A1320" s="1" t="s">
        <v>7230</v>
      </c>
      <c r="B1320" s="1" t="s">
        <v>7231</v>
      </c>
      <c r="C1320" s="1" t="s">
        <v>255</v>
      </c>
      <c r="D1320" s="1" t="s">
        <v>8113</v>
      </c>
      <c r="E1320" s="1" t="s">
        <v>3917</v>
      </c>
      <c r="F1320" s="1" t="s">
        <v>3918</v>
      </c>
      <c r="G1320" s="1" t="s">
        <v>4983</v>
      </c>
    </row>
    <row r="1321" spans="1:7" x14ac:dyDescent="0.45">
      <c r="A1321" s="1" t="s">
        <v>10462</v>
      </c>
      <c r="B1321" s="1" t="s">
        <v>10463</v>
      </c>
      <c r="C1321" s="1" t="s">
        <v>255</v>
      </c>
      <c r="D1321" s="1" t="s">
        <v>11475</v>
      </c>
      <c r="E1321" s="1" t="s">
        <v>3917</v>
      </c>
      <c r="F1321" s="1" t="s">
        <v>3918</v>
      </c>
      <c r="G1321" s="1" t="s">
        <v>4983</v>
      </c>
    </row>
    <row r="1322" spans="1:7" x14ac:dyDescent="0.45">
      <c r="A1322" s="1" t="s">
        <v>2792</v>
      </c>
      <c r="B1322" s="1" t="s">
        <v>2793</v>
      </c>
      <c r="C1322" s="1" t="s">
        <v>255</v>
      </c>
      <c r="D1322" s="1" t="s">
        <v>2794</v>
      </c>
      <c r="E1322" s="1" t="s">
        <v>3917</v>
      </c>
      <c r="F1322" s="1" t="s">
        <v>3918</v>
      </c>
      <c r="G1322" s="1" t="s">
        <v>4983</v>
      </c>
    </row>
    <row r="1323" spans="1:7" x14ac:dyDescent="0.45">
      <c r="A1323" s="1" t="s">
        <v>10464</v>
      </c>
      <c r="B1323" s="1" t="s">
        <v>10465</v>
      </c>
      <c r="C1323" s="1" t="s">
        <v>255</v>
      </c>
      <c r="D1323" s="1" t="s">
        <v>11476</v>
      </c>
      <c r="E1323" s="1" t="s">
        <v>3917</v>
      </c>
      <c r="F1323" s="1" t="s">
        <v>3918</v>
      </c>
      <c r="G1323" s="1" t="s">
        <v>4983</v>
      </c>
    </row>
    <row r="1324" spans="1:7" x14ac:dyDescent="0.45">
      <c r="A1324" s="1" t="s">
        <v>10466</v>
      </c>
      <c r="B1324" s="1" t="s">
        <v>10467</v>
      </c>
      <c r="C1324" s="1" t="s">
        <v>255</v>
      </c>
      <c r="D1324" s="1" t="s">
        <v>11477</v>
      </c>
      <c r="E1324" s="1" t="s">
        <v>3917</v>
      </c>
      <c r="F1324" s="1" t="s">
        <v>3918</v>
      </c>
      <c r="G1324" s="1" t="s">
        <v>4983</v>
      </c>
    </row>
    <row r="1325" spans="1:7" x14ac:dyDescent="0.45">
      <c r="A1325" s="1" t="s">
        <v>7232</v>
      </c>
      <c r="B1325" s="1" t="s">
        <v>7233</v>
      </c>
      <c r="C1325" s="1" t="s">
        <v>255</v>
      </c>
      <c r="D1325" s="1" t="s">
        <v>8114</v>
      </c>
      <c r="E1325" s="1" t="s">
        <v>3917</v>
      </c>
      <c r="F1325" s="1" t="s">
        <v>3918</v>
      </c>
      <c r="G1325" s="1" t="s">
        <v>4983</v>
      </c>
    </row>
    <row r="1326" spans="1:7" x14ac:dyDescent="0.45">
      <c r="A1326" s="1" t="s">
        <v>10468</v>
      </c>
      <c r="B1326" s="1" t="s">
        <v>10469</v>
      </c>
      <c r="C1326" s="1" t="s">
        <v>255</v>
      </c>
      <c r="D1326" s="1" t="s">
        <v>11478</v>
      </c>
      <c r="E1326" s="1" t="s">
        <v>3917</v>
      </c>
      <c r="F1326" s="1" t="s">
        <v>3918</v>
      </c>
      <c r="G1326" s="1" t="s">
        <v>4983</v>
      </c>
    </row>
    <row r="1327" spans="1:7" x14ac:dyDescent="0.45">
      <c r="A1327" s="1" t="s">
        <v>7234</v>
      </c>
      <c r="B1327" s="1" t="s">
        <v>5709</v>
      </c>
      <c r="C1327" s="1" t="s">
        <v>255</v>
      </c>
      <c r="D1327" s="1" t="s">
        <v>5710</v>
      </c>
      <c r="E1327" s="1" t="s">
        <v>3919</v>
      </c>
      <c r="F1327" s="1" t="s">
        <v>3918</v>
      </c>
      <c r="G1327" s="1" t="s">
        <v>4983</v>
      </c>
    </row>
    <row r="1328" spans="1:7" x14ac:dyDescent="0.45">
      <c r="A1328" s="1" t="s">
        <v>10470</v>
      </c>
      <c r="B1328" s="1" t="s">
        <v>10471</v>
      </c>
      <c r="C1328" s="1" t="s">
        <v>255</v>
      </c>
      <c r="D1328" s="1" t="s">
        <v>11479</v>
      </c>
      <c r="E1328" s="1" t="s">
        <v>3917</v>
      </c>
      <c r="F1328" s="1" t="s">
        <v>3918</v>
      </c>
      <c r="G1328" s="1" t="s">
        <v>4983</v>
      </c>
    </row>
    <row r="1329" spans="1:7" x14ac:dyDescent="0.45">
      <c r="A1329" s="1" t="s">
        <v>7235</v>
      </c>
      <c r="B1329" s="1" t="s">
        <v>7236</v>
      </c>
      <c r="C1329" s="1" t="s">
        <v>255</v>
      </c>
      <c r="D1329" s="1" t="s">
        <v>8115</v>
      </c>
      <c r="E1329" s="1" t="s">
        <v>3917</v>
      </c>
      <c r="F1329" s="1" t="s">
        <v>3918</v>
      </c>
      <c r="G1329" s="1" t="s">
        <v>4983</v>
      </c>
    </row>
    <row r="1330" spans="1:7" x14ac:dyDescent="0.45">
      <c r="A1330" s="1" t="s">
        <v>10472</v>
      </c>
      <c r="B1330" s="1" t="s">
        <v>10473</v>
      </c>
      <c r="C1330" s="1" t="s">
        <v>255</v>
      </c>
      <c r="D1330" s="1" t="s">
        <v>11480</v>
      </c>
      <c r="E1330" s="1" t="s">
        <v>3919</v>
      </c>
      <c r="F1330" s="1" t="s">
        <v>3918</v>
      </c>
      <c r="G1330" s="1" t="s">
        <v>4983</v>
      </c>
    </row>
    <row r="1331" spans="1:7" x14ac:dyDescent="0.45">
      <c r="A1331" s="1" t="s">
        <v>7237</v>
      </c>
      <c r="B1331" s="1" t="s">
        <v>7238</v>
      </c>
      <c r="C1331" s="1" t="s">
        <v>255</v>
      </c>
      <c r="D1331" s="1" t="s">
        <v>8116</v>
      </c>
      <c r="E1331" s="1" t="s">
        <v>3917</v>
      </c>
      <c r="F1331" s="1" t="s">
        <v>3918</v>
      </c>
      <c r="G1331" s="1" t="s">
        <v>4983</v>
      </c>
    </row>
    <row r="1332" spans="1:7" x14ac:dyDescent="0.45">
      <c r="A1332" s="1" t="s">
        <v>10474</v>
      </c>
      <c r="B1332" s="1" t="s">
        <v>10475</v>
      </c>
      <c r="C1332" s="1" t="s">
        <v>255</v>
      </c>
      <c r="D1332" s="1" t="s">
        <v>11481</v>
      </c>
      <c r="E1332" s="1" t="s">
        <v>3917</v>
      </c>
      <c r="F1332" s="1" t="s">
        <v>3918</v>
      </c>
      <c r="G1332" s="1" t="s">
        <v>4983</v>
      </c>
    </row>
    <row r="1333" spans="1:7" x14ac:dyDescent="0.45">
      <c r="A1333" s="1" t="s">
        <v>2795</v>
      </c>
      <c r="B1333" s="1" t="s">
        <v>2796</v>
      </c>
      <c r="C1333" s="1" t="s">
        <v>255</v>
      </c>
      <c r="D1333" s="1" t="s">
        <v>2797</v>
      </c>
      <c r="E1333" s="1" t="s">
        <v>3917</v>
      </c>
      <c r="F1333" s="1" t="s">
        <v>3918</v>
      </c>
      <c r="G1333" s="1" t="s">
        <v>4983</v>
      </c>
    </row>
    <row r="1334" spans="1:7" x14ac:dyDescent="0.45">
      <c r="A1334" s="1" t="s">
        <v>7239</v>
      </c>
      <c r="B1334" s="1" t="s">
        <v>5441</v>
      </c>
      <c r="C1334" s="1" t="s">
        <v>255</v>
      </c>
      <c r="D1334" s="1" t="s">
        <v>5442</v>
      </c>
      <c r="E1334" s="1" t="s">
        <v>3917</v>
      </c>
      <c r="F1334" s="1" t="s">
        <v>3918</v>
      </c>
      <c r="G1334" s="1" t="s">
        <v>4983</v>
      </c>
    </row>
    <row r="1335" spans="1:7" x14ac:dyDescent="0.45">
      <c r="A1335" s="1" t="s">
        <v>7240</v>
      </c>
      <c r="B1335" s="1" t="s">
        <v>7241</v>
      </c>
      <c r="C1335" s="1" t="s">
        <v>255</v>
      </c>
      <c r="D1335" s="1" t="s">
        <v>8117</v>
      </c>
      <c r="E1335" s="1" t="s">
        <v>3917</v>
      </c>
      <c r="F1335" s="1" t="s">
        <v>3918</v>
      </c>
      <c r="G1335" s="1" t="s">
        <v>4983</v>
      </c>
    </row>
    <row r="1336" spans="1:7" x14ac:dyDescent="0.45">
      <c r="A1336" s="1" t="s">
        <v>2798</v>
      </c>
      <c r="B1336" s="1" t="s">
        <v>2799</v>
      </c>
      <c r="C1336" s="1" t="s">
        <v>255</v>
      </c>
      <c r="D1336" s="1" t="s">
        <v>2800</v>
      </c>
      <c r="E1336" s="1" t="s">
        <v>3917</v>
      </c>
      <c r="F1336" s="1" t="s">
        <v>3918</v>
      </c>
      <c r="G1336" s="1" t="s">
        <v>4983</v>
      </c>
    </row>
    <row r="1337" spans="1:7" x14ac:dyDescent="0.45">
      <c r="A1337" s="1" t="s">
        <v>10476</v>
      </c>
      <c r="B1337" s="1" t="s">
        <v>10477</v>
      </c>
      <c r="C1337" s="1" t="s">
        <v>255</v>
      </c>
      <c r="D1337" s="1" t="s">
        <v>11482</v>
      </c>
      <c r="E1337" s="1" t="s">
        <v>3917</v>
      </c>
      <c r="F1337" s="1" t="s">
        <v>3918</v>
      </c>
      <c r="G1337" s="1" t="s">
        <v>4983</v>
      </c>
    </row>
    <row r="1338" spans="1:7" x14ac:dyDescent="0.45">
      <c r="A1338" s="1" t="s">
        <v>10478</v>
      </c>
      <c r="B1338" s="1" t="s">
        <v>10479</v>
      </c>
      <c r="C1338" s="1" t="s">
        <v>255</v>
      </c>
      <c r="D1338" s="1" t="s">
        <v>11483</v>
      </c>
      <c r="E1338" s="1" t="s">
        <v>3919</v>
      </c>
      <c r="F1338" s="1" t="s">
        <v>3918</v>
      </c>
      <c r="G1338" s="1" t="s">
        <v>4983</v>
      </c>
    </row>
    <row r="1339" spans="1:7" x14ac:dyDescent="0.45">
      <c r="A1339" s="1" t="s">
        <v>3581</v>
      </c>
      <c r="B1339" s="1" t="s">
        <v>3582</v>
      </c>
      <c r="C1339" s="1" t="s">
        <v>255</v>
      </c>
      <c r="D1339" s="1" t="s">
        <v>3583</v>
      </c>
      <c r="E1339" s="1" t="s">
        <v>3917</v>
      </c>
      <c r="F1339" s="1" t="s">
        <v>3918</v>
      </c>
      <c r="G1339" s="1" t="s">
        <v>4983</v>
      </c>
    </row>
    <row r="1340" spans="1:7" x14ac:dyDescent="0.45">
      <c r="A1340" s="1" t="s">
        <v>7244</v>
      </c>
      <c r="B1340" s="1" t="s">
        <v>7245</v>
      </c>
      <c r="C1340" s="1" t="s">
        <v>255</v>
      </c>
      <c r="D1340" s="1" t="s">
        <v>8119</v>
      </c>
      <c r="E1340" s="1" t="s">
        <v>3917</v>
      </c>
      <c r="F1340" s="1" t="s">
        <v>3918</v>
      </c>
      <c r="G1340" s="1" t="s">
        <v>4983</v>
      </c>
    </row>
    <row r="1341" spans="1:7" x14ac:dyDescent="0.45">
      <c r="A1341" s="1" t="s">
        <v>10480</v>
      </c>
      <c r="B1341" s="1" t="s">
        <v>10481</v>
      </c>
      <c r="C1341" s="1" t="s">
        <v>255</v>
      </c>
      <c r="D1341" s="1" t="s">
        <v>11484</v>
      </c>
      <c r="E1341" s="1" t="s">
        <v>3917</v>
      </c>
      <c r="F1341" s="1" t="s">
        <v>3918</v>
      </c>
      <c r="G1341" s="1" t="s">
        <v>4983</v>
      </c>
    </row>
    <row r="1342" spans="1:7" x14ac:dyDescent="0.45">
      <c r="A1342" s="1" t="s">
        <v>2804</v>
      </c>
      <c r="B1342" s="1" t="s">
        <v>2805</v>
      </c>
      <c r="C1342" s="1" t="s">
        <v>255</v>
      </c>
      <c r="D1342" s="1" t="s">
        <v>2806</v>
      </c>
      <c r="E1342" s="1" t="s">
        <v>3917</v>
      </c>
      <c r="F1342" s="1" t="s">
        <v>3918</v>
      </c>
      <c r="G1342" s="1" t="s">
        <v>4983</v>
      </c>
    </row>
    <row r="1343" spans="1:7" x14ac:dyDescent="0.45">
      <c r="A1343" s="1" t="s">
        <v>692</v>
      </c>
      <c r="B1343" s="1" t="s">
        <v>691</v>
      </c>
      <c r="C1343" s="1" t="s">
        <v>255</v>
      </c>
      <c r="D1343" s="1" t="s">
        <v>2807</v>
      </c>
      <c r="E1343" s="1" t="s">
        <v>3917</v>
      </c>
      <c r="F1343" s="1" t="s">
        <v>3918</v>
      </c>
      <c r="G1343" s="1" t="s">
        <v>4983</v>
      </c>
    </row>
    <row r="1344" spans="1:7" x14ac:dyDescent="0.45">
      <c r="A1344" s="1" t="s">
        <v>7246</v>
      </c>
      <c r="B1344" s="1" t="s">
        <v>7247</v>
      </c>
      <c r="C1344" s="1" t="s">
        <v>255</v>
      </c>
      <c r="D1344" s="1" t="s">
        <v>8120</v>
      </c>
      <c r="E1344" s="1" t="s">
        <v>3917</v>
      </c>
      <c r="F1344" s="1" t="s">
        <v>3918</v>
      </c>
      <c r="G1344" s="1" t="s">
        <v>4983</v>
      </c>
    </row>
    <row r="1345" spans="1:7" x14ac:dyDescent="0.45">
      <c r="A1345" s="1" t="s">
        <v>7248</v>
      </c>
      <c r="B1345" s="1" t="s">
        <v>7249</v>
      </c>
      <c r="C1345" s="1" t="s">
        <v>255</v>
      </c>
      <c r="D1345" s="1" t="s">
        <v>8121</v>
      </c>
      <c r="E1345" s="1" t="s">
        <v>3917</v>
      </c>
      <c r="F1345" s="1" t="s">
        <v>3918</v>
      </c>
      <c r="G1345" s="1" t="s">
        <v>4983</v>
      </c>
    </row>
    <row r="1346" spans="1:7" x14ac:dyDescent="0.45">
      <c r="A1346" s="1" t="s">
        <v>690</v>
      </c>
      <c r="B1346" s="1" t="s">
        <v>689</v>
      </c>
      <c r="C1346" s="1" t="s">
        <v>255</v>
      </c>
      <c r="D1346" s="1" t="s">
        <v>2808</v>
      </c>
      <c r="E1346" s="1" t="s">
        <v>3917</v>
      </c>
      <c r="F1346" s="1" t="s">
        <v>3918</v>
      </c>
      <c r="G1346" s="1" t="s">
        <v>4983</v>
      </c>
    </row>
    <row r="1347" spans="1:7" x14ac:dyDescent="0.45">
      <c r="A1347" s="1" t="s">
        <v>688</v>
      </c>
      <c r="B1347" s="1" t="s">
        <v>687</v>
      </c>
      <c r="C1347" s="1" t="s">
        <v>255</v>
      </c>
      <c r="D1347" s="1" t="s">
        <v>2809</v>
      </c>
      <c r="E1347" s="1" t="s">
        <v>3917</v>
      </c>
      <c r="F1347" s="1" t="s">
        <v>3918</v>
      </c>
      <c r="G1347" s="1" t="s">
        <v>4983</v>
      </c>
    </row>
    <row r="1348" spans="1:7" x14ac:dyDescent="0.45">
      <c r="A1348" s="1" t="s">
        <v>1713</v>
      </c>
      <c r="B1348" s="1" t="s">
        <v>1714</v>
      </c>
      <c r="C1348" s="1" t="s">
        <v>255</v>
      </c>
      <c r="D1348" s="1" t="s">
        <v>2810</v>
      </c>
      <c r="E1348" s="1" t="s">
        <v>3917</v>
      </c>
      <c r="F1348" s="1" t="s">
        <v>3918</v>
      </c>
      <c r="G1348" s="1" t="s">
        <v>4983</v>
      </c>
    </row>
    <row r="1349" spans="1:7" x14ac:dyDescent="0.45">
      <c r="A1349" s="1" t="s">
        <v>3584</v>
      </c>
      <c r="B1349" s="1" t="s">
        <v>3585</v>
      </c>
      <c r="C1349" s="1" t="s">
        <v>255</v>
      </c>
      <c r="D1349" s="1" t="s">
        <v>2324</v>
      </c>
      <c r="E1349" s="1" t="s">
        <v>3917</v>
      </c>
      <c r="F1349" s="1" t="s">
        <v>3918</v>
      </c>
      <c r="G1349" s="1" t="s">
        <v>4983</v>
      </c>
    </row>
    <row r="1350" spans="1:7" x14ac:dyDescent="0.45">
      <c r="A1350" s="1" t="s">
        <v>4244</v>
      </c>
      <c r="B1350" s="1" t="s">
        <v>4245</v>
      </c>
      <c r="C1350" s="1" t="s">
        <v>255</v>
      </c>
      <c r="D1350" s="1" t="s">
        <v>4784</v>
      </c>
      <c r="E1350" s="1" t="s">
        <v>3917</v>
      </c>
      <c r="F1350" s="1" t="s">
        <v>3918</v>
      </c>
      <c r="G1350" s="1" t="s">
        <v>4983</v>
      </c>
    </row>
    <row r="1351" spans="1:7" x14ac:dyDescent="0.45">
      <c r="A1351" s="1" t="s">
        <v>10482</v>
      </c>
      <c r="B1351" s="1" t="s">
        <v>5280</v>
      </c>
      <c r="C1351" s="1" t="s">
        <v>255</v>
      </c>
      <c r="D1351" s="1" t="s">
        <v>5281</v>
      </c>
      <c r="E1351" s="1" t="s">
        <v>3917</v>
      </c>
      <c r="F1351" s="1" t="s">
        <v>3918</v>
      </c>
      <c r="G1351" s="1" t="s">
        <v>4983</v>
      </c>
    </row>
    <row r="1352" spans="1:7" x14ac:dyDescent="0.45">
      <c r="A1352" s="1" t="s">
        <v>686</v>
      </c>
      <c r="B1352" s="1" t="s">
        <v>685</v>
      </c>
      <c r="C1352" s="1" t="s">
        <v>255</v>
      </c>
      <c r="D1352" s="1" t="s">
        <v>2811</v>
      </c>
      <c r="E1352" s="1" t="s">
        <v>3917</v>
      </c>
      <c r="F1352" s="1" t="s">
        <v>3918</v>
      </c>
      <c r="G1352" s="1" t="s">
        <v>4983</v>
      </c>
    </row>
    <row r="1353" spans="1:7" x14ac:dyDescent="0.45">
      <c r="A1353" s="1" t="s">
        <v>3586</v>
      </c>
      <c r="B1353" s="1" t="s">
        <v>3587</v>
      </c>
      <c r="C1353" s="1" t="s">
        <v>255</v>
      </c>
      <c r="D1353" s="1" t="s">
        <v>3588</v>
      </c>
      <c r="E1353" s="1" t="s">
        <v>3917</v>
      </c>
      <c r="F1353" s="1" t="s">
        <v>3918</v>
      </c>
      <c r="G1353" s="1" t="s">
        <v>4983</v>
      </c>
    </row>
    <row r="1354" spans="1:7" x14ac:dyDescent="0.45">
      <c r="A1354" s="1" t="s">
        <v>10483</v>
      </c>
      <c r="B1354" s="1" t="s">
        <v>5697</v>
      </c>
      <c r="C1354" s="1" t="s">
        <v>255</v>
      </c>
      <c r="D1354" s="1" t="s">
        <v>5698</v>
      </c>
      <c r="E1354" s="1" t="s">
        <v>3917</v>
      </c>
      <c r="F1354" s="1" t="s">
        <v>3918</v>
      </c>
      <c r="G1354" s="1" t="s">
        <v>4983</v>
      </c>
    </row>
    <row r="1355" spans="1:7" x14ac:dyDescent="0.45">
      <c r="A1355" s="1" t="s">
        <v>3589</v>
      </c>
      <c r="B1355" s="1" t="s">
        <v>3590</v>
      </c>
      <c r="C1355" s="1" t="s">
        <v>255</v>
      </c>
      <c r="D1355" s="1" t="s">
        <v>3591</v>
      </c>
      <c r="E1355" s="1" t="s">
        <v>3917</v>
      </c>
      <c r="F1355" s="1" t="s">
        <v>3918</v>
      </c>
      <c r="G1355" s="1" t="s">
        <v>4983</v>
      </c>
    </row>
    <row r="1356" spans="1:7" x14ac:dyDescent="0.45">
      <c r="A1356" s="1" t="s">
        <v>7250</v>
      </c>
      <c r="B1356" s="1" t="s">
        <v>5641</v>
      </c>
      <c r="C1356" s="1" t="s">
        <v>255</v>
      </c>
      <c r="D1356" s="1" t="s">
        <v>5642</v>
      </c>
      <c r="E1356" s="1" t="s">
        <v>3917</v>
      </c>
      <c r="F1356" s="1" t="s">
        <v>3918</v>
      </c>
      <c r="G1356" s="1" t="s">
        <v>4983</v>
      </c>
    </row>
    <row r="1357" spans="1:7" x14ac:dyDescent="0.45">
      <c r="A1357" s="1" t="s">
        <v>684</v>
      </c>
      <c r="B1357" s="1" t="s">
        <v>683</v>
      </c>
      <c r="C1357" s="1" t="s">
        <v>255</v>
      </c>
      <c r="D1357" s="1" t="s">
        <v>2812</v>
      </c>
      <c r="E1357" s="1" t="s">
        <v>3917</v>
      </c>
      <c r="F1357" s="1" t="s">
        <v>3918</v>
      </c>
      <c r="G1357" s="1" t="s">
        <v>4983</v>
      </c>
    </row>
    <row r="1358" spans="1:7" x14ac:dyDescent="0.45">
      <c r="A1358" s="1" t="s">
        <v>7251</v>
      </c>
      <c r="B1358" s="1" t="s">
        <v>7252</v>
      </c>
      <c r="C1358" s="1" t="s">
        <v>255</v>
      </c>
      <c r="D1358" s="1" t="s">
        <v>8122</v>
      </c>
      <c r="E1358" s="1" t="s">
        <v>3917</v>
      </c>
      <c r="F1358" s="1" t="s">
        <v>3918</v>
      </c>
      <c r="G1358" s="1" t="s">
        <v>4983</v>
      </c>
    </row>
    <row r="1359" spans="1:7" x14ac:dyDescent="0.45">
      <c r="A1359" s="1" t="s">
        <v>4248</v>
      </c>
      <c r="B1359" s="1" t="s">
        <v>4249</v>
      </c>
      <c r="C1359" s="1" t="s">
        <v>255</v>
      </c>
      <c r="D1359" s="1" t="s">
        <v>4786</v>
      </c>
      <c r="E1359" s="1" t="s">
        <v>3917</v>
      </c>
      <c r="F1359" s="1" t="s">
        <v>3918</v>
      </c>
      <c r="G1359" s="1" t="s">
        <v>4983</v>
      </c>
    </row>
    <row r="1360" spans="1:7" x14ac:dyDescent="0.45">
      <c r="A1360" s="1" t="s">
        <v>10484</v>
      </c>
      <c r="B1360" s="1" t="s">
        <v>10485</v>
      </c>
      <c r="C1360" s="1" t="s">
        <v>255</v>
      </c>
      <c r="D1360" s="1" t="s">
        <v>11485</v>
      </c>
      <c r="E1360" s="1" t="s">
        <v>3917</v>
      </c>
      <c r="F1360" s="1" t="s">
        <v>3918</v>
      </c>
      <c r="G1360" s="1" t="s">
        <v>4983</v>
      </c>
    </row>
    <row r="1361" spans="1:7" x14ac:dyDescent="0.45">
      <c r="A1361" s="1" t="s">
        <v>4250</v>
      </c>
      <c r="B1361" s="1" t="s">
        <v>4251</v>
      </c>
      <c r="C1361" s="1" t="s">
        <v>255</v>
      </c>
      <c r="D1361" s="1" t="s">
        <v>4787</v>
      </c>
      <c r="E1361" s="1" t="s">
        <v>3917</v>
      </c>
      <c r="F1361" s="1" t="s">
        <v>3918</v>
      </c>
      <c r="G1361" s="1" t="s">
        <v>4983</v>
      </c>
    </row>
    <row r="1362" spans="1:7" x14ac:dyDescent="0.45">
      <c r="A1362" s="1" t="s">
        <v>7253</v>
      </c>
      <c r="B1362" s="1" t="s">
        <v>7254</v>
      </c>
      <c r="C1362" s="1" t="s">
        <v>255</v>
      </c>
      <c r="D1362" s="1" t="s">
        <v>8123</v>
      </c>
      <c r="E1362" s="1" t="s">
        <v>3917</v>
      </c>
      <c r="F1362" s="1" t="s">
        <v>3918</v>
      </c>
      <c r="G1362" s="1" t="s">
        <v>4983</v>
      </c>
    </row>
    <row r="1363" spans="1:7" x14ac:dyDescent="0.45">
      <c r="A1363" s="1" t="s">
        <v>7255</v>
      </c>
      <c r="B1363" s="1" t="s">
        <v>7256</v>
      </c>
      <c r="C1363" s="1" t="s">
        <v>255</v>
      </c>
      <c r="D1363" s="1" t="s">
        <v>8124</v>
      </c>
      <c r="E1363" s="1" t="s">
        <v>3917</v>
      </c>
      <c r="F1363" s="1" t="s">
        <v>3918</v>
      </c>
      <c r="G1363" s="1" t="s">
        <v>4983</v>
      </c>
    </row>
    <row r="1364" spans="1:7" x14ac:dyDescent="0.45">
      <c r="A1364" s="1" t="s">
        <v>7257</v>
      </c>
      <c r="B1364" s="1" t="s">
        <v>7258</v>
      </c>
      <c r="C1364" s="1" t="s">
        <v>255</v>
      </c>
      <c r="D1364" s="1" t="s">
        <v>8125</v>
      </c>
      <c r="E1364" s="1" t="s">
        <v>3917</v>
      </c>
      <c r="F1364" s="1" t="s">
        <v>3918</v>
      </c>
      <c r="G1364" s="1" t="s">
        <v>4983</v>
      </c>
    </row>
    <row r="1365" spans="1:7" x14ac:dyDescent="0.45">
      <c r="A1365" s="1" t="s">
        <v>10486</v>
      </c>
      <c r="B1365" s="1" t="s">
        <v>10487</v>
      </c>
      <c r="C1365" s="1" t="s">
        <v>255</v>
      </c>
      <c r="D1365" s="1" t="s">
        <v>11486</v>
      </c>
      <c r="E1365" s="1" t="s">
        <v>3917</v>
      </c>
      <c r="F1365" s="1" t="s">
        <v>3918</v>
      </c>
      <c r="G1365" s="1" t="s">
        <v>4983</v>
      </c>
    </row>
    <row r="1366" spans="1:7" x14ac:dyDescent="0.45">
      <c r="A1366" s="1" t="s">
        <v>10488</v>
      </c>
      <c r="B1366" s="1" t="s">
        <v>5603</v>
      </c>
      <c r="C1366" s="1" t="s">
        <v>255</v>
      </c>
      <c r="D1366" s="1" t="s">
        <v>5604</v>
      </c>
      <c r="E1366" s="1" t="s">
        <v>3917</v>
      </c>
      <c r="F1366" s="1" t="s">
        <v>3918</v>
      </c>
      <c r="G1366" s="1" t="s">
        <v>4983</v>
      </c>
    </row>
    <row r="1367" spans="1:7" x14ac:dyDescent="0.45">
      <c r="A1367" s="1" t="s">
        <v>10489</v>
      </c>
      <c r="B1367" s="1" t="s">
        <v>10490</v>
      </c>
      <c r="C1367" s="1" t="s">
        <v>255</v>
      </c>
      <c r="D1367" s="1" t="s">
        <v>11487</v>
      </c>
      <c r="E1367" s="1" t="s">
        <v>3917</v>
      </c>
      <c r="F1367" s="1" t="s">
        <v>3918</v>
      </c>
      <c r="G1367" s="1" t="s">
        <v>4983</v>
      </c>
    </row>
    <row r="1368" spans="1:7" x14ac:dyDescent="0.45">
      <c r="A1368" s="1" t="s">
        <v>4252</v>
      </c>
      <c r="B1368" s="1" t="s">
        <v>4253</v>
      </c>
      <c r="C1368" s="1" t="s">
        <v>255</v>
      </c>
      <c r="D1368" s="1" t="s">
        <v>4788</v>
      </c>
      <c r="E1368" s="1" t="s">
        <v>3917</v>
      </c>
      <c r="F1368" s="1" t="s">
        <v>3918</v>
      </c>
      <c r="G1368" s="1" t="s">
        <v>4983</v>
      </c>
    </row>
    <row r="1369" spans="1:7" x14ac:dyDescent="0.45">
      <c r="A1369" s="1" t="s">
        <v>10491</v>
      </c>
      <c r="B1369" s="1" t="s">
        <v>10492</v>
      </c>
      <c r="C1369" s="1" t="s">
        <v>255</v>
      </c>
      <c r="D1369" s="1" t="s">
        <v>11488</v>
      </c>
      <c r="E1369" s="1" t="s">
        <v>3917</v>
      </c>
      <c r="F1369" s="1" t="s">
        <v>3918</v>
      </c>
      <c r="G1369" s="1" t="s">
        <v>4983</v>
      </c>
    </row>
    <row r="1370" spans="1:7" x14ac:dyDescent="0.45">
      <c r="A1370" s="1" t="s">
        <v>10493</v>
      </c>
      <c r="B1370" s="1" t="s">
        <v>6871</v>
      </c>
      <c r="C1370" s="1" t="s">
        <v>255</v>
      </c>
      <c r="D1370" s="1" t="s">
        <v>6872</v>
      </c>
      <c r="E1370" s="1" t="s">
        <v>3917</v>
      </c>
      <c r="F1370" s="1" t="s">
        <v>3918</v>
      </c>
      <c r="G1370" s="1" t="s">
        <v>4983</v>
      </c>
    </row>
    <row r="1371" spans="1:7" x14ac:dyDescent="0.45">
      <c r="A1371" s="1" t="s">
        <v>10494</v>
      </c>
      <c r="B1371" s="1" t="s">
        <v>10495</v>
      </c>
      <c r="C1371" s="1" t="s">
        <v>255</v>
      </c>
      <c r="D1371" s="1" t="s">
        <v>11489</v>
      </c>
      <c r="E1371" s="1" t="s">
        <v>3917</v>
      </c>
      <c r="F1371" s="1" t="s">
        <v>3918</v>
      </c>
      <c r="G1371" s="1" t="s">
        <v>4983</v>
      </c>
    </row>
    <row r="1372" spans="1:7" x14ac:dyDescent="0.45">
      <c r="A1372" s="1" t="s">
        <v>2813</v>
      </c>
      <c r="B1372" s="1" t="s">
        <v>2814</v>
      </c>
      <c r="C1372" s="1" t="s">
        <v>255</v>
      </c>
      <c r="D1372" s="1" t="s">
        <v>2815</v>
      </c>
      <c r="E1372" s="1" t="s">
        <v>3917</v>
      </c>
      <c r="F1372" s="1" t="s">
        <v>3918</v>
      </c>
      <c r="G1372" s="1" t="s">
        <v>4983</v>
      </c>
    </row>
    <row r="1373" spans="1:7" x14ac:dyDescent="0.45">
      <c r="A1373" s="1" t="s">
        <v>7259</v>
      </c>
      <c r="B1373" s="1" t="s">
        <v>7260</v>
      </c>
      <c r="C1373" s="1" t="s">
        <v>255</v>
      </c>
      <c r="D1373" s="1" t="s">
        <v>8126</v>
      </c>
      <c r="E1373" s="1" t="s">
        <v>3917</v>
      </c>
      <c r="F1373" s="1" t="s">
        <v>3918</v>
      </c>
      <c r="G1373" s="1" t="s">
        <v>4983</v>
      </c>
    </row>
    <row r="1374" spans="1:7" x14ac:dyDescent="0.45">
      <c r="A1374" s="1" t="s">
        <v>10496</v>
      </c>
      <c r="B1374" s="1" t="s">
        <v>10497</v>
      </c>
      <c r="C1374" s="1" t="s">
        <v>255</v>
      </c>
      <c r="D1374" s="1" t="s">
        <v>11490</v>
      </c>
      <c r="E1374" s="1" t="s">
        <v>3919</v>
      </c>
      <c r="F1374" s="1" t="s">
        <v>3918</v>
      </c>
      <c r="G1374" s="1" t="s">
        <v>4983</v>
      </c>
    </row>
    <row r="1375" spans="1:7" x14ac:dyDescent="0.45">
      <c r="A1375" s="1" t="s">
        <v>10498</v>
      </c>
      <c r="B1375" s="1" t="s">
        <v>10499</v>
      </c>
      <c r="C1375" s="1" t="s">
        <v>255</v>
      </c>
      <c r="D1375" s="1" t="s">
        <v>11491</v>
      </c>
      <c r="E1375" s="1" t="s">
        <v>3917</v>
      </c>
      <c r="F1375" s="1" t="s">
        <v>3918</v>
      </c>
      <c r="G1375" s="1" t="s">
        <v>4983</v>
      </c>
    </row>
    <row r="1376" spans="1:7" x14ac:dyDescent="0.45">
      <c r="A1376" s="1" t="s">
        <v>4254</v>
      </c>
      <c r="B1376" s="1" t="s">
        <v>4255</v>
      </c>
      <c r="C1376" s="1" t="s">
        <v>255</v>
      </c>
      <c r="D1376" s="1" t="s">
        <v>4789</v>
      </c>
      <c r="E1376" s="1" t="s">
        <v>3917</v>
      </c>
      <c r="F1376" s="1" t="s">
        <v>3918</v>
      </c>
      <c r="G1376" s="1" t="s">
        <v>4983</v>
      </c>
    </row>
    <row r="1377" spans="1:7" x14ac:dyDescent="0.45">
      <c r="A1377" s="1" t="s">
        <v>678</v>
      </c>
      <c r="B1377" s="1" t="s">
        <v>677</v>
      </c>
      <c r="C1377" s="1" t="s">
        <v>255</v>
      </c>
      <c r="D1377" s="1" t="s">
        <v>2816</v>
      </c>
      <c r="E1377" s="1" t="s">
        <v>3917</v>
      </c>
      <c r="F1377" s="1" t="s">
        <v>3918</v>
      </c>
      <c r="G1377" s="1" t="s">
        <v>4983</v>
      </c>
    </row>
    <row r="1378" spans="1:7" x14ac:dyDescent="0.45">
      <c r="A1378" s="1" t="s">
        <v>4256</v>
      </c>
      <c r="B1378" s="1" t="s">
        <v>4257</v>
      </c>
      <c r="C1378" s="1" t="s">
        <v>255</v>
      </c>
      <c r="D1378" s="1" t="s">
        <v>4790</v>
      </c>
      <c r="E1378" s="1" t="s">
        <v>3917</v>
      </c>
      <c r="F1378" s="1" t="s">
        <v>3918</v>
      </c>
      <c r="G1378" s="1" t="s">
        <v>4983</v>
      </c>
    </row>
    <row r="1379" spans="1:7" x14ac:dyDescent="0.45">
      <c r="A1379" s="1" t="s">
        <v>7261</v>
      </c>
      <c r="B1379" s="1" t="s">
        <v>7262</v>
      </c>
      <c r="C1379" s="1" t="s">
        <v>255</v>
      </c>
      <c r="D1379" s="1" t="s">
        <v>8127</v>
      </c>
      <c r="E1379" s="1" t="s">
        <v>3917</v>
      </c>
      <c r="F1379" s="1" t="s">
        <v>3918</v>
      </c>
      <c r="G1379" s="1" t="s">
        <v>4983</v>
      </c>
    </row>
    <row r="1380" spans="1:7" x14ac:dyDescent="0.45">
      <c r="A1380" s="1" t="s">
        <v>7263</v>
      </c>
      <c r="B1380" s="1" t="s">
        <v>7264</v>
      </c>
      <c r="C1380" s="1" t="s">
        <v>255</v>
      </c>
      <c r="D1380" s="1" t="s">
        <v>8128</v>
      </c>
      <c r="E1380" s="1" t="s">
        <v>3917</v>
      </c>
      <c r="F1380" s="1" t="s">
        <v>3918</v>
      </c>
      <c r="G1380" s="1" t="s">
        <v>4983</v>
      </c>
    </row>
    <row r="1381" spans="1:7" x14ac:dyDescent="0.45">
      <c r="A1381" s="1" t="s">
        <v>4258</v>
      </c>
      <c r="B1381" s="1" t="s">
        <v>4259</v>
      </c>
      <c r="C1381" s="1" t="s">
        <v>255</v>
      </c>
      <c r="D1381" s="1" t="s">
        <v>4791</v>
      </c>
      <c r="E1381" s="1" t="s">
        <v>3917</v>
      </c>
      <c r="F1381" s="1" t="s">
        <v>3918</v>
      </c>
      <c r="G1381" s="1" t="s">
        <v>4983</v>
      </c>
    </row>
    <row r="1382" spans="1:7" x14ac:dyDescent="0.45">
      <c r="A1382" s="1" t="s">
        <v>7265</v>
      </c>
      <c r="B1382" s="1" t="s">
        <v>7266</v>
      </c>
      <c r="C1382" s="1" t="s">
        <v>255</v>
      </c>
      <c r="D1382" s="1" t="s">
        <v>8129</v>
      </c>
      <c r="E1382" s="1" t="s">
        <v>3917</v>
      </c>
      <c r="F1382" s="1" t="s">
        <v>3918</v>
      </c>
      <c r="G1382" s="1" t="s">
        <v>4983</v>
      </c>
    </row>
    <row r="1383" spans="1:7" x14ac:dyDescent="0.45">
      <c r="A1383" s="1" t="s">
        <v>7267</v>
      </c>
      <c r="B1383" s="1" t="s">
        <v>7268</v>
      </c>
      <c r="C1383" s="1" t="s">
        <v>255</v>
      </c>
      <c r="D1383" s="1" t="s">
        <v>8130</v>
      </c>
      <c r="E1383" s="1" t="s">
        <v>3917</v>
      </c>
      <c r="F1383" s="1" t="s">
        <v>3918</v>
      </c>
      <c r="G1383" s="1" t="s">
        <v>4983</v>
      </c>
    </row>
    <row r="1384" spans="1:7" x14ac:dyDescent="0.45">
      <c r="A1384" s="1" t="s">
        <v>2817</v>
      </c>
      <c r="B1384" s="1" t="s">
        <v>2818</v>
      </c>
      <c r="C1384" s="1" t="s">
        <v>255</v>
      </c>
      <c r="D1384" s="1" t="s">
        <v>2819</v>
      </c>
      <c r="E1384" s="1" t="s">
        <v>3917</v>
      </c>
      <c r="F1384" s="1" t="s">
        <v>3918</v>
      </c>
      <c r="G1384" s="1" t="s">
        <v>4983</v>
      </c>
    </row>
    <row r="1385" spans="1:7" x14ac:dyDescent="0.45">
      <c r="A1385" s="1" t="s">
        <v>1715</v>
      </c>
      <c r="B1385" s="1" t="s">
        <v>1716</v>
      </c>
      <c r="C1385" s="1" t="s">
        <v>255</v>
      </c>
      <c r="D1385" s="1" t="s">
        <v>2820</v>
      </c>
      <c r="E1385" s="1" t="s">
        <v>3917</v>
      </c>
      <c r="F1385" s="1" t="s">
        <v>3918</v>
      </c>
      <c r="G1385" s="1" t="s">
        <v>4983</v>
      </c>
    </row>
    <row r="1386" spans="1:7" x14ac:dyDescent="0.45">
      <c r="A1386" s="1" t="s">
        <v>10500</v>
      </c>
      <c r="B1386" s="1" t="s">
        <v>10501</v>
      </c>
      <c r="C1386" s="1" t="s">
        <v>255</v>
      </c>
      <c r="D1386" s="1" t="s">
        <v>11492</v>
      </c>
      <c r="E1386" s="1" t="s">
        <v>3917</v>
      </c>
      <c r="F1386" s="1" t="s">
        <v>3918</v>
      </c>
      <c r="G1386" s="1" t="s">
        <v>4983</v>
      </c>
    </row>
    <row r="1387" spans="1:7" x14ac:dyDescent="0.45">
      <c r="A1387" s="1" t="s">
        <v>7269</v>
      </c>
      <c r="B1387" s="1" t="s">
        <v>7270</v>
      </c>
      <c r="C1387" s="1" t="s">
        <v>255</v>
      </c>
      <c r="D1387" s="1" t="s">
        <v>8131</v>
      </c>
      <c r="E1387" s="1" t="s">
        <v>3917</v>
      </c>
      <c r="F1387" s="1" t="s">
        <v>3918</v>
      </c>
      <c r="G1387" s="1" t="s">
        <v>4983</v>
      </c>
    </row>
    <row r="1388" spans="1:7" x14ac:dyDescent="0.45">
      <c r="A1388" s="1" t="s">
        <v>10502</v>
      </c>
      <c r="B1388" s="1" t="s">
        <v>10503</v>
      </c>
      <c r="C1388" s="1" t="s">
        <v>255</v>
      </c>
      <c r="D1388" s="1" t="s">
        <v>11493</v>
      </c>
      <c r="E1388" s="1" t="s">
        <v>3917</v>
      </c>
      <c r="F1388" s="1" t="s">
        <v>3918</v>
      </c>
      <c r="G1388" s="1" t="s">
        <v>4983</v>
      </c>
    </row>
    <row r="1389" spans="1:7" x14ac:dyDescent="0.45">
      <c r="A1389" s="1" t="s">
        <v>10504</v>
      </c>
      <c r="B1389" s="1" t="s">
        <v>6813</v>
      </c>
      <c r="C1389" s="1" t="s">
        <v>255</v>
      </c>
      <c r="D1389" s="1" t="s">
        <v>6814</v>
      </c>
      <c r="E1389" s="1" t="s">
        <v>3917</v>
      </c>
      <c r="F1389" s="1" t="s">
        <v>3918</v>
      </c>
      <c r="G1389" s="1" t="s">
        <v>4983</v>
      </c>
    </row>
    <row r="1390" spans="1:7" x14ac:dyDescent="0.45">
      <c r="A1390" s="1" t="s">
        <v>4260</v>
      </c>
      <c r="B1390" s="1" t="s">
        <v>4261</v>
      </c>
      <c r="C1390" s="1" t="s">
        <v>255</v>
      </c>
      <c r="D1390" s="1" t="s">
        <v>4792</v>
      </c>
      <c r="E1390" s="1" t="s">
        <v>3917</v>
      </c>
      <c r="F1390" s="1" t="s">
        <v>3918</v>
      </c>
      <c r="G1390" s="1" t="s">
        <v>4983</v>
      </c>
    </row>
    <row r="1391" spans="1:7" x14ac:dyDescent="0.45">
      <c r="A1391" s="1" t="s">
        <v>7271</v>
      </c>
      <c r="B1391" s="1" t="s">
        <v>7272</v>
      </c>
      <c r="C1391" s="1" t="s">
        <v>255</v>
      </c>
      <c r="D1391" s="1" t="s">
        <v>8132</v>
      </c>
      <c r="E1391" s="1" t="s">
        <v>3917</v>
      </c>
      <c r="F1391" s="1" t="s">
        <v>3918</v>
      </c>
      <c r="G1391" s="1" t="s">
        <v>4983</v>
      </c>
    </row>
    <row r="1392" spans="1:7" x14ac:dyDescent="0.45">
      <c r="A1392" s="1" t="s">
        <v>676</v>
      </c>
      <c r="B1392" s="1" t="s">
        <v>675</v>
      </c>
      <c r="C1392" s="1" t="s">
        <v>255</v>
      </c>
      <c r="D1392" s="1" t="s">
        <v>2821</v>
      </c>
      <c r="E1392" s="1" t="s">
        <v>3919</v>
      </c>
      <c r="F1392" s="1" t="s">
        <v>3918</v>
      </c>
      <c r="G1392" s="1" t="s">
        <v>4983</v>
      </c>
    </row>
    <row r="1393" spans="1:7" x14ac:dyDescent="0.45">
      <c r="A1393" s="1" t="s">
        <v>7273</v>
      </c>
      <c r="B1393" s="1" t="s">
        <v>7274</v>
      </c>
      <c r="C1393" s="1" t="s">
        <v>255</v>
      </c>
      <c r="D1393" s="1" t="s">
        <v>8133</v>
      </c>
      <c r="E1393" s="1" t="s">
        <v>3917</v>
      </c>
      <c r="F1393" s="1" t="s">
        <v>3918</v>
      </c>
      <c r="G1393" s="1" t="s">
        <v>4983</v>
      </c>
    </row>
    <row r="1394" spans="1:7" x14ac:dyDescent="0.45">
      <c r="A1394" s="1" t="s">
        <v>10505</v>
      </c>
      <c r="B1394" s="1" t="s">
        <v>4221</v>
      </c>
      <c r="C1394" s="1" t="s">
        <v>255</v>
      </c>
      <c r="D1394" s="1" t="s">
        <v>5350</v>
      </c>
      <c r="E1394" s="1" t="s">
        <v>3917</v>
      </c>
      <c r="F1394" s="1" t="s">
        <v>3918</v>
      </c>
      <c r="G1394" s="1" t="s">
        <v>4983</v>
      </c>
    </row>
    <row r="1395" spans="1:7" x14ac:dyDescent="0.45">
      <c r="A1395" s="1" t="s">
        <v>7275</v>
      </c>
      <c r="B1395" s="1" t="s">
        <v>7276</v>
      </c>
      <c r="C1395" s="1" t="s">
        <v>255</v>
      </c>
      <c r="D1395" s="1" t="s">
        <v>8134</v>
      </c>
      <c r="E1395" s="1" t="s">
        <v>3917</v>
      </c>
      <c r="F1395" s="1" t="s">
        <v>3918</v>
      </c>
      <c r="G1395" s="1" t="s">
        <v>4983</v>
      </c>
    </row>
    <row r="1396" spans="1:7" x14ac:dyDescent="0.45">
      <c r="A1396" s="1" t="s">
        <v>3598</v>
      </c>
      <c r="B1396" s="1" t="s">
        <v>3599</v>
      </c>
      <c r="C1396" s="1" t="s">
        <v>255</v>
      </c>
      <c r="D1396" s="1" t="s">
        <v>3600</v>
      </c>
      <c r="E1396" s="1" t="s">
        <v>3917</v>
      </c>
      <c r="F1396" s="1" t="s">
        <v>3918</v>
      </c>
      <c r="G1396" s="1" t="s">
        <v>4983</v>
      </c>
    </row>
    <row r="1397" spans="1:7" x14ac:dyDescent="0.45">
      <c r="A1397" s="1" t="s">
        <v>674</v>
      </c>
      <c r="B1397" s="1" t="s">
        <v>673</v>
      </c>
      <c r="C1397" s="1" t="s">
        <v>255</v>
      </c>
      <c r="D1397" s="1" t="s">
        <v>2822</v>
      </c>
      <c r="E1397" s="1" t="s">
        <v>3917</v>
      </c>
      <c r="F1397" s="1" t="s">
        <v>3918</v>
      </c>
      <c r="G1397" s="1" t="s">
        <v>4983</v>
      </c>
    </row>
    <row r="1398" spans="1:7" x14ac:dyDescent="0.45">
      <c r="A1398" s="1" t="s">
        <v>672</v>
      </c>
      <c r="B1398" s="1" t="s">
        <v>671</v>
      </c>
      <c r="C1398" s="1" t="s">
        <v>255</v>
      </c>
      <c r="D1398" s="1" t="s">
        <v>2823</v>
      </c>
      <c r="E1398" s="1" t="s">
        <v>3917</v>
      </c>
      <c r="F1398" s="1" t="s">
        <v>3918</v>
      </c>
      <c r="G1398" s="1" t="s">
        <v>4983</v>
      </c>
    </row>
    <row r="1399" spans="1:7" x14ac:dyDescent="0.45">
      <c r="A1399" s="1" t="s">
        <v>1717</v>
      </c>
      <c r="B1399" s="1" t="s">
        <v>1718</v>
      </c>
      <c r="C1399" s="1" t="s">
        <v>255</v>
      </c>
      <c r="D1399" s="1" t="s">
        <v>2824</v>
      </c>
      <c r="E1399" s="1" t="s">
        <v>3917</v>
      </c>
      <c r="F1399" s="1" t="s">
        <v>3918</v>
      </c>
      <c r="G1399" s="1" t="s">
        <v>4983</v>
      </c>
    </row>
    <row r="1400" spans="1:7" x14ac:dyDescent="0.45">
      <c r="A1400" s="1" t="s">
        <v>10506</v>
      </c>
      <c r="B1400" s="1" t="s">
        <v>10507</v>
      </c>
      <c r="C1400" s="1" t="s">
        <v>255</v>
      </c>
      <c r="D1400" s="1" t="s">
        <v>11494</v>
      </c>
      <c r="E1400" s="1" t="s">
        <v>3917</v>
      </c>
      <c r="F1400" s="1" t="s">
        <v>3918</v>
      </c>
      <c r="G1400" s="1" t="s">
        <v>4983</v>
      </c>
    </row>
    <row r="1401" spans="1:7" x14ac:dyDescent="0.45">
      <c r="A1401" s="1" t="s">
        <v>10508</v>
      </c>
      <c r="B1401" s="1" t="s">
        <v>10509</v>
      </c>
      <c r="C1401" s="1" t="s">
        <v>255</v>
      </c>
      <c r="D1401" s="1" t="s">
        <v>11495</v>
      </c>
      <c r="E1401" s="1" t="s">
        <v>3917</v>
      </c>
      <c r="F1401" s="1" t="s">
        <v>3918</v>
      </c>
      <c r="G1401" s="1" t="s">
        <v>4983</v>
      </c>
    </row>
    <row r="1402" spans="1:7" x14ac:dyDescent="0.45">
      <c r="A1402" s="1" t="s">
        <v>7277</v>
      </c>
      <c r="B1402" s="1" t="s">
        <v>7278</v>
      </c>
      <c r="C1402" s="1" t="s">
        <v>255</v>
      </c>
      <c r="D1402" s="1" t="s">
        <v>8135</v>
      </c>
      <c r="E1402" s="1" t="s">
        <v>3917</v>
      </c>
      <c r="F1402" s="1" t="s">
        <v>3918</v>
      </c>
      <c r="G1402" s="1" t="s">
        <v>4983</v>
      </c>
    </row>
    <row r="1403" spans="1:7" x14ac:dyDescent="0.45">
      <c r="A1403" s="1" t="s">
        <v>7279</v>
      </c>
      <c r="B1403" s="1" t="s">
        <v>7280</v>
      </c>
      <c r="C1403" s="1" t="s">
        <v>255</v>
      </c>
      <c r="D1403" s="1" t="s">
        <v>2116</v>
      </c>
      <c r="E1403" s="1" t="s">
        <v>3917</v>
      </c>
      <c r="F1403" s="1" t="s">
        <v>3918</v>
      </c>
      <c r="G1403" s="1" t="s">
        <v>4983</v>
      </c>
    </row>
    <row r="1404" spans="1:7" x14ac:dyDescent="0.45">
      <c r="A1404" s="1" t="s">
        <v>3601</v>
      </c>
      <c r="B1404" s="1" t="s">
        <v>3602</v>
      </c>
      <c r="C1404" s="1" t="s">
        <v>255</v>
      </c>
      <c r="D1404" s="1" t="s">
        <v>3603</v>
      </c>
      <c r="E1404" s="1" t="s">
        <v>3919</v>
      </c>
      <c r="F1404" s="1" t="s">
        <v>3918</v>
      </c>
      <c r="G1404" s="1" t="s">
        <v>4983</v>
      </c>
    </row>
    <row r="1405" spans="1:7" x14ac:dyDescent="0.45">
      <c r="A1405" s="1" t="s">
        <v>10510</v>
      </c>
      <c r="B1405" s="1" t="s">
        <v>10511</v>
      </c>
      <c r="C1405" s="1" t="s">
        <v>255</v>
      </c>
      <c r="D1405" s="1" t="s">
        <v>11496</v>
      </c>
      <c r="E1405" s="1" t="s">
        <v>3917</v>
      </c>
      <c r="F1405" s="1" t="s">
        <v>3918</v>
      </c>
      <c r="G1405" s="1" t="s">
        <v>4983</v>
      </c>
    </row>
    <row r="1406" spans="1:7" x14ac:dyDescent="0.45">
      <c r="A1406" s="1" t="s">
        <v>10512</v>
      </c>
      <c r="B1406" s="1" t="s">
        <v>10513</v>
      </c>
      <c r="C1406" s="1" t="s">
        <v>255</v>
      </c>
      <c r="D1406" s="1" t="s">
        <v>11497</v>
      </c>
      <c r="E1406" s="1" t="s">
        <v>3917</v>
      </c>
      <c r="F1406" s="1" t="s">
        <v>3918</v>
      </c>
      <c r="G1406" s="1" t="s">
        <v>4983</v>
      </c>
    </row>
    <row r="1407" spans="1:7" x14ac:dyDescent="0.45">
      <c r="A1407" s="1" t="s">
        <v>4262</v>
      </c>
      <c r="B1407" s="1" t="s">
        <v>4263</v>
      </c>
      <c r="C1407" s="1" t="s">
        <v>255</v>
      </c>
      <c r="D1407" s="1" t="s">
        <v>4793</v>
      </c>
      <c r="E1407" s="1" t="s">
        <v>3917</v>
      </c>
      <c r="F1407" s="1" t="s">
        <v>3918</v>
      </c>
      <c r="G1407" s="1" t="s">
        <v>4983</v>
      </c>
    </row>
    <row r="1408" spans="1:7" x14ac:dyDescent="0.45">
      <c r="A1408" s="1" t="s">
        <v>10514</v>
      </c>
      <c r="B1408" s="1" t="s">
        <v>10515</v>
      </c>
      <c r="C1408" s="1" t="s">
        <v>255</v>
      </c>
      <c r="D1408" s="1" t="s">
        <v>11498</v>
      </c>
      <c r="E1408" s="1" t="s">
        <v>3917</v>
      </c>
      <c r="F1408" s="1" t="s">
        <v>3918</v>
      </c>
      <c r="G1408" s="1" t="s">
        <v>4983</v>
      </c>
    </row>
    <row r="1409" spans="1:7" x14ac:dyDescent="0.45">
      <c r="A1409" s="1" t="s">
        <v>1719</v>
      </c>
      <c r="B1409" s="1" t="s">
        <v>1720</v>
      </c>
      <c r="C1409" s="1" t="s">
        <v>255</v>
      </c>
      <c r="D1409" s="1" t="s">
        <v>2827</v>
      </c>
      <c r="E1409" s="1" t="s">
        <v>3917</v>
      </c>
      <c r="F1409" s="1" t="s">
        <v>3918</v>
      </c>
      <c r="G1409" s="1" t="s">
        <v>4983</v>
      </c>
    </row>
    <row r="1410" spans="1:7" x14ac:dyDescent="0.45">
      <c r="A1410" s="1" t="s">
        <v>4264</v>
      </c>
      <c r="B1410" s="1" t="s">
        <v>4265</v>
      </c>
      <c r="C1410" s="1" t="s">
        <v>255</v>
      </c>
      <c r="D1410" s="1" t="s">
        <v>4794</v>
      </c>
      <c r="E1410" s="1" t="s">
        <v>3917</v>
      </c>
      <c r="F1410" s="1" t="s">
        <v>3918</v>
      </c>
      <c r="G1410" s="1" t="s">
        <v>4983</v>
      </c>
    </row>
    <row r="1411" spans="1:7" x14ac:dyDescent="0.45">
      <c r="A1411" s="1" t="s">
        <v>10516</v>
      </c>
      <c r="B1411" s="1" t="s">
        <v>10517</v>
      </c>
      <c r="C1411" s="1" t="s">
        <v>255</v>
      </c>
      <c r="D1411" s="1" t="s">
        <v>5622</v>
      </c>
      <c r="E1411" s="1" t="s">
        <v>3917</v>
      </c>
      <c r="F1411" s="1" t="s">
        <v>3918</v>
      </c>
      <c r="G1411" s="1" t="s">
        <v>4983</v>
      </c>
    </row>
    <row r="1412" spans="1:7" x14ac:dyDescent="0.45">
      <c r="A1412" s="1" t="s">
        <v>10518</v>
      </c>
      <c r="B1412" s="1" t="s">
        <v>5222</v>
      </c>
      <c r="C1412" s="1" t="s">
        <v>255</v>
      </c>
      <c r="D1412" s="1" t="s">
        <v>5223</v>
      </c>
      <c r="E1412" s="1" t="s">
        <v>3917</v>
      </c>
      <c r="F1412" s="1" t="s">
        <v>3918</v>
      </c>
      <c r="G1412" s="1" t="s">
        <v>4983</v>
      </c>
    </row>
    <row r="1413" spans="1:7" x14ac:dyDescent="0.45">
      <c r="A1413" s="1" t="s">
        <v>4266</v>
      </c>
      <c r="B1413" s="1" t="s">
        <v>3306</v>
      </c>
      <c r="C1413" s="1" t="s">
        <v>255</v>
      </c>
      <c r="D1413" s="1" t="s">
        <v>3307</v>
      </c>
      <c r="E1413" s="1" t="s">
        <v>3917</v>
      </c>
      <c r="F1413" s="1" t="s">
        <v>3918</v>
      </c>
      <c r="G1413" s="1" t="s">
        <v>4983</v>
      </c>
    </row>
    <row r="1414" spans="1:7" x14ac:dyDescent="0.45">
      <c r="A1414" s="1" t="s">
        <v>670</v>
      </c>
      <c r="B1414" s="1" t="s">
        <v>669</v>
      </c>
      <c r="C1414" s="1" t="s">
        <v>255</v>
      </c>
      <c r="D1414" s="1" t="s">
        <v>2828</v>
      </c>
      <c r="E1414" s="1" t="s">
        <v>3917</v>
      </c>
      <c r="F1414" s="1" t="s">
        <v>3918</v>
      </c>
      <c r="G1414" s="1" t="s">
        <v>4983</v>
      </c>
    </row>
    <row r="1415" spans="1:7" x14ac:dyDescent="0.45">
      <c r="A1415" s="1" t="s">
        <v>4267</v>
      </c>
      <c r="B1415" s="1" t="s">
        <v>4268</v>
      </c>
      <c r="C1415" s="1" t="s">
        <v>255</v>
      </c>
      <c r="D1415" s="1" t="s">
        <v>4795</v>
      </c>
      <c r="E1415" s="1" t="s">
        <v>3917</v>
      </c>
      <c r="F1415" s="1" t="s">
        <v>3918</v>
      </c>
      <c r="G1415" s="1" t="s">
        <v>4983</v>
      </c>
    </row>
    <row r="1416" spans="1:7" x14ac:dyDescent="0.45">
      <c r="A1416" s="1" t="s">
        <v>7281</v>
      </c>
      <c r="B1416" s="1" t="s">
        <v>7282</v>
      </c>
      <c r="C1416" s="1" t="s">
        <v>255</v>
      </c>
      <c r="D1416" s="1" t="s">
        <v>8136</v>
      </c>
      <c r="E1416" s="1" t="s">
        <v>3917</v>
      </c>
      <c r="F1416" s="1" t="s">
        <v>3918</v>
      </c>
      <c r="G1416" s="1" t="s">
        <v>4983</v>
      </c>
    </row>
    <row r="1417" spans="1:7" x14ac:dyDescent="0.45">
      <c r="A1417" s="1" t="s">
        <v>10519</v>
      </c>
      <c r="B1417" s="1" t="s">
        <v>10520</v>
      </c>
      <c r="C1417" s="1" t="s">
        <v>255</v>
      </c>
      <c r="D1417" s="1" t="s">
        <v>11499</v>
      </c>
      <c r="E1417" s="1" t="s">
        <v>3917</v>
      </c>
      <c r="F1417" s="1" t="s">
        <v>3918</v>
      </c>
      <c r="G1417" s="1" t="s">
        <v>4983</v>
      </c>
    </row>
    <row r="1418" spans="1:7" x14ac:dyDescent="0.45">
      <c r="A1418" s="1" t="s">
        <v>7283</v>
      </c>
      <c r="B1418" s="1" t="s">
        <v>7284</v>
      </c>
      <c r="C1418" s="1" t="s">
        <v>255</v>
      </c>
      <c r="D1418" s="1" t="s">
        <v>8137</v>
      </c>
      <c r="E1418" s="1" t="s">
        <v>3917</v>
      </c>
      <c r="F1418" s="1" t="s">
        <v>3918</v>
      </c>
      <c r="G1418" s="1" t="s">
        <v>4983</v>
      </c>
    </row>
    <row r="1419" spans="1:7" x14ac:dyDescent="0.45">
      <c r="A1419" s="1" t="s">
        <v>668</v>
      </c>
      <c r="B1419" s="1" t="s">
        <v>667</v>
      </c>
      <c r="C1419" s="1" t="s">
        <v>255</v>
      </c>
      <c r="D1419" s="1" t="s">
        <v>2830</v>
      </c>
      <c r="E1419" s="1" t="s">
        <v>3917</v>
      </c>
      <c r="F1419" s="1" t="s">
        <v>3918</v>
      </c>
      <c r="G1419" s="1" t="s">
        <v>4983</v>
      </c>
    </row>
    <row r="1420" spans="1:7" x14ac:dyDescent="0.45">
      <c r="A1420" s="1" t="s">
        <v>7285</v>
      </c>
      <c r="B1420" s="1" t="s">
        <v>7286</v>
      </c>
      <c r="C1420" s="1" t="s">
        <v>255</v>
      </c>
      <c r="D1420" s="1" t="s">
        <v>8138</v>
      </c>
      <c r="E1420" s="1" t="s">
        <v>3917</v>
      </c>
      <c r="F1420" s="1" t="s">
        <v>3918</v>
      </c>
      <c r="G1420" s="1" t="s">
        <v>4983</v>
      </c>
    </row>
    <row r="1421" spans="1:7" x14ac:dyDescent="0.45">
      <c r="A1421" s="1" t="s">
        <v>4269</v>
      </c>
      <c r="B1421" s="1" t="s">
        <v>4270</v>
      </c>
      <c r="C1421" s="1" t="s">
        <v>255</v>
      </c>
      <c r="D1421" s="1" t="s">
        <v>4796</v>
      </c>
      <c r="E1421" s="1" t="s">
        <v>3917</v>
      </c>
      <c r="F1421" s="1" t="s">
        <v>3918</v>
      </c>
      <c r="G1421" s="1" t="s">
        <v>4983</v>
      </c>
    </row>
    <row r="1422" spans="1:7" x14ac:dyDescent="0.45">
      <c r="A1422" s="1" t="s">
        <v>10521</v>
      </c>
      <c r="B1422" s="1" t="s">
        <v>10522</v>
      </c>
      <c r="C1422" s="1" t="s">
        <v>255</v>
      </c>
      <c r="D1422" s="1" t="s">
        <v>11500</v>
      </c>
      <c r="E1422" s="1" t="s">
        <v>3917</v>
      </c>
      <c r="F1422" s="1" t="s">
        <v>3918</v>
      </c>
      <c r="G1422" s="1" t="s">
        <v>4983</v>
      </c>
    </row>
    <row r="1423" spans="1:7" x14ac:dyDescent="0.45">
      <c r="A1423" s="1" t="s">
        <v>7287</v>
      </c>
      <c r="B1423" s="1" t="s">
        <v>5754</v>
      </c>
      <c r="C1423" s="1" t="s">
        <v>255</v>
      </c>
      <c r="D1423" s="1" t="s">
        <v>5755</v>
      </c>
      <c r="E1423" s="1" t="s">
        <v>3917</v>
      </c>
      <c r="F1423" s="1" t="s">
        <v>3918</v>
      </c>
      <c r="G1423" s="1" t="s">
        <v>4983</v>
      </c>
    </row>
    <row r="1424" spans="1:7" x14ac:dyDescent="0.45">
      <c r="A1424" s="1" t="s">
        <v>7288</v>
      </c>
      <c r="B1424" s="1" t="s">
        <v>7289</v>
      </c>
      <c r="C1424" s="1" t="s">
        <v>255</v>
      </c>
      <c r="D1424" s="1" t="s">
        <v>8139</v>
      </c>
      <c r="E1424" s="1" t="s">
        <v>3917</v>
      </c>
      <c r="F1424" s="1" t="s">
        <v>3918</v>
      </c>
      <c r="G1424" s="1" t="s">
        <v>4983</v>
      </c>
    </row>
    <row r="1425" spans="1:7" x14ac:dyDescent="0.45">
      <c r="A1425" s="1" t="s">
        <v>2831</v>
      </c>
      <c r="B1425" s="1" t="s">
        <v>2832</v>
      </c>
      <c r="C1425" s="1" t="s">
        <v>255</v>
      </c>
      <c r="D1425" s="1" t="s">
        <v>2833</v>
      </c>
      <c r="E1425" s="1" t="s">
        <v>3917</v>
      </c>
      <c r="F1425" s="1" t="s">
        <v>3918</v>
      </c>
      <c r="G1425" s="1" t="s">
        <v>4983</v>
      </c>
    </row>
    <row r="1426" spans="1:7" x14ac:dyDescent="0.45">
      <c r="A1426" s="1" t="s">
        <v>10523</v>
      </c>
      <c r="B1426" s="1" t="s">
        <v>10524</v>
      </c>
      <c r="C1426" s="1" t="s">
        <v>255</v>
      </c>
      <c r="D1426" s="1" t="s">
        <v>11501</v>
      </c>
      <c r="E1426" s="1" t="s">
        <v>3917</v>
      </c>
      <c r="F1426" s="1" t="s">
        <v>3918</v>
      </c>
      <c r="G1426" s="1" t="s">
        <v>4983</v>
      </c>
    </row>
    <row r="1427" spans="1:7" x14ac:dyDescent="0.45">
      <c r="A1427" s="1" t="s">
        <v>10525</v>
      </c>
      <c r="B1427" s="1" t="s">
        <v>5687</v>
      </c>
      <c r="C1427" s="1" t="s">
        <v>255</v>
      </c>
      <c r="D1427" s="1" t="s">
        <v>5688</v>
      </c>
      <c r="E1427" s="1" t="s">
        <v>3917</v>
      </c>
      <c r="F1427" s="1" t="s">
        <v>3918</v>
      </c>
      <c r="G1427" s="1" t="s">
        <v>4983</v>
      </c>
    </row>
    <row r="1428" spans="1:7" x14ac:dyDescent="0.45">
      <c r="A1428" s="1" t="s">
        <v>7290</v>
      </c>
      <c r="B1428" s="1" t="s">
        <v>7291</v>
      </c>
      <c r="C1428" s="1" t="s">
        <v>255</v>
      </c>
      <c r="D1428" s="1" t="s">
        <v>8140</v>
      </c>
      <c r="E1428" s="1" t="s">
        <v>3917</v>
      </c>
      <c r="F1428" s="1" t="s">
        <v>3918</v>
      </c>
      <c r="G1428" s="1" t="s">
        <v>4983</v>
      </c>
    </row>
    <row r="1429" spans="1:7" x14ac:dyDescent="0.45">
      <c r="A1429" s="1" t="s">
        <v>4271</v>
      </c>
      <c r="B1429" s="1" t="s">
        <v>666</v>
      </c>
      <c r="C1429" s="1" t="s">
        <v>255</v>
      </c>
      <c r="D1429" s="1" t="s">
        <v>2834</v>
      </c>
      <c r="E1429" s="1" t="s">
        <v>3917</v>
      </c>
      <c r="F1429" s="1" t="s">
        <v>3918</v>
      </c>
      <c r="G1429" s="1" t="s">
        <v>4983</v>
      </c>
    </row>
    <row r="1430" spans="1:7" x14ac:dyDescent="0.45">
      <c r="A1430" s="1" t="s">
        <v>3604</v>
      </c>
      <c r="B1430" s="1" t="s">
        <v>3605</v>
      </c>
      <c r="C1430" s="1" t="s">
        <v>255</v>
      </c>
      <c r="D1430" s="1" t="s">
        <v>3606</v>
      </c>
      <c r="E1430" s="1" t="s">
        <v>3917</v>
      </c>
      <c r="F1430" s="1" t="s">
        <v>3918</v>
      </c>
      <c r="G1430" s="1" t="s">
        <v>4983</v>
      </c>
    </row>
    <row r="1431" spans="1:7" x14ac:dyDescent="0.45">
      <c r="A1431" s="1" t="s">
        <v>7292</v>
      </c>
      <c r="B1431" s="1" t="s">
        <v>7293</v>
      </c>
      <c r="C1431" s="1" t="s">
        <v>255</v>
      </c>
      <c r="D1431" s="1" t="s">
        <v>8141</v>
      </c>
      <c r="E1431" s="1" t="s">
        <v>3917</v>
      </c>
      <c r="F1431" s="1" t="s">
        <v>3918</v>
      </c>
      <c r="G1431" s="1" t="s">
        <v>4983</v>
      </c>
    </row>
    <row r="1432" spans="1:7" x14ac:dyDescent="0.45">
      <c r="A1432" s="1" t="s">
        <v>665</v>
      </c>
      <c r="B1432" s="1" t="s">
        <v>664</v>
      </c>
      <c r="C1432" s="1" t="s">
        <v>255</v>
      </c>
      <c r="D1432" s="1" t="s">
        <v>2835</v>
      </c>
      <c r="E1432" s="1" t="s">
        <v>3917</v>
      </c>
      <c r="F1432" s="1" t="s">
        <v>3918</v>
      </c>
      <c r="G1432" s="1" t="s">
        <v>4983</v>
      </c>
    </row>
    <row r="1433" spans="1:7" x14ac:dyDescent="0.45">
      <c r="A1433" s="1" t="s">
        <v>7294</v>
      </c>
      <c r="B1433" s="1" t="s">
        <v>7295</v>
      </c>
      <c r="C1433" s="1" t="s">
        <v>255</v>
      </c>
      <c r="D1433" s="1" t="s">
        <v>8142</v>
      </c>
      <c r="E1433" s="1" t="s">
        <v>3917</v>
      </c>
      <c r="F1433" s="1" t="s">
        <v>3918</v>
      </c>
      <c r="G1433" s="1" t="s">
        <v>4983</v>
      </c>
    </row>
    <row r="1434" spans="1:7" x14ac:dyDescent="0.45">
      <c r="A1434" s="1" t="s">
        <v>10526</v>
      </c>
      <c r="B1434" s="1" t="s">
        <v>10527</v>
      </c>
      <c r="C1434" s="1" t="s">
        <v>255</v>
      </c>
      <c r="D1434" s="1" t="s">
        <v>11502</v>
      </c>
      <c r="E1434" s="1" t="s">
        <v>3917</v>
      </c>
      <c r="F1434" s="1" t="s">
        <v>3918</v>
      </c>
      <c r="G1434" s="1" t="s">
        <v>4983</v>
      </c>
    </row>
    <row r="1435" spans="1:7" x14ac:dyDescent="0.45">
      <c r="A1435" s="1" t="s">
        <v>4274</v>
      </c>
      <c r="B1435" s="1" t="s">
        <v>4275</v>
      </c>
      <c r="C1435" s="1" t="s">
        <v>255</v>
      </c>
      <c r="D1435" s="1" t="s">
        <v>4798</v>
      </c>
      <c r="E1435" s="1" t="s">
        <v>3917</v>
      </c>
      <c r="F1435" s="1" t="s">
        <v>3918</v>
      </c>
      <c r="G1435" s="1" t="s">
        <v>4983</v>
      </c>
    </row>
    <row r="1436" spans="1:7" x14ac:dyDescent="0.45">
      <c r="A1436" s="1" t="s">
        <v>7296</v>
      </c>
      <c r="B1436" s="1" t="s">
        <v>7297</v>
      </c>
      <c r="C1436" s="1" t="s">
        <v>255</v>
      </c>
      <c r="D1436" s="1" t="s">
        <v>8143</v>
      </c>
      <c r="E1436" s="1" t="s">
        <v>3917</v>
      </c>
      <c r="F1436" s="1" t="s">
        <v>3918</v>
      </c>
      <c r="G1436" s="1" t="s">
        <v>4983</v>
      </c>
    </row>
    <row r="1437" spans="1:7" x14ac:dyDescent="0.45">
      <c r="A1437" s="1" t="s">
        <v>663</v>
      </c>
      <c r="B1437" s="1" t="s">
        <v>284</v>
      </c>
      <c r="C1437" s="1" t="s">
        <v>255</v>
      </c>
      <c r="D1437" s="1" t="s">
        <v>2836</v>
      </c>
      <c r="E1437" s="1" t="s">
        <v>3917</v>
      </c>
      <c r="F1437" s="1" t="s">
        <v>3918</v>
      </c>
      <c r="G1437" s="1" t="s">
        <v>4983</v>
      </c>
    </row>
    <row r="1438" spans="1:7" x14ac:dyDescent="0.45">
      <c r="A1438" s="1" t="s">
        <v>10528</v>
      </c>
      <c r="B1438" s="1" t="s">
        <v>10529</v>
      </c>
      <c r="C1438" s="1" t="s">
        <v>255</v>
      </c>
      <c r="D1438" s="1" t="s">
        <v>11503</v>
      </c>
      <c r="E1438" s="1" t="s">
        <v>3917</v>
      </c>
      <c r="F1438" s="1" t="s">
        <v>3918</v>
      </c>
      <c r="G1438" s="1" t="s">
        <v>4983</v>
      </c>
    </row>
    <row r="1439" spans="1:7" x14ac:dyDescent="0.45">
      <c r="A1439" s="1" t="s">
        <v>10530</v>
      </c>
      <c r="B1439" s="1" t="s">
        <v>5411</v>
      </c>
      <c r="C1439" s="1" t="s">
        <v>255</v>
      </c>
      <c r="D1439" s="1" t="s">
        <v>5412</v>
      </c>
      <c r="E1439" s="1" t="s">
        <v>3917</v>
      </c>
      <c r="F1439" s="1" t="s">
        <v>3918</v>
      </c>
      <c r="G1439" s="1" t="s">
        <v>4983</v>
      </c>
    </row>
    <row r="1440" spans="1:7" x14ac:dyDescent="0.45">
      <c r="A1440" s="1" t="s">
        <v>662</v>
      </c>
      <c r="B1440" s="1" t="s">
        <v>661</v>
      </c>
      <c r="C1440" s="1" t="s">
        <v>255</v>
      </c>
      <c r="D1440" s="1" t="s">
        <v>2837</v>
      </c>
      <c r="E1440" s="1" t="s">
        <v>3917</v>
      </c>
      <c r="F1440" s="1" t="s">
        <v>3918</v>
      </c>
      <c r="G1440" s="1" t="s">
        <v>4983</v>
      </c>
    </row>
    <row r="1441" spans="1:7" x14ac:dyDescent="0.45">
      <c r="A1441" s="1" t="s">
        <v>3610</v>
      </c>
      <c r="B1441" s="1" t="s">
        <v>3611</v>
      </c>
      <c r="C1441" s="1" t="s">
        <v>255</v>
      </c>
      <c r="D1441" s="1" t="s">
        <v>3612</v>
      </c>
      <c r="E1441" s="1" t="s">
        <v>3917</v>
      </c>
      <c r="F1441" s="1" t="s">
        <v>3918</v>
      </c>
      <c r="G1441" s="1" t="s">
        <v>4983</v>
      </c>
    </row>
    <row r="1442" spans="1:7" x14ac:dyDescent="0.45">
      <c r="A1442" s="1" t="s">
        <v>660</v>
      </c>
      <c r="B1442" s="1" t="s">
        <v>659</v>
      </c>
      <c r="C1442" s="1" t="s">
        <v>255</v>
      </c>
      <c r="D1442" s="1" t="s">
        <v>2838</v>
      </c>
      <c r="E1442" s="1" t="s">
        <v>3917</v>
      </c>
      <c r="F1442" s="1" t="s">
        <v>3918</v>
      </c>
      <c r="G1442" s="1" t="s">
        <v>4983</v>
      </c>
    </row>
    <row r="1443" spans="1:7" x14ac:dyDescent="0.45">
      <c r="A1443" s="1" t="s">
        <v>7298</v>
      </c>
      <c r="B1443" s="1" t="s">
        <v>7299</v>
      </c>
      <c r="C1443" s="1" t="s">
        <v>255</v>
      </c>
      <c r="D1443" s="1" t="s">
        <v>8145</v>
      </c>
      <c r="E1443" s="1" t="s">
        <v>3917</v>
      </c>
      <c r="F1443" s="1" t="s">
        <v>3918</v>
      </c>
      <c r="G1443" s="1" t="s">
        <v>4983</v>
      </c>
    </row>
    <row r="1444" spans="1:7" x14ac:dyDescent="0.45">
      <c r="A1444" s="1" t="s">
        <v>658</v>
      </c>
      <c r="B1444" s="1" t="s">
        <v>657</v>
      </c>
      <c r="C1444" s="1" t="s">
        <v>255</v>
      </c>
      <c r="D1444" s="1" t="s">
        <v>2839</v>
      </c>
      <c r="E1444" s="1" t="s">
        <v>3917</v>
      </c>
      <c r="F1444" s="1" t="s">
        <v>3918</v>
      </c>
      <c r="G1444" s="1" t="s">
        <v>4983</v>
      </c>
    </row>
    <row r="1445" spans="1:7" x14ac:dyDescent="0.45">
      <c r="A1445" s="1" t="s">
        <v>656</v>
      </c>
      <c r="B1445" s="1" t="s">
        <v>655</v>
      </c>
      <c r="C1445" s="1" t="s">
        <v>255</v>
      </c>
      <c r="D1445" s="1" t="s">
        <v>2840</v>
      </c>
      <c r="E1445" s="1" t="s">
        <v>3917</v>
      </c>
      <c r="F1445" s="1" t="s">
        <v>3918</v>
      </c>
      <c r="G1445" s="1" t="s">
        <v>4983</v>
      </c>
    </row>
    <row r="1446" spans="1:7" x14ac:dyDescent="0.45">
      <c r="A1446" s="1" t="s">
        <v>10531</v>
      </c>
      <c r="B1446" s="1" t="s">
        <v>10532</v>
      </c>
      <c r="C1446" s="1" t="s">
        <v>255</v>
      </c>
      <c r="D1446" s="1" t="s">
        <v>11504</v>
      </c>
      <c r="E1446" s="1" t="s">
        <v>3917</v>
      </c>
      <c r="F1446" s="1" t="s">
        <v>3918</v>
      </c>
      <c r="G1446" s="1" t="s">
        <v>4983</v>
      </c>
    </row>
    <row r="1447" spans="1:7" x14ac:dyDescent="0.45">
      <c r="A1447" s="1" t="s">
        <v>654</v>
      </c>
      <c r="B1447" s="1" t="s">
        <v>653</v>
      </c>
      <c r="C1447" s="1" t="s">
        <v>255</v>
      </c>
      <c r="D1447" s="1" t="s">
        <v>2841</v>
      </c>
      <c r="E1447" s="1" t="s">
        <v>3917</v>
      </c>
      <c r="F1447" s="1" t="s">
        <v>3918</v>
      </c>
      <c r="G1447" s="1" t="s">
        <v>4983</v>
      </c>
    </row>
    <row r="1448" spans="1:7" x14ac:dyDescent="0.45">
      <c r="A1448" s="1" t="s">
        <v>7300</v>
      </c>
      <c r="B1448" s="1" t="s">
        <v>7301</v>
      </c>
      <c r="C1448" s="1" t="s">
        <v>255</v>
      </c>
      <c r="D1448" s="1" t="s">
        <v>8146</v>
      </c>
      <c r="E1448" s="1" t="s">
        <v>3917</v>
      </c>
      <c r="F1448" s="1" t="s">
        <v>3918</v>
      </c>
      <c r="G1448" s="1" t="s">
        <v>4983</v>
      </c>
    </row>
    <row r="1449" spans="1:7" x14ac:dyDescent="0.45">
      <c r="A1449" s="1" t="s">
        <v>10533</v>
      </c>
      <c r="B1449" s="1" t="s">
        <v>5276</v>
      </c>
      <c r="C1449" s="1" t="s">
        <v>255</v>
      </c>
      <c r="D1449" s="1" t="s">
        <v>5277</v>
      </c>
      <c r="E1449" s="1" t="s">
        <v>3917</v>
      </c>
      <c r="F1449" s="1" t="s">
        <v>3918</v>
      </c>
      <c r="G1449" s="1" t="s">
        <v>4983</v>
      </c>
    </row>
    <row r="1450" spans="1:7" x14ac:dyDescent="0.45">
      <c r="A1450" s="1" t="s">
        <v>10534</v>
      </c>
      <c r="B1450" s="1" t="s">
        <v>10535</v>
      </c>
      <c r="C1450" s="1" t="s">
        <v>255</v>
      </c>
      <c r="D1450" s="1" t="s">
        <v>3348</v>
      </c>
      <c r="E1450" s="1" t="s">
        <v>3917</v>
      </c>
      <c r="F1450" s="1" t="s">
        <v>3918</v>
      </c>
      <c r="G1450" s="1" t="s">
        <v>4983</v>
      </c>
    </row>
    <row r="1451" spans="1:7" x14ac:dyDescent="0.45">
      <c r="A1451" s="1" t="s">
        <v>7302</v>
      </c>
      <c r="B1451" s="1" t="s">
        <v>7303</v>
      </c>
      <c r="C1451" s="1" t="s">
        <v>255</v>
      </c>
      <c r="D1451" s="1" t="s">
        <v>8147</v>
      </c>
      <c r="E1451" s="1" t="s">
        <v>3917</v>
      </c>
      <c r="F1451" s="1" t="s">
        <v>3918</v>
      </c>
      <c r="G1451" s="1" t="s">
        <v>4983</v>
      </c>
    </row>
    <row r="1452" spans="1:7" x14ac:dyDescent="0.45">
      <c r="A1452" s="1" t="s">
        <v>1723</v>
      </c>
      <c r="B1452" s="1" t="s">
        <v>1724</v>
      </c>
      <c r="C1452" s="1" t="s">
        <v>255</v>
      </c>
      <c r="D1452" s="1" t="s">
        <v>2842</v>
      </c>
      <c r="E1452" s="1" t="s">
        <v>3917</v>
      </c>
      <c r="F1452" s="1" t="s">
        <v>3918</v>
      </c>
      <c r="G1452" s="1" t="s">
        <v>4983</v>
      </c>
    </row>
    <row r="1453" spans="1:7" x14ac:dyDescent="0.45">
      <c r="A1453" s="1" t="s">
        <v>652</v>
      </c>
      <c r="B1453" s="1" t="s">
        <v>651</v>
      </c>
      <c r="C1453" s="1" t="s">
        <v>255</v>
      </c>
      <c r="D1453" s="1" t="s">
        <v>2843</v>
      </c>
      <c r="E1453" s="1" t="s">
        <v>3917</v>
      </c>
      <c r="F1453" s="1" t="s">
        <v>3918</v>
      </c>
      <c r="G1453" s="1" t="s">
        <v>4983</v>
      </c>
    </row>
    <row r="1454" spans="1:7" x14ac:dyDescent="0.45">
      <c r="A1454" s="1" t="s">
        <v>10536</v>
      </c>
      <c r="B1454" s="1" t="s">
        <v>3613</v>
      </c>
      <c r="C1454" s="1" t="s">
        <v>255</v>
      </c>
      <c r="D1454" s="1" t="s">
        <v>11505</v>
      </c>
      <c r="E1454" s="1" t="s">
        <v>3917</v>
      </c>
      <c r="F1454" s="1" t="s">
        <v>3918</v>
      </c>
      <c r="G1454" s="1" t="s">
        <v>4983</v>
      </c>
    </row>
    <row r="1455" spans="1:7" x14ac:dyDescent="0.45">
      <c r="A1455" s="1" t="s">
        <v>7304</v>
      </c>
      <c r="B1455" s="1" t="s">
        <v>7305</v>
      </c>
      <c r="C1455" s="1" t="s">
        <v>255</v>
      </c>
      <c r="D1455" s="1" t="s">
        <v>8148</v>
      </c>
      <c r="E1455" s="1" t="s">
        <v>3917</v>
      </c>
      <c r="F1455" s="1" t="s">
        <v>3918</v>
      </c>
      <c r="G1455" s="1" t="s">
        <v>4983</v>
      </c>
    </row>
    <row r="1456" spans="1:7" x14ac:dyDescent="0.45">
      <c r="A1456" s="1" t="s">
        <v>10537</v>
      </c>
      <c r="B1456" s="1" t="s">
        <v>6215</v>
      </c>
      <c r="C1456" s="1" t="s">
        <v>255</v>
      </c>
      <c r="D1456" s="1" t="s">
        <v>6216</v>
      </c>
      <c r="E1456" s="1" t="s">
        <v>3917</v>
      </c>
      <c r="F1456" s="1" t="s">
        <v>3918</v>
      </c>
      <c r="G1456" s="1" t="s">
        <v>4983</v>
      </c>
    </row>
    <row r="1457" spans="1:7" x14ac:dyDescent="0.45">
      <c r="A1457" s="1" t="s">
        <v>7306</v>
      </c>
      <c r="B1457" s="1" t="s">
        <v>7307</v>
      </c>
      <c r="C1457" s="1" t="s">
        <v>255</v>
      </c>
      <c r="D1457" s="1" t="s">
        <v>8149</v>
      </c>
      <c r="E1457" s="1" t="s">
        <v>3917</v>
      </c>
      <c r="F1457" s="1" t="s">
        <v>3918</v>
      </c>
      <c r="G1457" s="1" t="s">
        <v>4983</v>
      </c>
    </row>
    <row r="1458" spans="1:7" x14ac:dyDescent="0.45">
      <c r="A1458" s="1" t="s">
        <v>650</v>
      </c>
      <c r="B1458" s="1" t="s">
        <v>649</v>
      </c>
      <c r="C1458" s="1" t="s">
        <v>255</v>
      </c>
      <c r="D1458" s="1" t="s">
        <v>2847</v>
      </c>
      <c r="E1458" s="1" t="s">
        <v>3917</v>
      </c>
      <c r="F1458" s="1" t="s">
        <v>3918</v>
      </c>
      <c r="G1458" s="1" t="s">
        <v>4983</v>
      </c>
    </row>
    <row r="1459" spans="1:7" x14ac:dyDescent="0.45">
      <c r="A1459" s="1" t="s">
        <v>10538</v>
      </c>
      <c r="B1459" s="1" t="s">
        <v>3613</v>
      </c>
      <c r="C1459" s="1" t="s">
        <v>255</v>
      </c>
      <c r="D1459" s="1" t="s">
        <v>4800</v>
      </c>
      <c r="E1459" s="1" t="s">
        <v>3917</v>
      </c>
      <c r="F1459" s="1" t="s">
        <v>3918</v>
      </c>
      <c r="G1459" s="1" t="s">
        <v>4983</v>
      </c>
    </row>
    <row r="1460" spans="1:7" x14ac:dyDescent="0.45">
      <c r="A1460" s="1" t="s">
        <v>10539</v>
      </c>
      <c r="B1460" s="1" t="s">
        <v>10540</v>
      </c>
      <c r="C1460" s="1" t="s">
        <v>255</v>
      </c>
      <c r="D1460" s="1" t="s">
        <v>11506</v>
      </c>
      <c r="E1460" s="1" t="s">
        <v>3917</v>
      </c>
      <c r="F1460" s="1" t="s">
        <v>3918</v>
      </c>
      <c r="G1460" s="1" t="s">
        <v>4983</v>
      </c>
    </row>
    <row r="1461" spans="1:7" x14ac:dyDescent="0.45">
      <c r="A1461" s="1" t="s">
        <v>10541</v>
      </c>
      <c r="B1461" s="1" t="s">
        <v>10542</v>
      </c>
      <c r="C1461" s="1" t="s">
        <v>255</v>
      </c>
      <c r="D1461" s="1" t="s">
        <v>11507</v>
      </c>
      <c r="E1461" s="1" t="s">
        <v>3917</v>
      </c>
      <c r="F1461" s="1" t="s">
        <v>3918</v>
      </c>
      <c r="G1461" s="1" t="s">
        <v>4983</v>
      </c>
    </row>
    <row r="1462" spans="1:7" x14ac:dyDescent="0.45">
      <c r="A1462" s="1" t="s">
        <v>4280</v>
      </c>
      <c r="B1462" s="1" t="s">
        <v>3301</v>
      </c>
      <c r="C1462" s="1" t="s">
        <v>255</v>
      </c>
      <c r="D1462" s="1" t="s">
        <v>3302</v>
      </c>
      <c r="E1462" s="1" t="s">
        <v>3917</v>
      </c>
      <c r="F1462" s="1" t="s">
        <v>3918</v>
      </c>
      <c r="G1462" s="1" t="s">
        <v>4983</v>
      </c>
    </row>
    <row r="1463" spans="1:7" x14ac:dyDescent="0.45">
      <c r="A1463" s="1" t="s">
        <v>7308</v>
      </c>
      <c r="B1463" s="1" t="s">
        <v>7309</v>
      </c>
      <c r="C1463" s="1" t="s">
        <v>255</v>
      </c>
      <c r="D1463" s="1" t="s">
        <v>8150</v>
      </c>
      <c r="E1463" s="1" t="s">
        <v>3917</v>
      </c>
      <c r="F1463" s="1" t="s">
        <v>3918</v>
      </c>
      <c r="G1463" s="1" t="s">
        <v>4983</v>
      </c>
    </row>
    <row r="1464" spans="1:7" x14ac:dyDescent="0.45">
      <c r="A1464" s="1" t="s">
        <v>7310</v>
      </c>
      <c r="B1464" s="1" t="s">
        <v>7311</v>
      </c>
      <c r="C1464" s="1" t="s">
        <v>255</v>
      </c>
      <c r="D1464" s="1" t="s">
        <v>8151</v>
      </c>
      <c r="E1464" s="1" t="s">
        <v>3917</v>
      </c>
      <c r="F1464" s="1" t="s">
        <v>3918</v>
      </c>
      <c r="G1464" s="1" t="s">
        <v>4983</v>
      </c>
    </row>
    <row r="1465" spans="1:7" x14ac:dyDescent="0.45">
      <c r="A1465" s="1" t="s">
        <v>7312</v>
      </c>
      <c r="B1465" s="1" t="s">
        <v>5750</v>
      </c>
      <c r="C1465" s="1" t="s">
        <v>255</v>
      </c>
      <c r="D1465" s="1" t="s">
        <v>5751</v>
      </c>
      <c r="E1465" s="1" t="s">
        <v>3917</v>
      </c>
      <c r="F1465" s="1" t="s">
        <v>3918</v>
      </c>
      <c r="G1465" s="1" t="s">
        <v>4983</v>
      </c>
    </row>
    <row r="1466" spans="1:7" x14ac:dyDescent="0.45">
      <c r="A1466" s="1" t="s">
        <v>1725</v>
      </c>
      <c r="B1466" s="1" t="s">
        <v>1726</v>
      </c>
      <c r="C1466" s="1" t="s">
        <v>255</v>
      </c>
      <c r="D1466" s="1" t="s">
        <v>2848</v>
      </c>
      <c r="E1466" s="1" t="s">
        <v>3917</v>
      </c>
      <c r="F1466" s="1" t="s">
        <v>3918</v>
      </c>
      <c r="G1466" s="1" t="s">
        <v>4983</v>
      </c>
    </row>
    <row r="1467" spans="1:7" x14ac:dyDescent="0.45">
      <c r="A1467" s="1" t="s">
        <v>7313</v>
      </c>
      <c r="B1467" s="1" t="s">
        <v>5678</v>
      </c>
      <c r="C1467" s="1" t="s">
        <v>255</v>
      </c>
      <c r="D1467" s="1" t="s">
        <v>5679</v>
      </c>
      <c r="E1467" s="1" t="s">
        <v>3917</v>
      </c>
      <c r="F1467" s="1" t="s">
        <v>3918</v>
      </c>
      <c r="G1467" s="1" t="s">
        <v>4983</v>
      </c>
    </row>
    <row r="1468" spans="1:7" x14ac:dyDescent="0.45">
      <c r="A1468" s="1" t="s">
        <v>10543</v>
      </c>
      <c r="B1468" s="1" t="s">
        <v>10544</v>
      </c>
      <c r="C1468" s="1" t="s">
        <v>255</v>
      </c>
      <c r="D1468" s="1" t="s">
        <v>11508</v>
      </c>
      <c r="E1468" s="1" t="s">
        <v>3917</v>
      </c>
      <c r="F1468" s="1" t="s">
        <v>3918</v>
      </c>
      <c r="G1468" s="1" t="s">
        <v>4983</v>
      </c>
    </row>
    <row r="1469" spans="1:7" x14ac:dyDescent="0.45">
      <c r="A1469" s="1" t="s">
        <v>10545</v>
      </c>
      <c r="B1469" s="1" t="s">
        <v>10546</v>
      </c>
      <c r="C1469" s="1" t="s">
        <v>255</v>
      </c>
      <c r="D1469" s="1" t="s">
        <v>9766</v>
      </c>
      <c r="E1469" s="1" t="s">
        <v>3917</v>
      </c>
      <c r="F1469" s="1" t="s">
        <v>3918</v>
      </c>
      <c r="G1469" s="1" t="s">
        <v>4983</v>
      </c>
    </row>
    <row r="1470" spans="1:7" x14ac:dyDescent="0.45">
      <c r="A1470" s="1" t="s">
        <v>7314</v>
      </c>
      <c r="B1470" s="1" t="s">
        <v>7315</v>
      </c>
      <c r="C1470" s="1" t="s">
        <v>255</v>
      </c>
      <c r="D1470" s="1" t="s">
        <v>6647</v>
      </c>
      <c r="E1470" s="1" t="s">
        <v>3917</v>
      </c>
      <c r="F1470" s="1" t="s">
        <v>3918</v>
      </c>
      <c r="G1470" s="1" t="s">
        <v>4983</v>
      </c>
    </row>
    <row r="1471" spans="1:7" x14ac:dyDescent="0.45">
      <c r="A1471" s="1" t="s">
        <v>648</v>
      </c>
      <c r="B1471" s="1" t="s">
        <v>647</v>
      </c>
      <c r="C1471" s="1" t="s">
        <v>255</v>
      </c>
      <c r="D1471" s="1" t="s">
        <v>2849</v>
      </c>
      <c r="E1471" s="1" t="s">
        <v>3917</v>
      </c>
      <c r="F1471" s="1" t="s">
        <v>3918</v>
      </c>
      <c r="G1471" s="1" t="s">
        <v>4983</v>
      </c>
    </row>
    <row r="1472" spans="1:7" x14ac:dyDescent="0.45">
      <c r="A1472" s="1" t="s">
        <v>4281</v>
      </c>
      <c r="B1472" s="1" t="s">
        <v>4282</v>
      </c>
      <c r="C1472" s="1" t="s">
        <v>255</v>
      </c>
      <c r="D1472" s="1" t="s">
        <v>4801</v>
      </c>
      <c r="E1472" s="1" t="s">
        <v>3917</v>
      </c>
      <c r="F1472" s="1" t="s">
        <v>3918</v>
      </c>
      <c r="G1472" s="1" t="s">
        <v>4983</v>
      </c>
    </row>
    <row r="1473" spans="1:7" x14ac:dyDescent="0.45">
      <c r="A1473" s="1" t="s">
        <v>7316</v>
      </c>
      <c r="B1473" s="1" t="s">
        <v>7317</v>
      </c>
      <c r="C1473" s="1" t="s">
        <v>255</v>
      </c>
      <c r="D1473" s="1" t="s">
        <v>8152</v>
      </c>
      <c r="E1473" s="1" t="s">
        <v>3917</v>
      </c>
      <c r="F1473" s="1" t="s">
        <v>3918</v>
      </c>
      <c r="G1473" s="1" t="s">
        <v>4983</v>
      </c>
    </row>
    <row r="1474" spans="1:7" x14ac:dyDescent="0.45">
      <c r="A1474" s="1" t="s">
        <v>10547</v>
      </c>
      <c r="B1474" s="1" t="s">
        <v>10548</v>
      </c>
      <c r="C1474" s="1" t="s">
        <v>255</v>
      </c>
      <c r="D1474" s="1" t="s">
        <v>11509</v>
      </c>
      <c r="E1474" s="1" t="s">
        <v>3917</v>
      </c>
      <c r="F1474" s="1" t="s">
        <v>3918</v>
      </c>
      <c r="G1474" s="1" t="s">
        <v>4983</v>
      </c>
    </row>
    <row r="1475" spans="1:7" x14ac:dyDescent="0.45">
      <c r="A1475" s="1" t="s">
        <v>4283</v>
      </c>
      <c r="B1475" s="1" t="s">
        <v>4284</v>
      </c>
      <c r="C1475" s="1" t="s">
        <v>255</v>
      </c>
      <c r="D1475" s="1" t="s">
        <v>4802</v>
      </c>
      <c r="E1475" s="1" t="s">
        <v>3917</v>
      </c>
      <c r="F1475" s="1" t="s">
        <v>3918</v>
      </c>
      <c r="G1475" s="1" t="s">
        <v>4983</v>
      </c>
    </row>
    <row r="1476" spans="1:7" x14ac:dyDescent="0.45">
      <c r="A1476" s="1" t="s">
        <v>10549</v>
      </c>
      <c r="B1476" s="1" t="s">
        <v>10550</v>
      </c>
      <c r="C1476" s="1" t="s">
        <v>255</v>
      </c>
      <c r="D1476" s="1" t="s">
        <v>11510</v>
      </c>
      <c r="E1476" s="1" t="s">
        <v>3917</v>
      </c>
      <c r="F1476" s="1" t="s">
        <v>3918</v>
      </c>
      <c r="G1476" s="1" t="s">
        <v>4983</v>
      </c>
    </row>
    <row r="1477" spans="1:7" x14ac:dyDescent="0.45">
      <c r="A1477" s="1" t="s">
        <v>646</v>
      </c>
      <c r="B1477" s="1" t="s">
        <v>645</v>
      </c>
      <c r="C1477" s="1" t="s">
        <v>255</v>
      </c>
      <c r="D1477" s="1" t="s">
        <v>2850</v>
      </c>
      <c r="E1477" s="1" t="s">
        <v>3917</v>
      </c>
      <c r="F1477" s="1" t="s">
        <v>3918</v>
      </c>
      <c r="G1477" s="1" t="s">
        <v>4983</v>
      </c>
    </row>
    <row r="1478" spans="1:7" x14ac:dyDescent="0.45">
      <c r="A1478" s="1" t="s">
        <v>4285</v>
      </c>
      <c r="B1478" s="1" t="s">
        <v>4286</v>
      </c>
      <c r="C1478" s="1" t="s">
        <v>255</v>
      </c>
      <c r="D1478" s="1" t="s">
        <v>4803</v>
      </c>
      <c r="E1478" s="1" t="s">
        <v>3917</v>
      </c>
      <c r="F1478" s="1" t="s">
        <v>3918</v>
      </c>
      <c r="G1478" s="1" t="s">
        <v>4983</v>
      </c>
    </row>
    <row r="1479" spans="1:7" x14ac:dyDescent="0.45">
      <c r="A1479" s="1" t="s">
        <v>10551</v>
      </c>
      <c r="B1479" s="1" t="s">
        <v>5734</v>
      </c>
      <c r="C1479" s="1" t="s">
        <v>255</v>
      </c>
      <c r="D1479" s="1" t="s">
        <v>5735</v>
      </c>
      <c r="E1479" s="1" t="s">
        <v>3917</v>
      </c>
      <c r="F1479" s="1" t="s">
        <v>3918</v>
      </c>
      <c r="G1479" s="1" t="s">
        <v>4983</v>
      </c>
    </row>
    <row r="1480" spans="1:7" x14ac:dyDescent="0.45">
      <c r="A1480" s="1" t="s">
        <v>4287</v>
      </c>
      <c r="B1480" s="1" t="s">
        <v>4288</v>
      </c>
      <c r="C1480" s="1" t="s">
        <v>255</v>
      </c>
      <c r="D1480" s="1" t="s">
        <v>4804</v>
      </c>
      <c r="E1480" s="1" t="s">
        <v>3917</v>
      </c>
      <c r="F1480" s="1" t="s">
        <v>3918</v>
      </c>
      <c r="G1480" s="1" t="s">
        <v>4983</v>
      </c>
    </row>
    <row r="1481" spans="1:7" x14ac:dyDescent="0.45">
      <c r="A1481" s="1" t="s">
        <v>7318</v>
      </c>
      <c r="B1481" s="1" t="s">
        <v>7319</v>
      </c>
      <c r="C1481" s="1" t="s">
        <v>255</v>
      </c>
      <c r="D1481" s="1" t="s">
        <v>8153</v>
      </c>
      <c r="E1481" s="1" t="s">
        <v>3917</v>
      </c>
      <c r="F1481" s="1" t="s">
        <v>3918</v>
      </c>
      <c r="G1481" s="1" t="s">
        <v>4983</v>
      </c>
    </row>
    <row r="1482" spans="1:7" x14ac:dyDescent="0.45">
      <c r="A1482" s="1" t="s">
        <v>10552</v>
      </c>
      <c r="B1482" s="1" t="s">
        <v>10553</v>
      </c>
      <c r="C1482" s="1" t="s">
        <v>255</v>
      </c>
      <c r="D1482" s="1" t="s">
        <v>11511</v>
      </c>
      <c r="E1482" s="1" t="s">
        <v>3917</v>
      </c>
      <c r="F1482" s="1" t="s">
        <v>3918</v>
      </c>
      <c r="G1482" s="1" t="s">
        <v>4983</v>
      </c>
    </row>
    <row r="1483" spans="1:7" x14ac:dyDescent="0.45">
      <c r="A1483" s="1" t="s">
        <v>7320</v>
      </c>
      <c r="B1483" s="1" t="s">
        <v>7321</v>
      </c>
      <c r="C1483" s="1" t="s">
        <v>255</v>
      </c>
      <c r="D1483" s="1" t="s">
        <v>8154</v>
      </c>
      <c r="E1483" s="1" t="s">
        <v>3917</v>
      </c>
      <c r="F1483" s="1" t="s">
        <v>3918</v>
      </c>
      <c r="G1483" s="1" t="s">
        <v>4983</v>
      </c>
    </row>
    <row r="1484" spans="1:7" x14ac:dyDescent="0.45">
      <c r="A1484" s="1" t="s">
        <v>10554</v>
      </c>
      <c r="B1484" s="1" t="s">
        <v>10555</v>
      </c>
      <c r="C1484" s="1" t="s">
        <v>255</v>
      </c>
      <c r="D1484" s="1" t="s">
        <v>11512</v>
      </c>
      <c r="E1484" s="1" t="s">
        <v>3917</v>
      </c>
      <c r="F1484" s="1" t="s">
        <v>3918</v>
      </c>
      <c r="G1484" s="1" t="s">
        <v>4983</v>
      </c>
    </row>
    <row r="1485" spans="1:7" x14ac:dyDescent="0.45">
      <c r="A1485" s="1" t="s">
        <v>7322</v>
      </c>
      <c r="B1485" s="1" t="s">
        <v>5317</v>
      </c>
      <c r="C1485" s="1" t="s">
        <v>255</v>
      </c>
      <c r="D1485" s="1" t="s">
        <v>5318</v>
      </c>
      <c r="E1485" s="1" t="s">
        <v>3917</v>
      </c>
      <c r="F1485" s="1" t="s">
        <v>3918</v>
      </c>
      <c r="G1485" s="1" t="s">
        <v>4983</v>
      </c>
    </row>
    <row r="1486" spans="1:7" x14ac:dyDescent="0.45">
      <c r="A1486" s="1" t="s">
        <v>10556</v>
      </c>
      <c r="B1486" s="1" t="s">
        <v>642</v>
      </c>
      <c r="C1486" s="1" t="s">
        <v>255</v>
      </c>
      <c r="D1486" s="1" t="s">
        <v>2852</v>
      </c>
      <c r="E1486" s="1" t="s">
        <v>3917</v>
      </c>
      <c r="F1486" s="1" t="s">
        <v>3918</v>
      </c>
      <c r="G1486" s="1" t="s">
        <v>4983</v>
      </c>
    </row>
    <row r="1487" spans="1:7" x14ac:dyDescent="0.45">
      <c r="A1487" s="1" t="s">
        <v>10557</v>
      </c>
      <c r="B1487" s="1" t="s">
        <v>10558</v>
      </c>
      <c r="C1487" s="1" t="s">
        <v>255</v>
      </c>
      <c r="D1487" s="1" t="s">
        <v>11513</v>
      </c>
      <c r="E1487" s="1" t="s">
        <v>3917</v>
      </c>
      <c r="F1487" s="1" t="s">
        <v>3918</v>
      </c>
      <c r="G1487" s="1" t="s">
        <v>4983</v>
      </c>
    </row>
    <row r="1488" spans="1:7" x14ac:dyDescent="0.45">
      <c r="A1488" s="1" t="s">
        <v>10559</v>
      </c>
      <c r="B1488" s="1" t="s">
        <v>4289</v>
      </c>
      <c r="C1488" s="1" t="s">
        <v>255</v>
      </c>
      <c r="D1488" s="1" t="s">
        <v>4805</v>
      </c>
      <c r="E1488" s="1" t="s">
        <v>3917</v>
      </c>
      <c r="F1488" s="1" t="s">
        <v>3918</v>
      </c>
      <c r="G1488" s="1" t="s">
        <v>4983</v>
      </c>
    </row>
    <row r="1489" spans="1:7" x14ac:dyDescent="0.45">
      <c r="A1489" s="1" t="s">
        <v>1727</v>
      </c>
      <c r="B1489" s="1" t="s">
        <v>1728</v>
      </c>
      <c r="C1489" s="1" t="s">
        <v>255</v>
      </c>
      <c r="D1489" s="1" t="s">
        <v>2853</v>
      </c>
      <c r="E1489" s="1" t="s">
        <v>3917</v>
      </c>
      <c r="F1489" s="1" t="s">
        <v>3918</v>
      </c>
      <c r="G1489" s="1" t="s">
        <v>4983</v>
      </c>
    </row>
    <row r="1490" spans="1:7" x14ac:dyDescent="0.45">
      <c r="A1490" s="1" t="s">
        <v>10560</v>
      </c>
      <c r="B1490" s="1" t="s">
        <v>10561</v>
      </c>
      <c r="C1490" s="1" t="s">
        <v>255</v>
      </c>
      <c r="D1490" s="1" t="s">
        <v>11514</v>
      </c>
      <c r="E1490" s="1" t="s">
        <v>3917</v>
      </c>
      <c r="F1490" s="1" t="s">
        <v>3918</v>
      </c>
      <c r="G1490" s="1" t="s">
        <v>4983</v>
      </c>
    </row>
    <row r="1491" spans="1:7" x14ac:dyDescent="0.45">
      <c r="A1491" s="1" t="s">
        <v>10562</v>
      </c>
      <c r="B1491" s="1" t="s">
        <v>10563</v>
      </c>
      <c r="C1491" s="1" t="s">
        <v>255</v>
      </c>
      <c r="D1491" s="1" t="s">
        <v>11515</v>
      </c>
      <c r="E1491" s="1" t="s">
        <v>3919</v>
      </c>
      <c r="F1491" s="1" t="s">
        <v>3918</v>
      </c>
      <c r="G1491" s="1" t="s">
        <v>4983</v>
      </c>
    </row>
    <row r="1492" spans="1:7" x14ac:dyDescent="0.45">
      <c r="A1492" s="1" t="s">
        <v>10564</v>
      </c>
      <c r="B1492" s="1" t="s">
        <v>10565</v>
      </c>
      <c r="C1492" s="1" t="s">
        <v>255</v>
      </c>
      <c r="D1492" s="1" t="s">
        <v>11516</v>
      </c>
      <c r="E1492" s="1" t="s">
        <v>3917</v>
      </c>
      <c r="F1492" s="1" t="s">
        <v>3918</v>
      </c>
      <c r="G1492" s="1" t="s">
        <v>4983</v>
      </c>
    </row>
    <row r="1493" spans="1:7" x14ac:dyDescent="0.45">
      <c r="A1493" s="1" t="s">
        <v>10566</v>
      </c>
      <c r="B1493" s="1" t="s">
        <v>10567</v>
      </c>
      <c r="C1493" s="1" t="s">
        <v>255</v>
      </c>
      <c r="D1493" s="1" t="s">
        <v>11517</v>
      </c>
      <c r="E1493" s="1" t="s">
        <v>3917</v>
      </c>
      <c r="F1493" s="1" t="s">
        <v>3918</v>
      </c>
      <c r="G1493" s="1" t="s">
        <v>4983</v>
      </c>
    </row>
    <row r="1494" spans="1:7" x14ac:dyDescent="0.45">
      <c r="A1494" s="1" t="s">
        <v>7323</v>
      </c>
      <c r="B1494" s="1" t="s">
        <v>7324</v>
      </c>
      <c r="C1494" s="1" t="s">
        <v>255</v>
      </c>
      <c r="D1494" s="1" t="s">
        <v>8155</v>
      </c>
      <c r="E1494" s="1" t="s">
        <v>3917</v>
      </c>
      <c r="F1494" s="1" t="s">
        <v>3918</v>
      </c>
      <c r="G1494" s="1" t="s">
        <v>4983</v>
      </c>
    </row>
    <row r="1495" spans="1:7" x14ac:dyDescent="0.45">
      <c r="A1495" s="1" t="s">
        <v>7325</v>
      </c>
      <c r="B1495" s="1" t="s">
        <v>7326</v>
      </c>
      <c r="C1495" s="1" t="s">
        <v>255</v>
      </c>
      <c r="D1495" s="1" t="s">
        <v>8156</v>
      </c>
      <c r="E1495" s="1" t="s">
        <v>3917</v>
      </c>
      <c r="F1495" s="1" t="s">
        <v>3918</v>
      </c>
      <c r="G1495" s="1" t="s">
        <v>4983</v>
      </c>
    </row>
    <row r="1496" spans="1:7" x14ac:dyDescent="0.45">
      <c r="A1496" s="1" t="s">
        <v>10568</v>
      </c>
      <c r="B1496" s="1" t="s">
        <v>10569</v>
      </c>
      <c r="C1496" s="1" t="s">
        <v>255</v>
      </c>
      <c r="D1496" s="1" t="s">
        <v>11518</v>
      </c>
      <c r="E1496" s="1" t="s">
        <v>3917</v>
      </c>
      <c r="F1496" s="1" t="s">
        <v>3918</v>
      </c>
      <c r="G1496" s="1" t="s">
        <v>4983</v>
      </c>
    </row>
    <row r="1497" spans="1:7" x14ac:dyDescent="0.45">
      <c r="A1497" s="1" t="s">
        <v>3614</v>
      </c>
      <c r="B1497" s="1" t="s">
        <v>3615</v>
      </c>
      <c r="C1497" s="1" t="s">
        <v>255</v>
      </c>
      <c r="D1497" s="1" t="s">
        <v>3616</v>
      </c>
      <c r="E1497" s="1" t="s">
        <v>3917</v>
      </c>
      <c r="F1497" s="1" t="s">
        <v>3918</v>
      </c>
      <c r="G1497" s="1" t="s">
        <v>4983</v>
      </c>
    </row>
    <row r="1498" spans="1:7" x14ac:dyDescent="0.45">
      <c r="A1498" s="1" t="s">
        <v>10570</v>
      </c>
      <c r="B1498" s="1" t="s">
        <v>10571</v>
      </c>
      <c r="C1498" s="1" t="s">
        <v>255</v>
      </c>
      <c r="D1498" s="1" t="s">
        <v>11519</v>
      </c>
      <c r="E1498" s="1" t="s">
        <v>3917</v>
      </c>
      <c r="F1498" s="1" t="s">
        <v>3918</v>
      </c>
      <c r="G1498" s="1" t="s">
        <v>4983</v>
      </c>
    </row>
    <row r="1499" spans="1:7" x14ac:dyDescent="0.45">
      <c r="A1499" s="1" t="s">
        <v>641</v>
      </c>
      <c r="B1499" s="1" t="s">
        <v>640</v>
      </c>
      <c r="C1499" s="1" t="s">
        <v>255</v>
      </c>
      <c r="D1499" s="1" t="s">
        <v>2854</v>
      </c>
      <c r="E1499" s="1" t="s">
        <v>3917</v>
      </c>
      <c r="F1499" s="1" t="s">
        <v>3918</v>
      </c>
      <c r="G1499" s="1" t="s">
        <v>4983</v>
      </c>
    </row>
    <row r="1500" spans="1:7" x14ac:dyDescent="0.45">
      <c r="A1500" s="1" t="s">
        <v>2855</v>
      </c>
      <c r="B1500" s="1" t="s">
        <v>2856</v>
      </c>
      <c r="C1500" s="1" t="s">
        <v>255</v>
      </c>
      <c r="D1500" s="1" t="s">
        <v>2857</v>
      </c>
      <c r="E1500" s="1" t="s">
        <v>3919</v>
      </c>
      <c r="F1500" s="1" t="s">
        <v>3918</v>
      </c>
      <c r="G1500" s="1" t="s">
        <v>4983</v>
      </c>
    </row>
    <row r="1501" spans="1:7" x14ac:dyDescent="0.45">
      <c r="A1501" s="1" t="s">
        <v>7327</v>
      </c>
      <c r="B1501" s="1" t="s">
        <v>7328</v>
      </c>
      <c r="C1501" s="1" t="s">
        <v>255</v>
      </c>
      <c r="D1501" s="1" t="s">
        <v>8157</v>
      </c>
      <c r="E1501" s="1" t="s">
        <v>3917</v>
      </c>
      <c r="F1501" s="1" t="s">
        <v>3918</v>
      </c>
      <c r="G1501" s="1" t="s">
        <v>4983</v>
      </c>
    </row>
    <row r="1502" spans="1:7" x14ac:dyDescent="0.45">
      <c r="A1502" s="1" t="s">
        <v>10572</v>
      </c>
      <c r="B1502" s="1" t="s">
        <v>10573</v>
      </c>
      <c r="C1502" s="1" t="s">
        <v>255</v>
      </c>
      <c r="D1502" s="1" t="s">
        <v>11520</v>
      </c>
      <c r="E1502" s="1" t="s">
        <v>3917</v>
      </c>
      <c r="F1502" s="1" t="s">
        <v>3918</v>
      </c>
      <c r="G1502" s="1" t="s">
        <v>4983</v>
      </c>
    </row>
    <row r="1503" spans="1:7" x14ac:dyDescent="0.45">
      <c r="A1503" s="1" t="s">
        <v>10574</v>
      </c>
      <c r="B1503" s="1" t="s">
        <v>5288</v>
      </c>
      <c r="C1503" s="1" t="s">
        <v>255</v>
      </c>
      <c r="D1503" s="1" t="s">
        <v>5289</v>
      </c>
      <c r="E1503" s="1" t="s">
        <v>3917</v>
      </c>
      <c r="F1503" s="1" t="s">
        <v>3918</v>
      </c>
      <c r="G1503" s="1" t="s">
        <v>4983</v>
      </c>
    </row>
    <row r="1504" spans="1:7" x14ac:dyDescent="0.45">
      <c r="A1504" s="1" t="s">
        <v>637</v>
      </c>
      <c r="B1504" s="1" t="s">
        <v>636</v>
      </c>
      <c r="C1504" s="1" t="s">
        <v>255</v>
      </c>
      <c r="D1504" s="1" t="s">
        <v>2858</v>
      </c>
      <c r="E1504" s="1" t="s">
        <v>3917</v>
      </c>
      <c r="F1504" s="1" t="s">
        <v>3918</v>
      </c>
      <c r="G1504" s="1" t="s">
        <v>4983</v>
      </c>
    </row>
    <row r="1505" spans="1:7" x14ac:dyDescent="0.45">
      <c r="A1505" s="1" t="s">
        <v>10575</v>
      </c>
      <c r="B1505" s="1" t="s">
        <v>10576</v>
      </c>
      <c r="C1505" s="1" t="s">
        <v>255</v>
      </c>
      <c r="D1505" s="1" t="s">
        <v>11521</v>
      </c>
      <c r="E1505" s="1" t="s">
        <v>3917</v>
      </c>
      <c r="F1505" s="1" t="s">
        <v>3918</v>
      </c>
      <c r="G1505" s="1" t="s">
        <v>4983</v>
      </c>
    </row>
    <row r="1506" spans="1:7" x14ac:dyDescent="0.45">
      <c r="A1506" s="1" t="s">
        <v>7329</v>
      </c>
      <c r="B1506" s="1" t="s">
        <v>7330</v>
      </c>
      <c r="C1506" s="1" t="s">
        <v>255</v>
      </c>
      <c r="D1506" s="1" t="s">
        <v>8158</v>
      </c>
      <c r="E1506" s="1" t="s">
        <v>3917</v>
      </c>
      <c r="F1506" s="1" t="s">
        <v>3918</v>
      </c>
      <c r="G1506" s="1" t="s">
        <v>4983</v>
      </c>
    </row>
    <row r="1507" spans="1:7" x14ac:dyDescent="0.45">
      <c r="A1507" s="1" t="s">
        <v>10577</v>
      </c>
      <c r="B1507" s="1" t="s">
        <v>10578</v>
      </c>
      <c r="C1507" s="1" t="s">
        <v>255</v>
      </c>
      <c r="D1507" s="1" t="s">
        <v>11522</v>
      </c>
      <c r="E1507" s="1" t="s">
        <v>3917</v>
      </c>
      <c r="F1507" s="1" t="s">
        <v>3918</v>
      </c>
      <c r="G1507" s="1" t="s">
        <v>4983</v>
      </c>
    </row>
    <row r="1508" spans="1:7" x14ac:dyDescent="0.45">
      <c r="A1508" s="1" t="s">
        <v>4290</v>
      </c>
      <c r="B1508" s="1" t="s">
        <v>4291</v>
      </c>
      <c r="C1508" s="1" t="s">
        <v>255</v>
      </c>
      <c r="D1508" s="1" t="s">
        <v>4806</v>
      </c>
      <c r="E1508" s="1" t="s">
        <v>3917</v>
      </c>
      <c r="F1508" s="1" t="s">
        <v>3918</v>
      </c>
      <c r="G1508" s="1" t="s">
        <v>4983</v>
      </c>
    </row>
    <row r="1509" spans="1:7" x14ac:dyDescent="0.45">
      <c r="A1509" s="1" t="s">
        <v>7331</v>
      </c>
      <c r="B1509" s="1" t="s">
        <v>7332</v>
      </c>
      <c r="C1509" s="1" t="s">
        <v>255</v>
      </c>
      <c r="D1509" s="1" t="s">
        <v>8159</v>
      </c>
      <c r="E1509" s="1" t="s">
        <v>3917</v>
      </c>
      <c r="F1509" s="1" t="s">
        <v>3918</v>
      </c>
      <c r="G1509" s="1" t="s">
        <v>4983</v>
      </c>
    </row>
    <row r="1510" spans="1:7" x14ac:dyDescent="0.45">
      <c r="A1510" s="1" t="s">
        <v>4292</v>
      </c>
      <c r="B1510" s="1" t="s">
        <v>4293</v>
      </c>
      <c r="C1510" s="1" t="s">
        <v>255</v>
      </c>
      <c r="D1510" s="1" t="s">
        <v>4807</v>
      </c>
      <c r="E1510" s="1" t="s">
        <v>3917</v>
      </c>
      <c r="F1510" s="1" t="s">
        <v>3918</v>
      </c>
      <c r="G1510" s="1" t="s">
        <v>4983</v>
      </c>
    </row>
    <row r="1511" spans="1:7" x14ac:dyDescent="0.45">
      <c r="A1511" s="1" t="s">
        <v>7335</v>
      </c>
      <c r="B1511" s="1" t="s">
        <v>5643</v>
      </c>
      <c r="C1511" s="1" t="s">
        <v>255</v>
      </c>
      <c r="D1511" s="1" t="s">
        <v>5644</v>
      </c>
      <c r="E1511" s="1" t="s">
        <v>3917</v>
      </c>
      <c r="F1511" s="1" t="s">
        <v>3918</v>
      </c>
      <c r="G1511" s="1" t="s">
        <v>4983</v>
      </c>
    </row>
    <row r="1512" spans="1:7" x14ac:dyDescent="0.45">
      <c r="A1512" s="1" t="s">
        <v>4294</v>
      </c>
      <c r="B1512" s="1" t="s">
        <v>4295</v>
      </c>
      <c r="C1512" s="1" t="s">
        <v>255</v>
      </c>
      <c r="D1512" s="1" t="s">
        <v>4808</v>
      </c>
      <c r="E1512" s="1" t="s">
        <v>3917</v>
      </c>
      <c r="F1512" s="1" t="s">
        <v>3918</v>
      </c>
      <c r="G1512" s="1" t="s">
        <v>4983</v>
      </c>
    </row>
    <row r="1513" spans="1:7" x14ac:dyDescent="0.45">
      <c r="A1513" s="1" t="s">
        <v>7336</v>
      </c>
      <c r="B1513" s="1" t="s">
        <v>7337</v>
      </c>
      <c r="C1513" s="1" t="s">
        <v>255</v>
      </c>
      <c r="D1513" s="1" t="s">
        <v>8161</v>
      </c>
      <c r="E1513" s="1" t="s">
        <v>3917</v>
      </c>
      <c r="F1513" s="1" t="s">
        <v>3918</v>
      </c>
      <c r="G1513" s="1" t="s">
        <v>4983</v>
      </c>
    </row>
    <row r="1514" spans="1:7" x14ac:dyDescent="0.45">
      <c r="A1514" s="1" t="s">
        <v>7340</v>
      </c>
      <c r="B1514" s="1" t="s">
        <v>7341</v>
      </c>
      <c r="C1514" s="1" t="s">
        <v>255</v>
      </c>
      <c r="D1514" s="1" t="s">
        <v>8163</v>
      </c>
      <c r="E1514" s="1" t="s">
        <v>3917</v>
      </c>
      <c r="F1514" s="1" t="s">
        <v>3918</v>
      </c>
      <c r="G1514" s="1" t="s">
        <v>4983</v>
      </c>
    </row>
    <row r="1515" spans="1:7" x14ac:dyDescent="0.45">
      <c r="A1515" s="1" t="s">
        <v>10579</v>
      </c>
      <c r="B1515" s="1" t="s">
        <v>10580</v>
      </c>
      <c r="C1515" s="1" t="s">
        <v>255</v>
      </c>
      <c r="D1515" s="1" t="s">
        <v>11523</v>
      </c>
      <c r="E1515" s="1" t="s">
        <v>3917</v>
      </c>
      <c r="F1515" s="1" t="s">
        <v>3918</v>
      </c>
      <c r="G1515" s="1" t="s">
        <v>4983</v>
      </c>
    </row>
    <row r="1516" spans="1:7" x14ac:dyDescent="0.45">
      <c r="A1516" s="1" t="s">
        <v>10581</v>
      </c>
      <c r="B1516" s="1" t="s">
        <v>10582</v>
      </c>
      <c r="C1516" s="1" t="s">
        <v>255</v>
      </c>
      <c r="D1516" s="1" t="s">
        <v>11524</v>
      </c>
      <c r="E1516" s="1" t="s">
        <v>3917</v>
      </c>
      <c r="F1516" s="1" t="s">
        <v>3918</v>
      </c>
      <c r="G1516" s="1" t="s">
        <v>4983</v>
      </c>
    </row>
    <row r="1517" spans="1:7" x14ac:dyDescent="0.45">
      <c r="A1517" s="1" t="s">
        <v>1729</v>
      </c>
      <c r="B1517" s="1" t="s">
        <v>1730</v>
      </c>
      <c r="C1517" s="1" t="s">
        <v>255</v>
      </c>
      <c r="D1517" s="1" t="s">
        <v>2859</v>
      </c>
      <c r="E1517" s="1" t="s">
        <v>3917</v>
      </c>
      <c r="F1517" s="1" t="s">
        <v>3918</v>
      </c>
      <c r="G1517" s="1" t="s">
        <v>4983</v>
      </c>
    </row>
    <row r="1518" spans="1:7" x14ac:dyDescent="0.45">
      <c r="A1518" s="1" t="s">
        <v>10583</v>
      </c>
      <c r="B1518" s="1" t="s">
        <v>10584</v>
      </c>
      <c r="C1518" s="1" t="s">
        <v>255</v>
      </c>
      <c r="D1518" s="1" t="s">
        <v>11525</v>
      </c>
      <c r="E1518" s="1" t="s">
        <v>3917</v>
      </c>
      <c r="F1518" s="1" t="s">
        <v>3918</v>
      </c>
      <c r="G1518" s="1" t="s">
        <v>4983</v>
      </c>
    </row>
    <row r="1519" spans="1:7" x14ac:dyDescent="0.45">
      <c r="A1519" s="1" t="s">
        <v>1731</v>
      </c>
      <c r="B1519" s="1" t="s">
        <v>1732</v>
      </c>
      <c r="C1519" s="1" t="s">
        <v>255</v>
      </c>
      <c r="D1519" s="1" t="s">
        <v>2860</v>
      </c>
      <c r="E1519" s="1" t="s">
        <v>3917</v>
      </c>
      <c r="F1519" s="1" t="s">
        <v>3918</v>
      </c>
      <c r="G1519" s="1" t="s">
        <v>4983</v>
      </c>
    </row>
    <row r="1520" spans="1:7" x14ac:dyDescent="0.45">
      <c r="A1520" s="1" t="s">
        <v>2861</v>
      </c>
      <c r="B1520" s="1" t="s">
        <v>2862</v>
      </c>
      <c r="C1520" s="1" t="s">
        <v>255</v>
      </c>
      <c r="D1520" s="1" t="s">
        <v>2863</v>
      </c>
      <c r="E1520" s="1" t="s">
        <v>3919</v>
      </c>
      <c r="F1520" s="1" t="s">
        <v>3918</v>
      </c>
      <c r="G1520" s="1" t="s">
        <v>4983</v>
      </c>
    </row>
    <row r="1521" spans="1:7" x14ac:dyDescent="0.45">
      <c r="A1521" s="1" t="s">
        <v>10585</v>
      </c>
      <c r="B1521" s="1" t="s">
        <v>10586</v>
      </c>
      <c r="C1521" s="1" t="s">
        <v>255</v>
      </c>
      <c r="D1521" s="1" t="s">
        <v>11526</v>
      </c>
      <c r="E1521" s="1" t="s">
        <v>3917</v>
      </c>
      <c r="F1521" s="1" t="s">
        <v>3918</v>
      </c>
      <c r="G1521" s="1" t="s">
        <v>4983</v>
      </c>
    </row>
    <row r="1522" spans="1:7" x14ac:dyDescent="0.45">
      <c r="A1522" s="1" t="s">
        <v>635</v>
      </c>
      <c r="B1522" s="1" t="s">
        <v>634</v>
      </c>
      <c r="C1522" s="1" t="s">
        <v>255</v>
      </c>
      <c r="D1522" s="1" t="s">
        <v>2864</v>
      </c>
      <c r="E1522" s="1" t="s">
        <v>3917</v>
      </c>
      <c r="F1522" s="1" t="s">
        <v>3918</v>
      </c>
      <c r="G1522" s="1" t="s">
        <v>4983</v>
      </c>
    </row>
    <row r="1523" spans="1:7" x14ac:dyDescent="0.45">
      <c r="A1523" s="1" t="s">
        <v>10587</v>
      </c>
      <c r="B1523" s="1" t="s">
        <v>10588</v>
      </c>
      <c r="C1523" s="1" t="s">
        <v>255</v>
      </c>
      <c r="D1523" s="1" t="s">
        <v>11527</v>
      </c>
      <c r="E1523" s="1" t="s">
        <v>3917</v>
      </c>
      <c r="F1523" s="1" t="s">
        <v>3918</v>
      </c>
      <c r="G1523" s="1" t="s">
        <v>4983</v>
      </c>
    </row>
    <row r="1524" spans="1:7" x14ac:dyDescent="0.45">
      <c r="A1524" s="1" t="s">
        <v>4296</v>
      </c>
      <c r="B1524" s="1" t="s">
        <v>4297</v>
      </c>
      <c r="C1524" s="1" t="s">
        <v>255</v>
      </c>
      <c r="D1524" s="1" t="s">
        <v>4809</v>
      </c>
      <c r="E1524" s="1" t="s">
        <v>3917</v>
      </c>
      <c r="F1524" s="1" t="s">
        <v>3918</v>
      </c>
      <c r="G1524" s="1" t="s">
        <v>4983</v>
      </c>
    </row>
    <row r="1525" spans="1:7" x14ac:dyDescent="0.45">
      <c r="A1525" s="1" t="s">
        <v>10589</v>
      </c>
      <c r="B1525" s="1" t="s">
        <v>10590</v>
      </c>
      <c r="C1525" s="1" t="s">
        <v>255</v>
      </c>
      <c r="D1525" s="1" t="s">
        <v>11528</v>
      </c>
      <c r="E1525" s="1" t="s">
        <v>3917</v>
      </c>
      <c r="F1525" s="1" t="s">
        <v>3918</v>
      </c>
      <c r="G1525" s="1" t="s">
        <v>4983</v>
      </c>
    </row>
    <row r="1526" spans="1:7" x14ac:dyDescent="0.45">
      <c r="A1526" s="1" t="s">
        <v>4298</v>
      </c>
      <c r="B1526" s="1" t="s">
        <v>4299</v>
      </c>
      <c r="C1526" s="1" t="s">
        <v>255</v>
      </c>
      <c r="D1526" s="1" t="s">
        <v>3620</v>
      </c>
      <c r="E1526" s="1" t="s">
        <v>3917</v>
      </c>
      <c r="F1526" s="1" t="s">
        <v>3918</v>
      </c>
      <c r="G1526" s="1" t="s">
        <v>4983</v>
      </c>
    </row>
    <row r="1527" spans="1:7" x14ac:dyDescent="0.45">
      <c r="A1527" s="1" t="s">
        <v>3621</v>
      </c>
      <c r="B1527" s="1" t="s">
        <v>3622</v>
      </c>
      <c r="C1527" s="1" t="s">
        <v>255</v>
      </c>
      <c r="D1527" s="1" t="s">
        <v>3623</v>
      </c>
      <c r="E1527" s="1" t="s">
        <v>3917</v>
      </c>
      <c r="F1527" s="1" t="s">
        <v>3918</v>
      </c>
      <c r="G1527" s="1" t="s">
        <v>4983</v>
      </c>
    </row>
    <row r="1528" spans="1:7" x14ac:dyDescent="0.45">
      <c r="A1528" s="1" t="s">
        <v>4300</v>
      </c>
      <c r="B1528" s="1" t="s">
        <v>4301</v>
      </c>
      <c r="C1528" s="1" t="s">
        <v>255</v>
      </c>
      <c r="D1528" s="1" t="s">
        <v>4810</v>
      </c>
      <c r="E1528" s="1" t="s">
        <v>3917</v>
      </c>
      <c r="F1528" s="1" t="s">
        <v>3918</v>
      </c>
      <c r="G1528" s="1" t="s">
        <v>4983</v>
      </c>
    </row>
    <row r="1529" spans="1:7" x14ac:dyDescent="0.45">
      <c r="A1529" s="1" t="s">
        <v>3624</v>
      </c>
      <c r="B1529" s="1" t="s">
        <v>3625</v>
      </c>
      <c r="C1529" s="1" t="s">
        <v>255</v>
      </c>
      <c r="D1529" s="1" t="s">
        <v>1860</v>
      </c>
      <c r="E1529" s="1" t="s">
        <v>3917</v>
      </c>
      <c r="F1529" s="1" t="s">
        <v>3918</v>
      </c>
      <c r="G1529" s="1" t="s">
        <v>4983</v>
      </c>
    </row>
    <row r="1530" spans="1:7" x14ac:dyDescent="0.45">
      <c r="A1530" s="1" t="s">
        <v>7342</v>
      </c>
      <c r="B1530" s="1" t="s">
        <v>7343</v>
      </c>
      <c r="C1530" s="1" t="s">
        <v>255</v>
      </c>
      <c r="D1530" s="1" t="s">
        <v>8164</v>
      </c>
      <c r="E1530" s="1" t="s">
        <v>3917</v>
      </c>
      <c r="F1530" s="1" t="s">
        <v>3918</v>
      </c>
      <c r="G1530" s="1" t="s">
        <v>4983</v>
      </c>
    </row>
    <row r="1531" spans="1:7" x14ac:dyDescent="0.45">
      <c r="A1531" s="1" t="s">
        <v>7344</v>
      </c>
      <c r="B1531" s="1" t="s">
        <v>7345</v>
      </c>
      <c r="C1531" s="1" t="s">
        <v>255</v>
      </c>
      <c r="D1531" s="1" t="s">
        <v>8165</v>
      </c>
      <c r="E1531" s="1" t="s">
        <v>3917</v>
      </c>
      <c r="F1531" s="1" t="s">
        <v>3918</v>
      </c>
      <c r="G1531" s="1" t="s">
        <v>4983</v>
      </c>
    </row>
    <row r="1532" spans="1:7" x14ac:dyDescent="0.45">
      <c r="A1532" s="1" t="s">
        <v>7346</v>
      </c>
      <c r="B1532" s="1" t="s">
        <v>7347</v>
      </c>
      <c r="C1532" s="1" t="s">
        <v>255</v>
      </c>
      <c r="D1532" s="1" t="s">
        <v>8166</v>
      </c>
      <c r="E1532" s="1" t="s">
        <v>3917</v>
      </c>
      <c r="F1532" s="1" t="s">
        <v>3918</v>
      </c>
      <c r="G1532" s="1" t="s">
        <v>4983</v>
      </c>
    </row>
    <row r="1533" spans="1:7" x14ac:dyDescent="0.45">
      <c r="A1533" s="1" t="s">
        <v>4302</v>
      </c>
      <c r="B1533" s="1" t="s">
        <v>4303</v>
      </c>
      <c r="C1533" s="1" t="s">
        <v>255</v>
      </c>
      <c r="D1533" s="1" t="s">
        <v>4811</v>
      </c>
      <c r="E1533" s="1" t="s">
        <v>3917</v>
      </c>
      <c r="F1533" s="1" t="s">
        <v>3918</v>
      </c>
      <c r="G1533" s="1" t="s">
        <v>4983</v>
      </c>
    </row>
    <row r="1534" spans="1:7" x14ac:dyDescent="0.45">
      <c r="A1534" s="1" t="s">
        <v>4304</v>
      </c>
      <c r="B1534" s="1" t="s">
        <v>4305</v>
      </c>
      <c r="C1534" s="1" t="s">
        <v>255</v>
      </c>
      <c r="D1534" s="1" t="s">
        <v>4812</v>
      </c>
      <c r="E1534" s="1" t="s">
        <v>3917</v>
      </c>
      <c r="F1534" s="1" t="s">
        <v>3918</v>
      </c>
      <c r="G1534" s="1" t="s">
        <v>4983</v>
      </c>
    </row>
    <row r="1535" spans="1:7" x14ac:dyDescent="0.45">
      <c r="A1535" s="1" t="s">
        <v>10591</v>
      </c>
      <c r="B1535" s="1" t="s">
        <v>10592</v>
      </c>
      <c r="C1535" s="1" t="s">
        <v>255</v>
      </c>
      <c r="D1535" s="1" t="s">
        <v>11529</v>
      </c>
      <c r="E1535" s="1" t="s">
        <v>3917</v>
      </c>
      <c r="F1535" s="1" t="s">
        <v>3918</v>
      </c>
      <c r="G1535" s="1" t="s">
        <v>4983</v>
      </c>
    </row>
    <row r="1536" spans="1:7" x14ac:dyDescent="0.45">
      <c r="A1536" s="1" t="s">
        <v>633</v>
      </c>
      <c r="B1536" s="1" t="s">
        <v>632</v>
      </c>
      <c r="C1536" s="1" t="s">
        <v>255</v>
      </c>
      <c r="D1536" s="1" t="s">
        <v>2865</v>
      </c>
      <c r="E1536" s="1" t="s">
        <v>3917</v>
      </c>
      <c r="F1536" s="1" t="s">
        <v>3918</v>
      </c>
      <c r="G1536" s="1" t="s">
        <v>4983</v>
      </c>
    </row>
    <row r="1537" spans="1:7" x14ac:dyDescent="0.45">
      <c r="A1537" s="1" t="s">
        <v>10593</v>
      </c>
      <c r="B1537" s="1" t="s">
        <v>10594</v>
      </c>
      <c r="C1537" s="1" t="s">
        <v>255</v>
      </c>
      <c r="D1537" s="1" t="s">
        <v>2865</v>
      </c>
      <c r="E1537" s="1" t="s">
        <v>3917</v>
      </c>
      <c r="F1537" s="1" t="s">
        <v>3918</v>
      </c>
      <c r="G1537" s="1" t="s">
        <v>4983</v>
      </c>
    </row>
    <row r="1538" spans="1:7" x14ac:dyDescent="0.45">
      <c r="A1538" s="1" t="s">
        <v>2866</v>
      </c>
      <c r="B1538" s="1" t="s">
        <v>212</v>
      </c>
      <c r="C1538" s="1" t="s">
        <v>255</v>
      </c>
      <c r="D1538" s="1" t="s">
        <v>2867</v>
      </c>
      <c r="E1538" s="1" t="s">
        <v>3917</v>
      </c>
      <c r="F1538" s="1" t="s">
        <v>3918</v>
      </c>
      <c r="G1538" s="1" t="s">
        <v>4983</v>
      </c>
    </row>
    <row r="1539" spans="1:7" x14ac:dyDescent="0.45">
      <c r="A1539" s="1" t="s">
        <v>10595</v>
      </c>
      <c r="B1539" s="1" t="s">
        <v>10596</v>
      </c>
      <c r="C1539" s="1" t="s">
        <v>255</v>
      </c>
      <c r="D1539" s="1" t="s">
        <v>11530</v>
      </c>
      <c r="E1539" s="1" t="s">
        <v>3917</v>
      </c>
      <c r="F1539" s="1" t="s">
        <v>3918</v>
      </c>
      <c r="G1539" s="1" t="s">
        <v>4983</v>
      </c>
    </row>
    <row r="1540" spans="1:7" x14ac:dyDescent="0.45">
      <c r="A1540" s="1" t="s">
        <v>10597</v>
      </c>
      <c r="B1540" s="1" t="s">
        <v>10598</v>
      </c>
      <c r="C1540" s="1" t="s">
        <v>255</v>
      </c>
      <c r="D1540" s="1" t="s">
        <v>9061</v>
      </c>
      <c r="E1540" s="1" t="s">
        <v>3917</v>
      </c>
      <c r="F1540" s="1" t="s">
        <v>3918</v>
      </c>
      <c r="G1540" s="1" t="s">
        <v>4983</v>
      </c>
    </row>
    <row r="1541" spans="1:7" x14ac:dyDescent="0.45">
      <c r="A1541" s="1" t="s">
        <v>10599</v>
      </c>
      <c r="B1541" s="1" t="s">
        <v>10600</v>
      </c>
      <c r="C1541" s="1" t="s">
        <v>255</v>
      </c>
      <c r="D1541" s="1" t="s">
        <v>11531</v>
      </c>
      <c r="E1541" s="1" t="s">
        <v>3917</v>
      </c>
      <c r="F1541" s="1" t="s">
        <v>3918</v>
      </c>
      <c r="G1541" s="1" t="s">
        <v>4983</v>
      </c>
    </row>
    <row r="1542" spans="1:7" x14ac:dyDescent="0.45">
      <c r="A1542" s="1" t="s">
        <v>631</v>
      </c>
      <c r="B1542" s="1" t="s">
        <v>630</v>
      </c>
      <c r="C1542" s="1" t="s">
        <v>255</v>
      </c>
      <c r="D1542" s="1" t="s">
        <v>2868</v>
      </c>
      <c r="E1542" s="1" t="s">
        <v>3917</v>
      </c>
      <c r="F1542" s="1" t="s">
        <v>3918</v>
      </c>
      <c r="G1542" s="1" t="s">
        <v>4983</v>
      </c>
    </row>
    <row r="1543" spans="1:7" x14ac:dyDescent="0.45">
      <c r="A1543" s="1" t="s">
        <v>7348</v>
      </c>
      <c r="B1543" s="1" t="s">
        <v>2869</v>
      </c>
      <c r="C1543" s="1" t="s">
        <v>255</v>
      </c>
      <c r="D1543" s="1" t="s">
        <v>2870</v>
      </c>
      <c r="E1543" s="1" t="s">
        <v>3917</v>
      </c>
      <c r="F1543" s="1" t="s">
        <v>3918</v>
      </c>
      <c r="G1543" s="1" t="s">
        <v>4983</v>
      </c>
    </row>
    <row r="1544" spans="1:7" x14ac:dyDescent="0.45">
      <c r="A1544" s="1" t="s">
        <v>4306</v>
      </c>
      <c r="B1544" s="1" t="s">
        <v>4307</v>
      </c>
      <c r="C1544" s="1" t="s">
        <v>255</v>
      </c>
      <c r="D1544" s="1" t="s">
        <v>4813</v>
      </c>
      <c r="E1544" s="1" t="s">
        <v>3917</v>
      </c>
      <c r="F1544" s="1" t="s">
        <v>3918</v>
      </c>
      <c r="G1544" s="1" t="s">
        <v>4983</v>
      </c>
    </row>
    <row r="1545" spans="1:7" x14ac:dyDescent="0.45">
      <c r="A1545" s="1" t="s">
        <v>10601</v>
      </c>
      <c r="B1545" s="1" t="s">
        <v>10602</v>
      </c>
      <c r="C1545" s="1" t="s">
        <v>255</v>
      </c>
      <c r="D1545" s="1" t="s">
        <v>11532</v>
      </c>
      <c r="E1545" s="1" t="s">
        <v>3917</v>
      </c>
      <c r="F1545" s="1" t="s">
        <v>3918</v>
      </c>
      <c r="G1545" s="1" t="s">
        <v>4983</v>
      </c>
    </row>
    <row r="1546" spans="1:7" x14ac:dyDescent="0.45">
      <c r="A1546" s="1" t="s">
        <v>7349</v>
      </c>
      <c r="B1546" s="1" t="s">
        <v>7350</v>
      </c>
      <c r="C1546" s="1" t="s">
        <v>255</v>
      </c>
      <c r="D1546" s="1" t="s">
        <v>8167</v>
      </c>
      <c r="E1546" s="1" t="s">
        <v>3917</v>
      </c>
      <c r="F1546" s="1" t="s">
        <v>3918</v>
      </c>
      <c r="G1546" s="1" t="s">
        <v>4983</v>
      </c>
    </row>
    <row r="1547" spans="1:7" x14ac:dyDescent="0.45">
      <c r="A1547" s="1" t="s">
        <v>7351</v>
      </c>
      <c r="B1547" s="1" t="s">
        <v>7352</v>
      </c>
      <c r="C1547" s="1" t="s">
        <v>255</v>
      </c>
      <c r="D1547" s="1" t="s">
        <v>8168</v>
      </c>
      <c r="E1547" s="1" t="s">
        <v>3917</v>
      </c>
      <c r="F1547" s="1" t="s">
        <v>3918</v>
      </c>
      <c r="G1547" s="1" t="s">
        <v>4983</v>
      </c>
    </row>
    <row r="1548" spans="1:7" x14ac:dyDescent="0.45">
      <c r="A1548" s="1" t="s">
        <v>7353</v>
      </c>
      <c r="B1548" s="1" t="s">
        <v>7354</v>
      </c>
      <c r="C1548" s="1" t="s">
        <v>255</v>
      </c>
      <c r="D1548" s="1" t="s">
        <v>8169</v>
      </c>
      <c r="E1548" s="1" t="s">
        <v>3917</v>
      </c>
      <c r="F1548" s="1" t="s">
        <v>3918</v>
      </c>
      <c r="G1548" s="1" t="s">
        <v>4983</v>
      </c>
    </row>
    <row r="1549" spans="1:7" x14ac:dyDescent="0.45">
      <c r="A1549" s="1" t="s">
        <v>7355</v>
      </c>
      <c r="B1549" s="1" t="s">
        <v>5434</v>
      </c>
      <c r="C1549" s="1" t="s">
        <v>255</v>
      </c>
      <c r="D1549" s="1" t="s">
        <v>5229</v>
      </c>
      <c r="E1549" s="1" t="s">
        <v>3917</v>
      </c>
      <c r="F1549" s="1" t="s">
        <v>3918</v>
      </c>
      <c r="G1549" s="1" t="s">
        <v>4983</v>
      </c>
    </row>
    <row r="1550" spans="1:7" x14ac:dyDescent="0.45">
      <c r="A1550" s="1" t="s">
        <v>7356</v>
      </c>
      <c r="B1550" s="1" t="s">
        <v>7357</v>
      </c>
      <c r="C1550" s="1" t="s">
        <v>255</v>
      </c>
      <c r="D1550" s="1" t="s">
        <v>8170</v>
      </c>
      <c r="E1550" s="1" t="s">
        <v>3917</v>
      </c>
      <c r="F1550" s="1" t="s">
        <v>3918</v>
      </c>
      <c r="G1550" s="1" t="s">
        <v>4983</v>
      </c>
    </row>
    <row r="1551" spans="1:7" x14ac:dyDescent="0.45">
      <c r="A1551" s="1" t="s">
        <v>1733</v>
      </c>
      <c r="B1551" s="1" t="s">
        <v>1734</v>
      </c>
      <c r="C1551" s="1" t="s">
        <v>255</v>
      </c>
      <c r="D1551" s="1" t="s">
        <v>2871</v>
      </c>
      <c r="E1551" s="1" t="s">
        <v>3917</v>
      </c>
      <c r="F1551" s="1" t="s">
        <v>3918</v>
      </c>
      <c r="G1551" s="1" t="s">
        <v>4983</v>
      </c>
    </row>
    <row r="1552" spans="1:7" x14ac:dyDescent="0.45">
      <c r="A1552" s="1" t="s">
        <v>627</v>
      </c>
      <c r="B1552" s="1" t="s">
        <v>626</v>
      </c>
      <c r="C1552" s="1" t="s">
        <v>255</v>
      </c>
      <c r="D1552" s="1" t="s">
        <v>2875</v>
      </c>
      <c r="E1552" s="1" t="s">
        <v>3917</v>
      </c>
      <c r="F1552" s="1" t="s">
        <v>3918</v>
      </c>
      <c r="G1552" s="1" t="s">
        <v>4983</v>
      </c>
    </row>
    <row r="1553" spans="1:7" x14ac:dyDescent="0.45">
      <c r="A1553" s="1" t="s">
        <v>10603</v>
      </c>
      <c r="B1553" s="1" t="s">
        <v>5778</v>
      </c>
      <c r="C1553" s="1" t="s">
        <v>255</v>
      </c>
      <c r="D1553" s="1" t="s">
        <v>5779</v>
      </c>
      <c r="E1553" s="1" t="s">
        <v>3917</v>
      </c>
      <c r="F1553" s="1" t="s">
        <v>3918</v>
      </c>
      <c r="G1553" s="1" t="s">
        <v>4983</v>
      </c>
    </row>
    <row r="1554" spans="1:7" x14ac:dyDescent="0.45">
      <c r="A1554" s="1" t="s">
        <v>4308</v>
      </c>
      <c r="B1554" s="1" t="s">
        <v>4309</v>
      </c>
      <c r="C1554" s="1" t="s">
        <v>255</v>
      </c>
      <c r="D1554" s="1" t="s">
        <v>2876</v>
      </c>
      <c r="E1554" s="1" t="s">
        <v>3917</v>
      </c>
      <c r="F1554" s="1" t="s">
        <v>3918</v>
      </c>
      <c r="G1554" s="1" t="s">
        <v>4983</v>
      </c>
    </row>
    <row r="1555" spans="1:7" x14ac:dyDescent="0.45">
      <c r="A1555" s="1" t="s">
        <v>10604</v>
      </c>
      <c r="B1555" s="1" t="s">
        <v>10605</v>
      </c>
      <c r="C1555" s="1" t="s">
        <v>255</v>
      </c>
      <c r="D1555" s="1" t="s">
        <v>11533</v>
      </c>
      <c r="E1555" s="1" t="s">
        <v>3917</v>
      </c>
      <c r="F1555" s="1" t="s">
        <v>3918</v>
      </c>
      <c r="G1555" s="1" t="s">
        <v>4983</v>
      </c>
    </row>
    <row r="1556" spans="1:7" x14ac:dyDescent="0.45">
      <c r="A1556" s="1" t="s">
        <v>10606</v>
      </c>
      <c r="B1556" s="1" t="s">
        <v>10607</v>
      </c>
      <c r="C1556" s="1" t="s">
        <v>255</v>
      </c>
      <c r="D1556" s="1" t="s">
        <v>11534</v>
      </c>
      <c r="E1556" s="1" t="s">
        <v>3917</v>
      </c>
      <c r="F1556" s="1" t="s">
        <v>3918</v>
      </c>
      <c r="G1556" s="1" t="s">
        <v>4983</v>
      </c>
    </row>
    <row r="1557" spans="1:7" x14ac:dyDescent="0.45">
      <c r="A1557" s="1" t="s">
        <v>3627</v>
      </c>
      <c r="B1557" s="1" t="s">
        <v>3628</v>
      </c>
      <c r="C1557" s="1" t="s">
        <v>255</v>
      </c>
      <c r="D1557" s="1" t="s">
        <v>3629</v>
      </c>
      <c r="E1557" s="1" t="s">
        <v>3917</v>
      </c>
      <c r="F1557" s="1" t="s">
        <v>3918</v>
      </c>
      <c r="G1557" s="1" t="s">
        <v>4983</v>
      </c>
    </row>
    <row r="1558" spans="1:7" x14ac:dyDescent="0.45">
      <c r="A1558" s="1" t="s">
        <v>10608</v>
      </c>
      <c r="B1558" s="1" t="s">
        <v>10609</v>
      </c>
      <c r="C1558" s="1" t="s">
        <v>255</v>
      </c>
      <c r="D1558" s="1" t="s">
        <v>11535</v>
      </c>
      <c r="E1558" s="1" t="s">
        <v>3917</v>
      </c>
      <c r="F1558" s="1" t="s">
        <v>3918</v>
      </c>
      <c r="G1558" s="1" t="s">
        <v>4983</v>
      </c>
    </row>
    <row r="1559" spans="1:7" x14ac:dyDescent="0.45">
      <c r="A1559" s="1" t="s">
        <v>4310</v>
      </c>
      <c r="B1559" s="1" t="s">
        <v>4311</v>
      </c>
      <c r="C1559" s="1" t="s">
        <v>255</v>
      </c>
      <c r="D1559" s="1" t="s">
        <v>4814</v>
      </c>
      <c r="E1559" s="1" t="s">
        <v>3917</v>
      </c>
      <c r="F1559" s="1" t="s">
        <v>3918</v>
      </c>
      <c r="G1559" s="1" t="s">
        <v>4983</v>
      </c>
    </row>
    <row r="1560" spans="1:7" x14ac:dyDescent="0.45">
      <c r="A1560" s="1" t="s">
        <v>625</v>
      </c>
      <c r="B1560" s="1" t="s">
        <v>624</v>
      </c>
      <c r="C1560" s="1" t="s">
        <v>255</v>
      </c>
      <c r="D1560" s="1" t="s">
        <v>2877</v>
      </c>
      <c r="E1560" s="1" t="s">
        <v>3917</v>
      </c>
      <c r="F1560" s="1" t="s">
        <v>3918</v>
      </c>
      <c r="G1560" s="1" t="s">
        <v>4983</v>
      </c>
    </row>
    <row r="1561" spans="1:7" x14ac:dyDescent="0.45">
      <c r="A1561" s="1" t="s">
        <v>7358</v>
      </c>
      <c r="B1561" s="1" t="s">
        <v>7359</v>
      </c>
      <c r="C1561" s="1" t="s">
        <v>255</v>
      </c>
      <c r="D1561" s="1" t="s">
        <v>8171</v>
      </c>
      <c r="E1561" s="1" t="s">
        <v>3917</v>
      </c>
      <c r="F1561" s="1" t="s">
        <v>3918</v>
      </c>
      <c r="G1561" s="1" t="s">
        <v>4983</v>
      </c>
    </row>
    <row r="1562" spans="1:7" x14ac:dyDescent="0.45">
      <c r="A1562" s="1" t="s">
        <v>7360</v>
      </c>
      <c r="B1562" s="1" t="s">
        <v>7361</v>
      </c>
      <c r="C1562" s="1" t="s">
        <v>255</v>
      </c>
      <c r="D1562" s="1" t="s">
        <v>8172</v>
      </c>
      <c r="E1562" s="1" t="s">
        <v>3917</v>
      </c>
      <c r="F1562" s="1" t="s">
        <v>3918</v>
      </c>
      <c r="G1562" s="1" t="s">
        <v>4983</v>
      </c>
    </row>
    <row r="1563" spans="1:7" x14ac:dyDescent="0.45">
      <c r="A1563" s="1" t="s">
        <v>7362</v>
      </c>
      <c r="B1563" s="1" t="s">
        <v>7363</v>
      </c>
      <c r="C1563" s="1" t="s">
        <v>255</v>
      </c>
      <c r="D1563" s="1" t="s">
        <v>5692</v>
      </c>
      <c r="E1563" s="1" t="s">
        <v>3917</v>
      </c>
      <c r="F1563" s="1" t="s">
        <v>3918</v>
      </c>
      <c r="G1563" s="1" t="s">
        <v>4983</v>
      </c>
    </row>
    <row r="1564" spans="1:7" x14ac:dyDescent="0.45">
      <c r="A1564" s="1" t="s">
        <v>4312</v>
      </c>
      <c r="B1564" s="1" t="s">
        <v>4313</v>
      </c>
      <c r="C1564" s="1" t="s">
        <v>255</v>
      </c>
      <c r="D1564" s="1" t="s">
        <v>4815</v>
      </c>
      <c r="E1564" s="1" t="s">
        <v>3917</v>
      </c>
      <c r="F1564" s="1" t="s">
        <v>3918</v>
      </c>
      <c r="G1564" s="1" t="s">
        <v>4983</v>
      </c>
    </row>
    <row r="1565" spans="1:7" x14ac:dyDescent="0.45">
      <c r="A1565" s="1" t="s">
        <v>3630</v>
      </c>
      <c r="B1565" s="1" t="s">
        <v>3631</v>
      </c>
      <c r="C1565" s="1" t="s">
        <v>255</v>
      </c>
      <c r="D1565" s="1" t="s">
        <v>2364</v>
      </c>
      <c r="E1565" s="1" t="s">
        <v>3917</v>
      </c>
      <c r="F1565" s="1" t="s">
        <v>3918</v>
      </c>
      <c r="G1565" s="1" t="s">
        <v>4983</v>
      </c>
    </row>
    <row r="1566" spans="1:7" x14ac:dyDescent="0.45">
      <c r="A1566" s="1" t="s">
        <v>3632</v>
      </c>
      <c r="B1566" s="1" t="s">
        <v>3633</v>
      </c>
      <c r="C1566" s="1" t="s">
        <v>255</v>
      </c>
      <c r="D1566" s="1" t="s">
        <v>3634</v>
      </c>
      <c r="E1566" s="1" t="s">
        <v>3917</v>
      </c>
      <c r="F1566" s="1" t="s">
        <v>3918</v>
      </c>
      <c r="G1566" s="1" t="s">
        <v>4983</v>
      </c>
    </row>
    <row r="1567" spans="1:7" x14ac:dyDescent="0.45">
      <c r="A1567" s="1" t="s">
        <v>4314</v>
      </c>
      <c r="B1567" s="1" t="s">
        <v>3303</v>
      </c>
      <c r="C1567" s="1" t="s">
        <v>255</v>
      </c>
      <c r="D1567" s="1" t="s">
        <v>2878</v>
      </c>
      <c r="E1567" s="1" t="s">
        <v>3917</v>
      </c>
      <c r="F1567" s="1" t="s">
        <v>3918</v>
      </c>
      <c r="G1567" s="1" t="s">
        <v>4983</v>
      </c>
    </row>
    <row r="1568" spans="1:7" x14ac:dyDescent="0.45">
      <c r="A1568" s="1" t="s">
        <v>623</v>
      </c>
      <c r="B1568" s="1" t="s">
        <v>622</v>
      </c>
      <c r="C1568" s="1" t="s">
        <v>255</v>
      </c>
      <c r="D1568" s="1" t="s">
        <v>2101</v>
      </c>
      <c r="E1568" s="1" t="s">
        <v>3917</v>
      </c>
      <c r="F1568" s="1" t="s">
        <v>3918</v>
      </c>
      <c r="G1568" s="1" t="s">
        <v>4983</v>
      </c>
    </row>
    <row r="1569" spans="1:7" x14ac:dyDescent="0.45">
      <c r="A1569" s="1" t="s">
        <v>7364</v>
      </c>
      <c r="B1569" s="1" t="s">
        <v>7365</v>
      </c>
      <c r="C1569" s="1" t="s">
        <v>255</v>
      </c>
      <c r="D1569" s="1" t="s">
        <v>2101</v>
      </c>
      <c r="E1569" s="1" t="s">
        <v>3917</v>
      </c>
      <c r="F1569" s="1" t="s">
        <v>3918</v>
      </c>
      <c r="G1569" s="1" t="s">
        <v>4983</v>
      </c>
    </row>
    <row r="1570" spans="1:7" x14ac:dyDescent="0.45">
      <c r="A1570" s="1" t="s">
        <v>4315</v>
      </c>
      <c r="B1570" s="1" t="s">
        <v>4316</v>
      </c>
      <c r="C1570" s="1" t="s">
        <v>255</v>
      </c>
      <c r="D1570" s="1" t="s">
        <v>4816</v>
      </c>
      <c r="E1570" s="1" t="s">
        <v>3917</v>
      </c>
      <c r="F1570" s="1" t="s">
        <v>3918</v>
      </c>
      <c r="G1570" s="1" t="s">
        <v>4983</v>
      </c>
    </row>
    <row r="1571" spans="1:7" x14ac:dyDescent="0.45">
      <c r="A1571" s="1" t="s">
        <v>10610</v>
      </c>
      <c r="B1571" s="1" t="s">
        <v>5921</v>
      </c>
      <c r="C1571" s="1" t="s">
        <v>255</v>
      </c>
      <c r="D1571" s="1" t="s">
        <v>5922</v>
      </c>
      <c r="E1571" s="1" t="s">
        <v>3917</v>
      </c>
      <c r="F1571" s="1" t="s">
        <v>3918</v>
      </c>
      <c r="G1571" s="1" t="s">
        <v>4983</v>
      </c>
    </row>
    <row r="1572" spans="1:7" x14ac:dyDescent="0.45">
      <c r="A1572" s="1" t="s">
        <v>10611</v>
      </c>
      <c r="B1572" s="1" t="s">
        <v>5674</v>
      </c>
      <c r="C1572" s="1" t="s">
        <v>255</v>
      </c>
      <c r="D1572" s="1" t="s">
        <v>5675</v>
      </c>
      <c r="E1572" s="1" t="s">
        <v>3917</v>
      </c>
      <c r="F1572" s="1" t="s">
        <v>3918</v>
      </c>
      <c r="G1572" s="1" t="s">
        <v>4983</v>
      </c>
    </row>
    <row r="1573" spans="1:7" x14ac:dyDescent="0.45">
      <c r="A1573" s="1" t="s">
        <v>10612</v>
      </c>
      <c r="B1573" s="1" t="s">
        <v>10613</v>
      </c>
      <c r="C1573" s="1" t="s">
        <v>255</v>
      </c>
      <c r="D1573" s="1" t="s">
        <v>11536</v>
      </c>
      <c r="E1573" s="1" t="s">
        <v>3917</v>
      </c>
      <c r="F1573" s="1" t="s">
        <v>3918</v>
      </c>
      <c r="G1573" s="1" t="s">
        <v>4983</v>
      </c>
    </row>
    <row r="1574" spans="1:7" x14ac:dyDescent="0.45">
      <c r="A1574" s="1" t="s">
        <v>7366</v>
      </c>
      <c r="B1574" s="1" t="s">
        <v>7367</v>
      </c>
      <c r="C1574" s="1" t="s">
        <v>255</v>
      </c>
      <c r="D1574" s="1" t="s">
        <v>8173</v>
      </c>
      <c r="E1574" s="1" t="s">
        <v>3917</v>
      </c>
      <c r="F1574" s="1" t="s">
        <v>3918</v>
      </c>
      <c r="G1574" s="1" t="s">
        <v>4983</v>
      </c>
    </row>
    <row r="1575" spans="1:7" x14ac:dyDescent="0.45">
      <c r="A1575" s="1" t="s">
        <v>7368</v>
      </c>
      <c r="B1575" s="1" t="s">
        <v>7369</v>
      </c>
      <c r="C1575" s="1" t="s">
        <v>255</v>
      </c>
      <c r="D1575" s="1" t="s">
        <v>8174</v>
      </c>
      <c r="E1575" s="1" t="s">
        <v>3917</v>
      </c>
      <c r="F1575" s="1" t="s">
        <v>3918</v>
      </c>
      <c r="G1575" s="1" t="s">
        <v>4983</v>
      </c>
    </row>
    <row r="1576" spans="1:7" x14ac:dyDescent="0.45">
      <c r="A1576" s="1" t="s">
        <v>7370</v>
      </c>
      <c r="B1576" s="1" t="s">
        <v>7371</v>
      </c>
      <c r="C1576" s="1" t="s">
        <v>255</v>
      </c>
      <c r="D1576" s="1" t="s">
        <v>8175</v>
      </c>
      <c r="E1576" s="1" t="s">
        <v>3917</v>
      </c>
      <c r="F1576" s="1" t="s">
        <v>3918</v>
      </c>
      <c r="G1576" s="1" t="s">
        <v>4983</v>
      </c>
    </row>
    <row r="1577" spans="1:7" x14ac:dyDescent="0.45">
      <c r="A1577" s="1" t="s">
        <v>3635</v>
      </c>
      <c r="B1577" s="1" t="s">
        <v>3636</v>
      </c>
      <c r="C1577" s="1" t="s">
        <v>255</v>
      </c>
      <c r="D1577" s="1" t="s">
        <v>3637</v>
      </c>
      <c r="E1577" s="1" t="s">
        <v>3917</v>
      </c>
      <c r="F1577" s="1" t="s">
        <v>3918</v>
      </c>
      <c r="G1577" s="1" t="s">
        <v>4983</v>
      </c>
    </row>
    <row r="1578" spans="1:7" x14ac:dyDescent="0.45">
      <c r="A1578" s="1" t="s">
        <v>1737</v>
      </c>
      <c r="B1578" s="1" t="s">
        <v>619</v>
      </c>
      <c r="C1578" s="1" t="s">
        <v>255</v>
      </c>
      <c r="D1578" s="1" t="s">
        <v>2879</v>
      </c>
      <c r="E1578" s="1" t="s">
        <v>3917</v>
      </c>
      <c r="F1578" s="1" t="s">
        <v>3918</v>
      </c>
      <c r="G1578" s="1" t="s">
        <v>4983</v>
      </c>
    </row>
    <row r="1579" spans="1:7" x14ac:dyDescent="0.45">
      <c r="A1579" s="1" t="s">
        <v>7372</v>
      </c>
      <c r="B1579" s="1" t="s">
        <v>7373</v>
      </c>
      <c r="C1579" s="1" t="s">
        <v>255</v>
      </c>
      <c r="D1579" s="1" t="s">
        <v>8176</v>
      </c>
      <c r="E1579" s="1" t="s">
        <v>3917</v>
      </c>
      <c r="F1579" s="1" t="s">
        <v>3918</v>
      </c>
      <c r="G1579" s="1" t="s">
        <v>4983</v>
      </c>
    </row>
    <row r="1580" spans="1:7" x14ac:dyDescent="0.45">
      <c r="A1580" s="1" t="s">
        <v>3638</v>
      </c>
      <c r="B1580" s="1" t="s">
        <v>3639</v>
      </c>
      <c r="C1580" s="1" t="s">
        <v>255</v>
      </c>
      <c r="D1580" s="1" t="s">
        <v>3640</v>
      </c>
      <c r="E1580" s="1" t="s">
        <v>3917</v>
      </c>
      <c r="F1580" s="1" t="s">
        <v>3918</v>
      </c>
      <c r="G1580" s="1" t="s">
        <v>4983</v>
      </c>
    </row>
    <row r="1581" spans="1:7" x14ac:dyDescent="0.45">
      <c r="A1581" s="1" t="s">
        <v>3641</v>
      </c>
      <c r="B1581" s="1" t="s">
        <v>3642</v>
      </c>
      <c r="C1581" s="1" t="s">
        <v>255</v>
      </c>
      <c r="D1581" s="1" t="s">
        <v>3643</v>
      </c>
      <c r="E1581" s="1" t="s">
        <v>3917</v>
      </c>
      <c r="F1581" s="1" t="s">
        <v>3918</v>
      </c>
      <c r="G1581" s="1" t="s">
        <v>4983</v>
      </c>
    </row>
    <row r="1582" spans="1:7" x14ac:dyDescent="0.45">
      <c r="A1582" s="1" t="s">
        <v>10614</v>
      </c>
      <c r="B1582" s="1" t="s">
        <v>10615</v>
      </c>
      <c r="C1582" s="1" t="s">
        <v>255</v>
      </c>
      <c r="D1582" s="1" t="s">
        <v>11537</v>
      </c>
      <c r="E1582" s="1" t="s">
        <v>3917</v>
      </c>
      <c r="F1582" s="1" t="s">
        <v>3918</v>
      </c>
      <c r="G1582" s="1" t="s">
        <v>4983</v>
      </c>
    </row>
    <row r="1583" spans="1:7" x14ac:dyDescent="0.45">
      <c r="A1583" s="1" t="s">
        <v>7374</v>
      </c>
      <c r="B1583" s="1" t="s">
        <v>5353</v>
      </c>
      <c r="C1583" s="1" t="s">
        <v>255</v>
      </c>
      <c r="D1583" s="1" t="s">
        <v>5354</v>
      </c>
      <c r="E1583" s="1" t="s">
        <v>3917</v>
      </c>
      <c r="F1583" s="1" t="s">
        <v>3918</v>
      </c>
      <c r="G1583" s="1" t="s">
        <v>4983</v>
      </c>
    </row>
    <row r="1584" spans="1:7" x14ac:dyDescent="0.45">
      <c r="A1584" s="1" t="s">
        <v>7375</v>
      </c>
      <c r="B1584" s="1" t="s">
        <v>7376</v>
      </c>
      <c r="C1584" s="1" t="s">
        <v>255</v>
      </c>
      <c r="D1584" s="1" t="s">
        <v>8177</v>
      </c>
      <c r="E1584" s="1" t="s">
        <v>3917</v>
      </c>
      <c r="F1584" s="1" t="s">
        <v>3918</v>
      </c>
      <c r="G1584" s="1" t="s">
        <v>4983</v>
      </c>
    </row>
    <row r="1585" spans="1:7" x14ac:dyDescent="0.45">
      <c r="A1585" s="1" t="s">
        <v>10616</v>
      </c>
      <c r="B1585" s="1" t="s">
        <v>10617</v>
      </c>
      <c r="C1585" s="1" t="s">
        <v>255</v>
      </c>
      <c r="D1585" s="1" t="s">
        <v>11538</v>
      </c>
      <c r="E1585" s="1" t="s">
        <v>3917</v>
      </c>
      <c r="F1585" s="1" t="s">
        <v>3918</v>
      </c>
      <c r="G1585" s="1" t="s">
        <v>4983</v>
      </c>
    </row>
    <row r="1586" spans="1:7" x14ac:dyDescent="0.45">
      <c r="A1586" s="1" t="s">
        <v>1738</v>
      </c>
      <c r="B1586" s="1" t="s">
        <v>1739</v>
      </c>
      <c r="C1586" s="1" t="s">
        <v>255</v>
      </c>
      <c r="D1586" s="1" t="s">
        <v>2880</v>
      </c>
      <c r="E1586" s="1" t="s">
        <v>3917</v>
      </c>
      <c r="F1586" s="1" t="s">
        <v>3918</v>
      </c>
      <c r="G1586" s="1" t="s">
        <v>4983</v>
      </c>
    </row>
    <row r="1587" spans="1:7" x14ac:dyDescent="0.45">
      <c r="A1587" s="1" t="s">
        <v>7377</v>
      </c>
      <c r="B1587" s="1" t="s">
        <v>7378</v>
      </c>
      <c r="C1587" s="1" t="s">
        <v>255</v>
      </c>
      <c r="D1587" s="1" t="s">
        <v>8178</v>
      </c>
      <c r="E1587" s="1" t="s">
        <v>3917</v>
      </c>
      <c r="F1587" s="1" t="s">
        <v>3918</v>
      </c>
      <c r="G1587" s="1" t="s">
        <v>4983</v>
      </c>
    </row>
    <row r="1588" spans="1:7" x14ac:dyDescent="0.45">
      <c r="A1588" s="1" t="s">
        <v>4317</v>
      </c>
      <c r="B1588" s="1" t="s">
        <v>4318</v>
      </c>
      <c r="C1588" s="1" t="s">
        <v>255</v>
      </c>
      <c r="D1588" s="1" t="s">
        <v>4817</v>
      </c>
      <c r="E1588" s="1" t="s">
        <v>3917</v>
      </c>
      <c r="F1588" s="1" t="s">
        <v>3918</v>
      </c>
      <c r="G1588" s="1" t="s">
        <v>4983</v>
      </c>
    </row>
    <row r="1589" spans="1:7" x14ac:dyDescent="0.45">
      <c r="A1589" s="1" t="s">
        <v>7379</v>
      </c>
      <c r="B1589" s="1" t="s">
        <v>7380</v>
      </c>
      <c r="C1589" s="1" t="s">
        <v>255</v>
      </c>
      <c r="D1589" s="1" t="s">
        <v>8179</v>
      </c>
      <c r="E1589" s="1" t="s">
        <v>3917</v>
      </c>
      <c r="F1589" s="1" t="s">
        <v>3918</v>
      </c>
      <c r="G1589" s="1" t="s">
        <v>4983</v>
      </c>
    </row>
    <row r="1590" spans="1:7" x14ac:dyDescent="0.45">
      <c r="A1590" s="1" t="s">
        <v>7381</v>
      </c>
      <c r="B1590" s="1" t="s">
        <v>7382</v>
      </c>
      <c r="C1590" s="1" t="s">
        <v>255</v>
      </c>
      <c r="D1590" s="1" t="s">
        <v>8180</v>
      </c>
      <c r="E1590" s="1" t="s">
        <v>3917</v>
      </c>
      <c r="F1590" s="1" t="s">
        <v>3918</v>
      </c>
      <c r="G1590" s="1" t="s">
        <v>4983</v>
      </c>
    </row>
    <row r="1591" spans="1:7" x14ac:dyDescent="0.45">
      <c r="A1591" s="1" t="s">
        <v>618</v>
      </c>
      <c r="B1591" s="1" t="s">
        <v>617</v>
      </c>
      <c r="C1591" s="1" t="s">
        <v>255</v>
      </c>
      <c r="D1591" s="1" t="s">
        <v>2881</v>
      </c>
      <c r="E1591" s="1" t="s">
        <v>3917</v>
      </c>
      <c r="F1591" s="1" t="s">
        <v>3918</v>
      </c>
      <c r="G1591" s="1" t="s">
        <v>4983</v>
      </c>
    </row>
    <row r="1592" spans="1:7" x14ac:dyDescent="0.45">
      <c r="A1592" s="1" t="s">
        <v>7383</v>
      </c>
      <c r="B1592" s="1" t="s">
        <v>7384</v>
      </c>
      <c r="C1592" s="1" t="s">
        <v>255</v>
      </c>
      <c r="D1592" s="1" t="s">
        <v>8181</v>
      </c>
      <c r="E1592" s="1" t="s">
        <v>3917</v>
      </c>
      <c r="F1592" s="1" t="s">
        <v>3918</v>
      </c>
      <c r="G1592" s="1" t="s">
        <v>4983</v>
      </c>
    </row>
    <row r="1593" spans="1:7" x14ac:dyDescent="0.45">
      <c r="A1593" s="1" t="s">
        <v>7385</v>
      </c>
      <c r="B1593" s="1" t="s">
        <v>7386</v>
      </c>
      <c r="C1593" s="1" t="s">
        <v>255</v>
      </c>
      <c r="D1593" s="1" t="s">
        <v>8182</v>
      </c>
      <c r="E1593" s="1" t="s">
        <v>3917</v>
      </c>
      <c r="F1593" s="1" t="s">
        <v>3918</v>
      </c>
      <c r="G1593" s="1" t="s">
        <v>4983</v>
      </c>
    </row>
    <row r="1594" spans="1:7" x14ac:dyDescent="0.45">
      <c r="A1594" s="1" t="s">
        <v>7387</v>
      </c>
      <c r="B1594" s="1" t="s">
        <v>7388</v>
      </c>
      <c r="C1594" s="1" t="s">
        <v>255</v>
      </c>
      <c r="D1594" s="1" t="s">
        <v>8183</v>
      </c>
      <c r="E1594" s="1" t="s">
        <v>3917</v>
      </c>
      <c r="F1594" s="1" t="s">
        <v>3918</v>
      </c>
      <c r="G1594" s="1" t="s">
        <v>4983</v>
      </c>
    </row>
    <row r="1595" spans="1:7" x14ac:dyDescent="0.45">
      <c r="A1595" s="1" t="s">
        <v>7389</v>
      </c>
      <c r="B1595" s="1" t="s">
        <v>7390</v>
      </c>
      <c r="C1595" s="1" t="s">
        <v>255</v>
      </c>
      <c r="D1595" s="1" t="s">
        <v>8184</v>
      </c>
      <c r="E1595" s="1" t="s">
        <v>3917</v>
      </c>
      <c r="F1595" s="1" t="s">
        <v>3918</v>
      </c>
      <c r="G1595" s="1" t="s">
        <v>4983</v>
      </c>
    </row>
    <row r="1596" spans="1:7" x14ac:dyDescent="0.45">
      <c r="A1596" s="1" t="s">
        <v>10618</v>
      </c>
      <c r="B1596" s="1" t="s">
        <v>10619</v>
      </c>
      <c r="C1596" s="1" t="s">
        <v>255</v>
      </c>
      <c r="D1596" s="1" t="s">
        <v>11539</v>
      </c>
      <c r="E1596" s="1" t="s">
        <v>3917</v>
      </c>
      <c r="F1596" s="1" t="s">
        <v>3918</v>
      </c>
      <c r="G1596" s="1" t="s">
        <v>4983</v>
      </c>
    </row>
    <row r="1597" spans="1:7" x14ac:dyDescent="0.45">
      <c r="A1597" s="1" t="s">
        <v>4319</v>
      </c>
      <c r="B1597" s="1" t="s">
        <v>4320</v>
      </c>
      <c r="C1597" s="1" t="s">
        <v>255</v>
      </c>
      <c r="D1597" s="1" t="s">
        <v>4818</v>
      </c>
      <c r="E1597" s="1" t="s">
        <v>3917</v>
      </c>
      <c r="F1597" s="1" t="s">
        <v>3918</v>
      </c>
      <c r="G1597" s="1" t="s">
        <v>4983</v>
      </c>
    </row>
    <row r="1598" spans="1:7" x14ac:dyDescent="0.45">
      <c r="A1598" s="1" t="s">
        <v>2882</v>
      </c>
      <c r="B1598" s="1" t="s">
        <v>2883</v>
      </c>
      <c r="C1598" s="1" t="s">
        <v>255</v>
      </c>
      <c r="D1598" s="1" t="s">
        <v>2884</v>
      </c>
      <c r="E1598" s="1" t="s">
        <v>3917</v>
      </c>
      <c r="F1598" s="1" t="s">
        <v>3918</v>
      </c>
      <c r="G1598" s="1" t="s">
        <v>4983</v>
      </c>
    </row>
    <row r="1599" spans="1:7" x14ac:dyDescent="0.45">
      <c r="A1599" s="1" t="s">
        <v>10620</v>
      </c>
      <c r="B1599" s="1" t="s">
        <v>10621</v>
      </c>
      <c r="C1599" s="1" t="s">
        <v>255</v>
      </c>
      <c r="D1599" s="1" t="s">
        <v>11540</v>
      </c>
      <c r="E1599" s="1" t="s">
        <v>3917</v>
      </c>
      <c r="F1599" s="1" t="s">
        <v>3918</v>
      </c>
      <c r="G1599" s="1" t="s">
        <v>4983</v>
      </c>
    </row>
    <row r="1600" spans="1:7" x14ac:dyDescent="0.45">
      <c r="A1600" s="1" t="s">
        <v>7391</v>
      </c>
      <c r="B1600" s="1" t="s">
        <v>7392</v>
      </c>
      <c r="C1600" s="1" t="s">
        <v>255</v>
      </c>
      <c r="D1600" s="1" t="s">
        <v>8185</v>
      </c>
      <c r="E1600" s="1" t="s">
        <v>3917</v>
      </c>
      <c r="F1600" s="1" t="s">
        <v>3918</v>
      </c>
      <c r="G1600" s="1" t="s">
        <v>4983</v>
      </c>
    </row>
    <row r="1601" spans="1:7" x14ac:dyDescent="0.45">
      <c r="A1601" s="1" t="s">
        <v>10622</v>
      </c>
      <c r="B1601" s="1" t="s">
        <v>10623</v>
      </c>
      <c r="C1601" s="1" t="s">
        <v>255</v>
      </c>
      <c r="D1601" s="1" t="s">
        <v>11541</v>
      </c>
      <c r="E1601" s="1" t="s">
        <v>3917</v>
      </c>
      <c r="F1601" s="1" t="s">
        <v>3918</v>
      </c>
      <c r="G1601" s="1" t="s">
        <v>4983</v>
      </c>
    </row>
    <row r="1602" spans="1:7" x14ac:dyDescent="0.45">
      <c r="A1602" s="1" t="s">
        <v>10624</v>
      </c>
      <c r="B1602" s="1" t="s">
        <v>5529</v>
      </c>
      <c r="C1602" s="1" t="s">
        <v>255</v>
      </c>
      <c r="D1602" s="1" t="s">
        <v>5530</v>
      </c>
      <c r="E1602" s="1" t="s">
        <v>3917</v>
      </c>
      <c r="F1602" s="1" t="s">
        <v>3918</v>
      </c>
      <c r="G1602" s="1" t="s">
        <v>4983</v>
      </c>
    </row>
    <row r="1603" spans="1:7" x14ac:dyDescent="0.45">
      <c r="A1603" s="1" t="s">
        <v>10625</v>
      </c>
      <c r="B1603" s="1" t="s">
        <v>5069</v>
      </c>
      <c r="C1603" s="1" t="s">
        <v>255</v>
      </c>
      <c r="D1603" s="1" t="s">
        <v>5070</v>
      </c>
      <c r="E1603" s="1" t="s">
        <v>3917</v>
      </c>
      <c r="F1603" s="1" t="s">
        <v>3918</v>
      </c>
      <c r="G1603" s="1" t="s">
        <v>4983</v>
      </c>
    </row>
    <row r="1604" spans="1:7" x14ac:dyDescent="0.45">
      <c r="A1604" s="1" t="s">
        <v>616</v>
      </c>
      <c r="B1604" s="1" t="s">
        <v>615</v>
      </c>
      <c r="C1604" s="1" t="s">
        <v>255</v>
      </c>
      <c r="D1604" s="1" t="s">
        <v>2885</v>
      </c>
      <c r="E1604" s="1" t="s">
        <v>3917</v>
      </c>
      <c r="F1604" s="1" t="s">
        <v>3918</v>
      </c>
      <c r="G1604" s="1" t="s">
        <v>4983</v>
      </c>
    </row>
    <row r="1605" spans="1:7" x14ac:dyDescent="0.45">
      <c r="A1605" s="1" t="s">
        <v>3644</v>
      </c>
      <c r="B1605" s="1" t="s">
        <v>3645</v>
      </c>
      <c r="C1605" s="1" t="s">
        <v>255</v>
      </c>
      <c r="D1605" s="1" t="s">
        <v>3646</v>
      </c>
      <c r="E1605" s="1" t="s">
        <v>3917</v>
      </c>
      <c r="F1605" s="1" t="s">
        <v>3918</v>
      </c>
      <c r="G1605" s="1" t="s">
        <v>4983</v>
      </c>
    </row>
    <row r="1606" spans="1:7" x14ac:dyDescent="0.45">
      <c r="A1606" s="1" t="s">
        <v>4323</v>
      </c>
      <c r="B1606" s="1" t="s">
        <v>4324</v>
      </c>
      <c r="C1606" s="1" t="s">
        <v>255</v>
      </c>
      <c r="D1606" s="1" t="s">
        <v>4820</v>
      </c>
      <c r="E1606" s="1" t="s">
        <v>3917</v>
      </c>
      <c r="F1606" s="1" t="s">
        <v>3918</v>
      </c>
      <c r="G1606" s="1" t="s">
        <v>4983</v>
      </c>
    </row>
    <row r="1607" spans="1:7" x14ac:dyDescent="0.45">
      <c r="A1607" s="1" t="s">
        <v>10626</v>
      </c>
      <c r="B1607" s="1" t="s">
        <v>10627</v>
      </c>
      <c r="C1607" s="1" t="s">
        <v>255</v>
      </c>
      <c r="D1607" s="1" t="s">
        <v>11542</v>
      </c>
      <c r="E1607" s="1" t="s">
        <v>3917</v>
      </c>
      <c r="F1607" s="1" t="s">
        <v>3918</v>
      </c>
      <c r="G1607" s="1" t="s">
        <v>4983</v>
      </c>
    </row>
    <row r="1608" spans="1:7" x14ac:dyDescent="0.45">
      <c r="A1608" s="1" t="s">
        <v>7393</v>
      </c>
      <c r="B1608" s="1" t="s">
        <v>7394</v>
      </c>
      <c r="C1608" s="1" t="s">
        <v>255</v>
      </c>
      <c r="D1608" s="1" t="s">
        <v>8186</v>
      </c>
      <c r="E1608" s="1" t="s">
        <v>3917</v>
      </c>
      <c r="F1608" s="1" t="s">
        <v>3918</v>
      </c>
      <c r="G1608" s="1" t="s">
        <v>4983</v>
      </c>
    </row>
    <row r="1609" spans="1:7" x14ac:dyDescent="0.45">
      <c r="A1609" s="1" t="s">
        <v>7395</v>
      </c>
      <c r="B1609" s="1" t="s">
        <v>7396</v>
      </c>
      <c r="C1609" s="1" t="s">
        <v>255</v>
      </c>
      <c r="D1609" s="1" t="s">
        <v>8187</v>
      </c>
      <c r="E1609" s="1" t="s">
        <v>3917</v>
      </c>
      <c r="F1609" s="1" t="s">
        <v>3918</v>
      </c>
      <c r="G1609" s="1" t="s">
        <v>4983</v>
      </c>
    </row>
    <row r="1610" spans="1:7" x14ac:dyDescent="0.45">
      <c r="A1610" s="1" t="s">
        <v>10628</v>
      </c>
      <c r="B1610" s="1" t="s">
        <v>10629</v>
      </c>
      <c r="C1610" s="1" t="s">
        <v>255</v>
      </c>
      <c r="D1610" s="1" t="s">
        <v>11543</v>
      </c>
      <c r="E1610" s="1" t="s">
        <v>3917</v>
      </c>
      <c r="F1610" s="1" t="s">
        <v>3918</v>
      </c>
      <c r="G1610" s="1" t="s">
        <v>4983</v>
      </c>
    </row>
    <row r="1611" spans="1:7" x14ac:dyDescent="0.45">
      <c r="A1611" s="1" t="s">
        <v>10630</v>
      </c>
      <c r="B1611" s="1" t="s">
        <v>10631</v>
      </c>
      <c r="C1611" s="1" t="s">
        <v>255</v>
      </c>
      <c r="D1611" s="1" t="s">
        <v>11544</v>
      </c>
      <c r="E1611" s="1" t="s">
        <v>3917</v>
      </c>
      <c r="F1611" s="1" t="s">
        <v>3918</v>
      </c>
      <c r="G1611" s="1" t="s">
        <v>4983</v>
      </c>
    </row>
    <row r="1612" spans="1:7" x14ac:dyDescent="0.45">
      <c r="A1612" s="1" t="s">
        <v>10632</v>
      </c>
      <c r="B1612" s="1" t="s">
        <v>10633</v>
      </c>
      <c r="C1612" s="1" t="s">
        <v>255</v>
      </c>
      <c r="D1612" s="1" t="s">
        <v>11545</v>
      </c>
      <c r="E1612" s="1" t="s">
        <v>3919</v>
      </c>
      <c r="F1612" s="1" t="s">
        <v>3918</v>
      </c>
      <c r="G1612" s="1" t="s">
        <v>4983</v>
      </c>
    </row>
    <row r="1613" spans="1:7" x14ac:dyDescent="0.45">
      <c r="A1613" s="1" t="s">
        <v>7397</v>
      </c>
      <c r="B1613" s="1" t="s">
        <v>7398</v>
      </c>
      <c r="C1613" s="1" t="s">
        <v>255</v>
      </c>
      <c r="D1613" s="1" t="s">
        <v>8188</v>
      </c>
      <c r="E1613" s="1" t="s">
        <v>3917</v>
      </c>
      <c r="F1613" s="1" t="s">
        <v>3918</v>
      </c>
      <c r="G1613" s="1" t="s">
        <v>4983</v>
      </c>
    </row>
    <row r="1614" spans="1:7" x14ac:dyDescent="0.45">
      <c r="A1614" s="1" t="s">
        <v>10634</v>
      </c>
      <c r="B1614" s="1" t="s">
        <v>5919</v>
      </c>
      <c r="C1614" s="1" t="s">
        <v>255</v>
      </c>
      <c r="D1614" s="1" t="s">
        <v>5920</v>
      </c>
      <c r="E1614" s="1" t="s">
        <v>3917</v>
      </c>
      <c r="F1614" s="1" t="s">
        <v>3918</v>
      </c>
      <c r="G1614" s="1" t="s">
        <v>4983</v>
      </c>
    </row>
    <row r="1615" spans="1:7" x14ac:dyDescent="0.45">
      <c r="A1615" s="1" t="s">
        <v>612</v>
      </c>
      <c r="B1615" s="1" t="s">
        <v>611</v>
      </c>
      <c r="C1615" s="1" t="s">
        <v>255</v>
      </c>
      <c r="D1615" s="1" t="s">
        <v>2886</v>
      </c>
      <c r="E1615" s="1" t="s">
        <v>3917</v>
      </c>
      <c r="F1615" s="1" t="s">
        <v>3918</v>
      </c>
      <c r="G1615" s="1" t="s">
        <v>4983</v>
      </c>
    </row>
    <row r="1616" spans="1:7" x14ac:dyDescent="0.45">
      <c r="A1616" s="1" t="s">
        <v>7399</v>
      </c>
      <c r="B1616" s="1" t="s">
        <v>7400</v>
      </c>
      <c r="C1616" s="1" t="s">
        <v>255</v>
      </c>
      <c r="D1616" s="1" t="s">
        <v>8189</v>
      </c>
      <c r="E1616" s="1" t="s">
        <v>3917</v>
      </c>
      <c r="F1616" s="1" t="s">
        <v>3918</v>
      </c>
      <c r="G1616" s="1" t="s">
        <v>4983</v>
      </c>
    </row>
    <row r="1617" spans="1:7" x14ac:dyDescent="0.45">
      <c r="A1617" s="1" t="s">
        <v>2887</v>
      </c>
      <c r="B1617" s="1" t="s">
        <v>2888</v>
      </c>
      <c r="C1617" s="1" t="s">
        <v>255</v>
      </c>
      <c r="D1617" s="1" t="s">
        <v>2889</v>
      </c>
      <c r="E1617" s="1" t="s">
        <v>3917</v>
      </c>
      <c r="F1617" s="1" t="s">
        <v>3918</v>
      </c>
      <c r="G1617" s="1" t="s">
        <v>4983</v>
      </c>
    </row>
    <row r="1618" spans="1:7" x14ac:dyDescent="0.45">
      <c r="A1618" s="1" t="s">
        <v>10635</v>
      </c>
      <c r="B1618" s="1" t="s">
        <v>10636</v>
      </c>
      <c r="C1618" s="1" t="s">
        <v>255</v>
      </c>
      <c r="D1618" s="1" t="s">
        <v>11546</v>
      </c>
      <c r="E1618" s="1" t="s">
        <v>3917</v>
      </c>
      <c r="F1618" s="1" t="s">
        <v>3918</v>
      </c>
      <c r="G1618" s="1" t="s">
        <v>4983</v>
      </c>
    </row>
    <row r="1619" spans="1:7" x14ac:dyDescent="0.45">
      <c r="A1619" s="1" t="s">
        <v>7401</v>
      </c>
      <c r="B1619" s="1" t="s">
        <v>7402</v>
      </c>
      <c r="C1619" s="1" t="s">
        <v>255</v>
      </c>
      <c r="D1619" s="1" t="s">
        <v>8190</v>
      </c>
      <c r="E1619" s="1" t="s">
        <v>3917</v>
      </c>
      <c r="F1619" s="1" t="s">
        <v>3918</v>
      </c>
      <c r="G1619" s="1" t="s">
        <v>4983</v>
      </c>
    </row>
    <row r="1620" spans="1:7" x14ac:dyDescent="0.45">
      <c r="A1620" s="1" t="s">
        <v>4325</v>
      </c>
      <c r="B1620" s="1" t="s">
        <v>4326</v>
      </c>
      <c r="C1620" s="1" t="s">
        <v>255</v>
      </c>
      <c r="D1620" s="1" t="s">
        <v>4821</v>
      </c>
      <c r="E1620" s="1" t="s">
        <v>3917</v>
      </c>
      <c r="F1620" s="1" t="s">
        <v>3918</v>
      </c>
      <c r="G1620" s="1" t="s">
        <v>4983</v>
      </c>
    </row>
    <row r="1621" spans="1:7" x14ac:dyDescent="0.45">
      <c r="A1621" s="1" t="s">
        <v>10637</v>
      </c>
      <c r="B1621" s="1" t="s">
        <v>10638</v>
      </c>
      <c r="C1621" s="1" t="s">
        <v>255</v>
      </c>
      <c r="D1621" s="1" t="s">
        <v>11547</v>
      </c>
      <c r="E1621" s="1" t="s">
        <v>3917</v>
      </c>
      <c r="F1621" s="1" t="s">
        <v>3918</v>
      </c>
      <c r="G1621" s="1" t="s">
        <v>4983</v>
      </c>
    </row>
    <row r="1622" spans="1:7" x14ac:dyDescent="0.45">
      <c r="A1622" s="1" t="s">
        <v>608</v>
      </c>
      <c r="B1622" s="1" t="s">
        <v>607</v>
      </c>
      <c r="C1622" s="1" t="s">
        <v>255</v>
      </c>
      <c r="D1622" s="1" t="s">
        <v>2890</v>
      </c>
      <c r="E1622" s="1" t="s">
        <v>3917</v>
      </c>
      <c r="F1622" s="1" t="s">
        <v>3918</v>
      </c>
      <c r="G1622" s="1" t="s">
        <v>4983</v>
      </c>
    </row>
    <row r="1623" spans="1:7" x14ac:dyDescent="0.45">
      <c r="A1623" s="1" t="s">
        <v>7403</v>
      </c>
      <c r="B1623" s="1" t="s">
        <v>7404</v>
      </c>
      <c r="C1623" s="1" t="s">
        <v>255</v>
      </c>
      <c r="D1623" s="1" t="s">
        <v>8191</v>
      </c>
      <c r="E1623" s="1" t="s">
        <v>3917</v>
      </c>
      <c r="F1623" s="1" t="s">
        <v>3918</v>
      </c>
      <c r="G1623" s="1" t="s">
        <v>4983</v>
      </c>
    </row>
    <row r="1624" spans="1:7" x14ac:dyDescent="0.45">
      <c r="A1624" s="1" t="s">
        <v>3647</v>
      </c>
      <c r="B1624" s="1" t="s">
        <v>3648</v>
      </c>
      <c r="C1624" s="1" t="s">
        <v>255</v>
      </c>
      <c r="D1624" s="1" t="s">
        <v>3649</v>
      </c>
      <c r="E1624" s="1" t="s">
        <v>3917</v>
      </c>
      <c r="F1624" s="1" t="s">
        <v>3918</v>
      </c>
      <c r="G1624" s="1" t="s">
        <v>4983</v>
      </c>
    </row>
    <row r="1625" spans="1:7" x14ac:dyDescent="0.45">
      <c r="A1625" s="1" t="s">
        <v>7405</v>
      </c>
      <c r="B1625" s="1" t="s">
        <v>7406</v>
      </c>
      <c r="C1625" s="1" t="s">
        <v>255</v>
      </c>
      <c r="D1625" s="1" t="s">
        <v>8192</v>
      </c>
      <c r="E1625" s="1" t="s">
        <v>3917</v>
      </c>
      <c r="F1625" s="1" t="s">
        <v>3918</v>
      </c>
      <c r="G1625" s="1" t="s">
        <v>4983</v>
      </c>
    </row>
    <row r="1626" spans="1:7" x14ac:dyDescent="0.45">
      <c r="A1626" s="1" t="s">
        <v>7407</v>
      </c>
      <c r="B1626" s="1" t="s">
        <v>7408</v>
      </c>
      <c r="C1626" s="1" t="s">
        <v>255</v>
      </c>
      <c r="D1626" s="1" t="s">
        <v>8193</v>
      </c>
      <c r="E1626" s="1" t="s">
        <v>3917</v>
      </c>
      <c r="F1626" s="1" t="s">
        <v>3918</v>
      </c>
      <c r="G1626" s="1" t="s">
        <v>4983</v>
      </c>
    </row>
    <row r="1627" spans="1:7" x14ac:dyDescent="0.45">
      <c r="A1627" s="1" t="s">
        <v>7409</v>
      </c>
      <c r="B1627" s="1" t="s">
        <v>5510</v>
      </c>
      <c r="C1627" s="1" t="s">
        <v>255</v>
      </c>
      <c r="D1627" s="1" t="s">
        <v>8194</v>
      </c>
      <c r="E1627" s="1" t="s">
        <v>3917</v>
      </c>
      <c r="F1627" s="1" t="s">
        <v>3918</v>
      </c>
      <c r="G1627" s="1" t="s">
        <v>4983</v>
      </c>
    </row>
    <row r="1628" spans="1:7" x14ac:dyDescent="0.45">
      <c r="A1628" s="1" t="s">
        <v>10639</v>
      </c>
      <c r="B1628" s="1" t="s">
        <v>10640</v>
      </c>
      <c r="C1628" s="1" t="s">
        <v>255</v>
      </c>
      <c r="D1628" s="1" t="s">
        <v>11548</v>
      </c>
      <c r="E1628" s="1" t="s">
        <v>3917</v>
      </c>
      <c r="F1628" s="1" t="s">
        <v>3918</v>
      </c>
      <c r="G1628" s="1" t="s">
        <v>4983</v>
      </c>
    </row>
    <row r="1629" spans="1:7" x14ac:dyDescent="0.45">
      <c r="A1629" s="1" t="s">
        <v>7410</v>
      </c>
      <c r="B1629" s="1" t="s">
        <v>7411</v>
      </c>
      <c r="C1629" s="1" t="s">
        <v>255</v>
      </c>
      <c r="D1629" s="1" t="s">
        <v>8195</v>
      </c>
      <c r="E1629" s="1" t="s">
        <v>3917</v>
      </c>
      <c r="F1629" s="1" t="s">
        <v>3918</v>
      </c>
      <c r="G1629" s="1" t="s">
        <v>4983</v>
      </c>
    </row>
    <row r="1630" spans="1:7" x14ac:dyDescent="0.45">
      <c r="A1630" s="1" t="s">
        <v>7412</v>
      </c>
      <c r="B1630" s="1" t="s">
        <v>7413</v>
      </c>
      <c r="C1630" s="1" t="s">
        <v>255</v>
      </c>
      <c r="D1630" s="1" t="s">
        <v>8196</v>
      </c>
      <c r="E1630" s="1" t="s">
        <v>3917</v>
      </c>
      <c r="F1630" s="1" t="s">
        <v>3918</v>
      </c>
      <c r="G1630" s="1" t="s">
        <v>4983</v>
      </c>
    </row>
    <row r="1631" spans="1:7" x14ac:dyDescent="0.45">
      <c r="A1631" s="1" t="s">
        <v>4327</v>
      </c>
      <c r="B1631" s="1" t="s">
        <v>4328</v>
      </c>
      <c r="C1631" s="1" t="s">
        <v>255</v>
      </c>
      <c r="D1631" s="1" t="s">
        <v>4822</v>
      </c>
      <c r="E1631" s="1" t="s">
        <v>3917</v>
      </c>
      <c r="F1631" s="1" t="s">
        <v>3918</v>
      </c>
      <c r="G1631" s="1" t="s">
        <v>4983</v>
      </c>
    </row>
    <row r="1632" spans="1:7" x14ac:dyDescent="0.45">
      <c r="A1632" s="1" t="s">
        <v>7416</v>
      </c>
      <c r="B1632" s="1" t="s">
        <v>7417</v>
      </c>
      <c r="C1632" s="1" t="s">
        <v>255</v>
      </c>
      <c r="D1632" s="1" t="s">
        <v>8198</v>
      </c>
      <c r="E1632" s="1" t="s">
        <v>3917</v>
      </c>
      <c r="F1632" s="1" t="s">
        <v>3918</v>
      </c>
      <c r="G1632" s="1" t="s">
        <v>4983</v>
      </c>
    </row>
    <row r="1633" spans="1:7" x14ac:dyDescent="0.45">
      <c r="A1633" s="1" t="s">
        <v>10641</v>
      </c>
      <c r="B1633" s="1" t="s">
        <v>10642</v>
      </c>
      <c r="C1633" s="1" t="s">
        <v>255</v>
      </c>
      <c r="D1633" s="1" t="s">
        <v>11549</v>
      </c>
      <c r="E1633" s="1" t="s">
        <v>3917</v>
      </c>
      <c r="F1633" s="1" t="s">
        <v>3918</v>
      </c>
      <c r="G1633" s="1" t="s">
        <v>4983</v>
      </c>
    </row>
    <row r="1634" spans="1:7" x14ac:dyDescent="0.45">
      <c r="A1634" s="1" t="s">
        <v>10643</v>
      </c>
      <c r="B1634" s="1" t="s">
        <v>10644</v>
      </c>
      <c r="C1634" s="1" t="s">
        <v>255</v>
      </c>
      <c r="D1634" s="1" t="s">
        <v>11550</v>
      </c>
      <c r="E1634" s="1" t="s">
        <v>3919</v>
      </c>
      <c r="F1634" s="1" t="s">
        <v>3918</v>
      </c>
      <c r="G1634" s="1" t="s">
        <v>4983</v>
      </c>
    </row>
    <row r="1635" spans="1:7" x14ac:dyDescent="0.45">
      <c r="A1635" s="1" t="s">
        <v>10645</v>
      </c>
      <c r="B1635" s="1" t="s">
        <v>5413</v>
      </c>
      <c r="C1635" s="1" t="s">
        <v>255</v>
      </c>
      <c r="D1635" s="1" t="s">
        <v>5414</v>
      </c>
      <c r="E1635" s="1" t="s">
        <v>3917</v>
      </c>
      <c r="F1635" s="1" t="s">
        <v>3918</v>
      </c>
      <c r="G1635" s="1" t="s">
        <v>4983</v>
      </c>
    </row>
    <row r="1636" spans="1:7" x14ac:dyDescent="0.45">
      <c r="A1636" s="1" t="s">
        <v>4329</v>
      </c>
      <c r="B1636" s="1" t="s">
        <v>4330</v>
      </c>
      <c r="C1636" s="1" t="s">
        <v>255</v>
      </c>
      <c r="D1636" s="1" t="s">
        <v>4823</v>
      </c>
      <c r="E1636" s="1" t="s">
        <v>3917</v>
      </c>
      <c r="F1636" s="1" t="s">
        <v>3918</v>
      </c>
      <c r="G1636" s="1" t="s">
        <v>4983</v>
      </c>
    </row>
    <row r="1637" spans="1:7" x14ac:dyDescent="0.45">
      <c r="A1637" s="1" t="s">
        <v>10646</v>
      </c>
      <c r="B1637" s="1" t="s">
        <v>10647</v>
      </c>
      <c r="C1637" s="1" t="s">
        <v>255</v>
      </c>
      <c r="D1637" s="1" t="s">
        <v>2379</v>
      </c>
      <c r="E1637" s="1" t="s">
        <v>3917</v>
      </c>
      <c r="F1637" s="1" t="s">
        <v>3918</v>
      </c>
      <c r="G1637" s="1" t="s">
        <v>4983</v>
      </c>
    </row>
    <row r="1638" spans="1:7" x14ac:dyDescent="0.45">
      <c r="A1638" s="1" t="s">
        <v>606</v>
      </c>
      <c r="B1638" s="1" t="s">
        <v>605</v>
      </c>
      <c r="C1638" s="1" t="s">
        <v>255</v>
      </c>
      <c r="D1638" s="1" t="s">
        <v>2891</v>
      </c>
      <c r="E1638" s="1" t="s">
        <v>3917</v>
      </c>
      <c r="F1638" s="1" t="s">
        <v>3918</v>
      </c>
      <c r="G1638" s="1" t="s">
        <v>4983</v>
      </c>
    </row>
    <row r="1639" spans="1:7" x14ac:dyDescent="0.45">
      <c r="A1639" s="1" t="s">
        <v>7420</v>
      </c>
      <c r="B1639" s="1" t="s">
        <v>7421</v>
      </c>
      <c r="C1639" s="1" t="s">
        <v>255</v>
      </c>
      <c r="D1639" s="1" t="s">
        <v>8199</v>
      </c>
      <c r="E1639" s="1" t="s">
        <v>3917</v>
      </c>
      <c r="F1639" s="1" t="s">
        <v>3918</v>
      </c>
      <c r="G1639" s="1" t="s">
        <v>4983</v>
      </c>
    </row>
    <row r="1640" spans="1:7" x14ac:dyDescent="0.45">
      <c r="A1640" s="1" t="s">
        <v>604</v>
      </c>
      <c r="B1640" s="1" t="s">
        <v>603</v>
      </c>
      <c r="C1640" s="1" t="s">
        <v>255</v>
      </c>
      <c r="D1640" s="1" t="s">
        <v>2892</v>
      </c>
      <c r="E1640" s="1" t="s">
        <v>3917</v>
      </c>
      <c r="F1640" s="1" t="s">
        <v>3918</v>
      </c>
      <c r="G1640" s="1" t="s">
        <v>4983</v>
      </c>
    </row>
    <row r="1641" spans="1:7" x14ac:dyDescent="0.45">
      <c r="A1641" s="1" t="s">
        <v>3653</v>
      </c>
      <c r="B1641" s="1" t="s">
        <v>3654</v>
      </c>
      <c r="C1641" s="1" t="s">
        <v>255</v>
      </c>
      <c r="D1641" s="1" t="s">
        <v>3652</v>
      </c>
      <c r="E1641" s="1" t="s">
        <v>3917</v>
      </c>
      <c r="F1641" s="1" t="s">
        <v>3918</v>
      </c>
      <c r="G1641" s="1" t="s">
        <v>4983</v>
      </c>
    </row>
    <row r="1642" spans="1:7" x14ac:dyDescent="0.45">
      <c r="A1642" s="1" t="s">
        <v>7422</v>
      </c>
      <c r="B1642" s="1" t="s">
        <v>7423</v>
      </c>
      <c r="C1642" s="1" t="s">
        <v>255</v>
      </c>
      <c r="D1642" s="1" t="s">
        <v>8200</v>
      </c>
      <c r="E1642" s="1" t="s">
        <v>3917</v>
      </c>
      <c r="F1642" s="1" t="s">
        <v>3918</v>
      </c>
      <c r="G1642" s="1" t="s">
        <v>4983</v>
      </c>
    </row>
    <row r="1643" spans="1:7" x14ac:dyDescent="0.45">
      <c r="A1643" s="1" t="s">
        <v>3655</v>
      </c>
      <c r="B1643" s="1" t="s">
        <v>3656</v>
      </c>
      <c r="C1643" s="1" t="s">
        <v>255</v>
      </c>
      <c r="D1643" s="1" t="s">
        <v>3657</v>
      </c>
      <c r="E1643" s="1" t="s">
        <v>3917</v>
      </c>
      <c r="F1643" s="1" t="s">
        <v>3918</v>
      </c>
      <c r="G1643" s="1" t="s">
        <v>4983</v>
      </c>
    </row>
    <row r="1644" spans="1:7" x14ac:dyDescent="0.45">
      <c r="A1644" s="1" t="s">
        <v>10648</v>
      </c>
      <c r="B1644" s="1" t="s">
        <v>10649</v>
      </c>
      <c r="C1644" s="1" t="s">
        <v>255</v>
      </c>
      <c r="D1644" s="1" t="s">
        <v>11551</v>
      </c>
      <c r="E1644" s="1" t="s">
        <v>3917</v>
      </c>
      <c r="F1644" s="1" t="s">
        <v>3918</v>
      </c>
      <c r="G1644" s="1" t="s">
        <v>4983</v>
      </c>
    </row>
    <row r="1645" spans="1:7" x14ac:dyDescent="0.45">
      <c r="A1645" s="1" t="s">
        <v>10650</v>
      </c>
      <c r="B1645" s="1" t="s">
        <v>10651</v>
      </c>
      <c r="C1645" s="1" t="s">
        <v>255</v>
      </c>
      <c r="D1645" s="1" t="s">
        <v>11552</v>
      </c>
      <c r="E1645" s="1" t="s">
        <v>3919</v>
      </c>
      <c r="F1645" s="1" t="s">
        <v>3918</v>
      </c>
      <c r="G1645" s="1" t="s">
        <v>4983</v>
      </c>
    </row>
    <row r="1646" spans="1:7" x14ac:dyDescent="0.45">
      <c r="A1646" s="1" t="s">
        <v>7424</v>
      </c>
      <c r="B1646" s="1" t="s">
        <v>7425</v>
      </c>
      <c r="C1646" s="1" t="s">
        <v>255</v>
      </c>
      <c r="D1646" s="1" t="s">
        <v>8201</v>
      </c>
      <c r="E1646" s="1" t="s">
        <v>3917</v>
      </c>
      <c r="F1646" s="1" t="s">
        <v>3918</v>
      </c>
      <c r="G1646" s="1" t="s">
        <v>4983</v>
      </c>
    </row>
    <row r="1647" spans="1:7" x14ac:dyDescent="0.45">
      <c r="A1647" s="1" t="s">
        <v>7426</v>
      </c>
      <c r="B1647" s="1" t="s">
        <v>7427</v>
      </c>
      <c r="C1647" s="1" t="s">
        <v>255</v>
      </c>
      <c r="D1647" s="1" t="s">
        <v>8202</v>
      </c>
      <c r="E1647" s="1" t="s">
        <v>3917</v>
      </c>
      <c r="F1647" s="1" t="s">
        <v>3918</v>
      </c>
      <c r="G1647" s="1" t="s">
        <v>4983</v>
      </c>
    </row>
    <row r="1648" spans="1:7" x14ac:dyDescent="0.45">
      <c r="A1648" s="1" t="s">
        <v>10652</v>
      </c>
      <c r="B1648" s="1" t="s">
        <v>10653</v>
      </c>
      <c r="C1648" s="1" t="s">
        <v>255</v>
      </c>
      <c r="D1648" s="1" t="s">
        <v>11553</v>
      </c>
      <c r="E1648" s="1" t="s">
        <v>3917</v>
      </c>
      <c r="F1648" s="1" t="s">
        <v>3918</v>
      </c>
      <c r="G1648" s="1" t="s">
        <v>4983</v>
      </c>
    </row>
    <row r="1649" spans="1:7" x14ac:dyDescent="0.45">
      <c r="A1649" s="1" t="s">
        <v>3658</v>
      </c>
      <c r="B1649" s="1" t="s">
        <v>3659</v>
      </c>
      <c r="C1649" s="1" t="s">
        <v>255</v>
      </c>
      <c r="D1649" s="1" t="s">
        <v>3660</v>
      </c>
      <c r="E1649" s="1" t="s">
        <v>3917</v>
      </c>
      <c r="F1649" s="1" t="s">
        <v>3918</v>
      </c>
      <c r="G1649" s="1" t="s">
        <v>4983</v>
      </c>
    </row>
    <row r="1650" spans="1:7" x14ac:dyDescent="0.45">
      <c r="A1650" s="1" t="s">
        <v>602</v>
      </c>
      <c r="B1650" s="1" t="s">
        <v>601</v>
      </c>
      <c r="C1650" s="1" t="s">
        <v>255</v>
      </c>
      <c r="D1650" s="1" t="s">
        <v>2893</v>
      </c>
      <c r="E1650" s="1" t="s">
        <v>3917</v>
      </c>
      <c r="F1650" s="1" t="s">
        <v>3918</v>
      </c>
      <c r="G1650" s="1" t="s">
        <v>4983</v>
      </c>
    </row>
    <row r="1651" spans="1:7" x14ac:dyDescent="0.45">
      <c r="A1651" s="1" t="s">
        <v>600</v>
      </c>
      <c r="B1651" s="1" t="s">
        <v>599</v>
      </c>
      <c r="C1651" s="1" t="s">
        <v>255</v>
      </c>
      <c r="D1651" s="1" t="s">
        <v>2894</v>
      </c>
      <c r="E1651" s="1" t="s">
        <v>3917</v>
      </c>
      <c r="F1651" s="1" t="s">
        <v>3918</v>
      </c>
      <c r="G1651" s="1" t="s">
        <v>4983</v>
      </c>
    </row>
    <row r="1652" spans="1:7" x14ac:dyDescent="0.45">
      <c r="A1652" s="1" t="s">
        <v>4331</v>
      </c>
      <c r="B1652" s="1" t="s">
        <v>4332</v>
      </c>
      <c r="C1652" s="1" t="s">
        <v>255</v>
      </c>
      <c r="D1652" s="1" t="s">
        <v>4824</v>
      </c>
      <c r="E1652" s="1" t="s">
        <v>3917</v>
      </c>
      <c r="F1652" s="1" t="s">
        <v>3918</v>
      </c>
      <c r="G1652" s="1" t="s">
        <v>4983</v>
      </c>
    </row>
    <row r="1653" spans="1:7" x14ac:dyDescent="0.45">
      <c r="A1653" s="1" t="s">
        <v>10654</v>
      </c>
      <c r="B1653" s="1" t="s">
        <v>10655</v>
      </c>
      <c r="C1653" s="1" t="s">
        <v>255</v>
      </c>
      <c r="D1653" s="1" t="s">
        <v>11554</v>
      </c>
      <c r="E1653" s="1" t="s">
        <v>3917</v>
      </c>
      <c r="F1653" s="1" t="s">
        <v>3918</v>
      </c>
      <c r="G1653" s="1" t="s">
        <v>4983</v>
      </c>
    </row>
    <row r="1654" spans="1:7" x14ac:dyDescent="0.45">
      <c r="A1654" s="1" t="s">
        <v>7428</v>
      </c>
      <c r="B1654" s="1" t="s">
        <v>7429</v>
      </c>
      <c r="C1654" s="1" t="s">
        <v>255</v>
      </c>
      <c r="D1654" s="1" t="s">
        <v>8203</v>
      </c>
      <c r="E1654" s="1" t="s">
        <v>3917</v>
      </c>
      <c r="F1654" s="1" t="s">
        <v>3918</v>
      </c>
      <c r="G1654" s="1" t="s">
        <v>4983</v>
      </c>
    </row>
    <row r="1655" spans="1:7" x14ac:dyDescent="0.45">
      <c r="A1655" s="1" t="s">
        <v>3661</v>
      </c>
      <c r="B1655" s="1" t="s">
        <v>3662</v>
      </c>
      <c r="C1655" s="1" t="s">
        <v>255</v>
      </c>
      <c r="D1655" s="1" t="s">
        <v>3663</v>
      </c>
      <c r="E1655" s="1" t="s">
        <v>3917</v>
      </c>
      <c r="F1655" s="1" t="s">
        <v>3918</v>
      </c>
      <c r="G1655" s="1" t="s">
        <v>4983</v>
      </c>
    </row>
    <row r="1656" spans="1:7" x14ac:dyDescent="0.45">
      <c r="A1656" s="1" t="s">
        <v>7430</v>
      </c>
      <c r="B1656" s="1" t="s">
        <v>7431</v>
      </c>
      <c r="C1656" s="1" t="s">
        <v>255</v>
      </c>
      <c r="D1656" s="1" t="s">
        <v>8204</v>
      </c>
      <c r="E1656" s="1" t="s">
        <v>3917</v>
      </c>
      <c r="F1656" s="1" t="s">
        <v>3918</v>
      </c>
      <c r="G1656" s="1" t="s">
        <v>4983</v>
      </c>
    </row>
    <row r="1657" spans="1:7" x14ac:dyDescent="0.45">
      <c r="A1657" s="1" t="s">
        <v>2895</v>
      </c>
      <c r="B1657" s="1" t="s">
        <v>2896</v>
      </c>
      <c r="C1657" s="1" t="s">
        <v>255</v>
      </c>
      <c r="D1657" s="1" t="s">
        <v>2897</v>
      </c>
      <c r="E1657" s="1" t="s">
        <v>3917</v>
      </c>
      <c r="F1657" s="1" t="s">
        <v>3918</v>
      </c>
      <c r="G1657" s="1" t="s">
        <v>4983</v>
      </c>
    </row>
    <row r="1658" spans="1:7" x14ac:dyDescent="0.45">
      <c r="A1658" s="1" t="s">
        <v>7432</v>
      </c>
      <c r="B1658" s="1" t="s">
        <v>7433</v>
      </c>
      <c r="C1658" s="1" t="s">
        <v>255</v>
      </c>
      <c r="D1658" s="1" t="s">
        <v>8205</v>
      </c>
      <c r="E1658" s="1" t="s">
        <v>3917</v>
      </c>
      <c r="F1658" s="1" t="s">
        <v>3918</v>
      </c>
      <c r="G1658" s="1" t="s">
        <v>4983</v>
      </c>
    </row>
    <row r="1659" spans="1:7" x14ac:dyDescent="0.45">
      <c r="A1659" s="1" t="s">
        <v>3664</v>
      </c>
      <c r="B1659" s="1" t="s">
        <v>3665</v>
      </c>
      <c r="C1659" s="1" t="s">
        <v>255</v>
      </c>
      <c r="D1659" s="1" t="s">
        <v>3666</v>
      </c>
      <c r="E1659" s="1" t="s">
        <v>3917</v>
      </c>
      <c r="F1659" s="1" t="s">
        <v>3918</v>
      </c>
      <c r="G1659" s="1" t="s">
        <v>4983</v>
      </c>
    </row>
    <row r="1660" spans="1:7" x14ac:dyDescent="0.45">
      <c r="A1660" s="1" t="s">
        <v>10656</v>
      </c>
      <c r="B1660" s="1" t="s">
        <v>10657</v>
      </c>
      <c r="C1660" s="1" t="s">
        <v>255</v>
      </c>
      <c r="D1660" s="1" t="s">
        <v>11555</v>
      </c>
      <c r="E1660" s="1" t="s">
        <v>3919</v>
      </c>
      <c r="F1660" s="1" t="s">
        <v>3918</v>
      </c>
      <c r="G1660" s="1" t="s">
        <v>4983</v>
      </c>
    </row>
    <row r="1661" spans="1:7" x14ac:dyDescent="0.45">
      <c r="A1661" s="1" t="s">
        <v>2898</v>
      </c>
      <c r="B1661" s="1" t="s">
        <v>2899</v>
      </c>
      <c r="C1661" s="1" t="s">
        <v>255</v>
      </c>
      <c r="D1661" s="1" t="s">
        <v>2900</v>
      </c>
      <c r="E1661" s="1" t="s">
        <v>3917</v>
      </c>
      <c r="F1661" s="1" t="s">
        <v>3918</v>
      </c>
      <c r="G1661" s="1" t="s">
        <v>4983</v>
      </c>
    </row>
    <row r="1662" spans="1:7" x14ac:dyDescent="0.45">
      <c r="A1662" s="1" t="s">
        <v>4333</v>
      </c>
      <c r="B1662" s="1" t="s">
        <v>4334</v>
      </c>
      <c r="C1662" s="1" t="s">
        <v>255</v>
      </c>
      <c r="D1662" s="1" t="s">
        <v>4825</v>
      </c>
      <c r="E1662" s="1" t="s">
        <v>3917</v>
      </c>
      <c r="F1662" s="1" t="s">
        <v>3918</v>
      </c>
      <c r="G1662" s="1" t="s">
        <v>4983</v>
      </c>
    </row>
    <row r="1663" spans="1:7" x14ac:dyDescent="0.45">
      <c r="A1663" s="1" t="s">
        <v>10658</v>
      </c>
      <c r="B1663" s="1" t="s">
        <v>10659</v>
      </c>
      <c r="C1663" s="1" t="s">
        <v>255</v>
      </c>
      <c r="D1663" s="1" t="s">
        <v>11556</v>
      </c>
      <c r="E1663" s="1" t="s">
        <v>3917</v>
      </c>
      <c r="F1663" s="1" t="s">
        <v>3918</v>
      </c>
      <c r="G1663" s="1" t="s">
        <v>4983</v>
      </c>
    </row>
    <row r="1664" spans="1:7" x14ac:dyDescent="0.45">
      <c r="A1664" s="1" t="s">
        <v>10660</v>
      </c>
      <c r="B1664" s="1" t="s">
        <v>10661</v>
      </c>
      <c r="C1664" s="1" t="s">
        <v>255</v>
      </c>
      <c r="D1664" s="1" t="s">
        <v>11557</v>
      </c>
      <c r="E1664" s="1" t="s">
        <v>3917</v>
      </c>
      <c r="F1664" s="1" t="s">
        <v>3918</v>
      </c>
      <c r="G1664" s="1" t="s">
        <v>4983</v>
      </c>
    </row>
    <row r="1665" spans="1:7" x14ac:dyDescent="0.45">
      <c r="A1665" s="1" t="s">
        <v>7434</v>
      </c>
      <c r="B1665" s="1" t="s">
        <v>7435</v>
      </c>
      <c r="C1665" s="1" t="s">
        <v>255</v>
      </c>
      <c r="D1665" s="1" t="s">
        <v>8206</v>
      </c>
      <c r="E1665" s="1" t="s">
        <v>3917</v>
      </c>
      <c r="F1665" s="1" t="s">
        <v>3918</v>
      </c>
      <c r="G1665" s="1" t="s">
        <v>4983</v>
      </c>
    </row>
    <row r="1666" spans="1:7" x14ac:dyDescent="0.45">
      <c r="A1666" s="1" t="s">
        <v>7436</v>
      </c>
      <c r="B1666" s="1" t="s">
        <v>7437</v>
      </c>
      <c r="C1666" s="1" t="s">
        <v>255</v>
      </c>
      <c r="D1666" s="1" t="s">
        <v>8207</v>
      </c>
      <c r="E1666" s="1" t="s">
        <v>3917</v>
      </c>
      <c r="F1666" s="1" t="s">
        <v>3918</v>
      </c>
      <c r="G1666" s="1" t="s">
        <v>4983</v>
      </c>
    </row>
    <row r="1667" spans="1:7" x14ac:dyDescent="0.45">
      <c r="A1667" s="1" t="s">
        <v>4335</v>
      </c>
      <c r="B1667" s="1" t="s">
        <v>4336</v>
      </c>
      <c r="C1667" s="1" t="s">
        <v>255</v>
      </c>
      <c r="D1667" s="1" t="s">
        <v>4826</v>
      </c>
      <c r="E1667" s="1" t="s">
        <v>3917</v>
      </c>
      <c r="F1667" s="1" t="s">
        <v>3918</v>
      </c>
      <c r="G1667" s="1" t="s">
        <v>4983</v>
      </c>
    </row>
    <row r="1668" spans="1:7" x14ac:dyDescent="0.45">
      <c r="A1668" s="1" t="s">
        <v>7438</v>
      </c>
      <c r="B1668" s="1" t="s">
        <v>7439</v>
      </c>
      <c r="C1668" s="1" t="s">
        <v>255</v>
      </c>
      <c r="D1668" s="1" t="s">
        <v>8208</v>
      </c>
      <c r="E1668" s="1" t="s">
        <v>3917</v>
      </c>
      <c r="F1668" s="1" t="s">
        <v>3918</v>
      </c>
      <c r="G1668" s="1" t="s">
        <v>4983</v>
      </c>
    </row>
    <row r="1669" spans="1:7" x14ac:dyDescent="0.45">
      <c r="A1669" s="1" t="s">
        <v>7440</v>
      </c>
      <c r="B1669" s="1" t="s">
        <v>7441</v>
      </c>
      <c r="C1669" s="1" t="s">
        <v>255</v>
      </c>
      <c r="D1669" s="1" t="s">
        <v>8209</v>
      </c>
      <c r="E1669" s="1" t="s">
        <v>3917</v>
      </c>
      <c r="F1669" s="1" t="s">
        <v>3918</v>
      </c>
      <c r="G1669" s="1" t="s">
        <v>4983</v>
      </c>
    </row>
    <row r="1670" spans="1:7" x14ac:dyDescent="0.45">
      <c r="A1670" s="1" t="s">
        <v>3667</v>
      </c>
      <c r="B1670" s="1" t="s">
        <v>3668</v>
      </c>
      <c r="C1670" s="1" t="s">
        <v>255</v>
      </c>
      <c r="D1670" s="1" t="s">
        <v>3669</v>
      </c>
      <c r="E1670" s="1" t="s">
        <v>3917</v>
      </c>
      <c r="F1670" s="1" t="s">
        <v>3918</v>
      </c>
      <c r="G1670" s="1" t="s">
        <v>4983</v>
      </c>
    </row>
    <row r="1671" spans="1:7" x14ac:dyDescent="0.45">
      <c r="A1671" s="1" t="s">
        <v>4337</v>
      </c>
      <c r="B1671" s="1" t="s">
        <v>4338</v>
      </c>
      <c r="C1671" s="1" t="s">
        <v>255</v>
      </c>
      <c r="D1671" s="1" t="s">
        <v>4827</v>
      </c>
      <c r="E1671" s="1" t="s">
        <v>3917</v>
      </c>
      <c r="F1671" s="1" t="s">
        <v>3918</v>
      </c>
      <c r="G1671" s="1" t="s">
        <v>4983</v>
      </c>
    </row>
    <row r="1672" spans="1:7" x14ac:dyDescent="0.45">
      <c r="A1672" s="1" t="s">
        <v>7442</v>
      </c>
      <c r="B1672" s="1" t="s">
        <v>7443</v>
      </c>
      <c r="C1672" s="1" t="s">
        <v>255</v>
      </c>
      <c r="D1672" s="1" t="s">
        <v>8210</v>
      </c>
      <c r="E1672" s="1" t="s">
        <v>3917</v>
      </c>
      <c r="F1672" s="1" t="s">
        <v>3918</v>
      </c>
      <c r="G1672" s="1" t="s">
        <v>4983</v>
      </c>
    </row>
    <row r="1673" spans="1:7" x14ac:dyDescent="0.45">
      <c r="A1673" s="1" t="s">
        <v>596</v>
      </c>
      <c r="B1673" s="1" t="s">
        <v>595</v>
      </c>
      <c r="C1673" s="1" t="s">
        <v>255</v>
      </c>
      <c r="D1673" s="1" t="s">
        <v>2901</v>
      </c>
      <c r="E1673" s="1" t="s">
        <v>3917</v>
      </c>
      <c r="F1673" s="1" t="s">
        <v>3918</v>
      </c>
      <c r="G1673" s="1" t="s">
        <v>4983</v>
      </c>
    </row>
    <row r="1674" spans="1:7" x14ac:dyDescent="0.45">
      <c r="A1674" s="1" t="s">
        <v>7444</v>
      </c>
      <c r="B1674" s="1" t="s">
        <v>7445</v>
      </c>
      <c r="C1674" s="1" t="s">
        <v>255</v>
      </c>
      <c r="D1674" s="1" t="s">
        <v>8211</v>
      </c>
      <c r="E1674" s="1" t="s">
        <v>3917</v>
      </c>
      <c r="F1674" s="1" t="s">
        <v>3918</v>
      </c>
      <c r="G1674" s="1" t="s">
        <v>4983</v>
      </c>
    </row>
    <row r="1675" spans="1:7" x14ac:dyDescent="0.45">
      <c r="A1675" s="1" t="s">
        <v>10662</v>
      </c>
      <c r="B1675" s="1" t="s">
        <v>10663</v>
      </c>
      <c r="C1675" s="1" t="s">
        <v>255</v>
      </c>
      <c r="D1675" s="1" t="s">
        <v>11558</v>
      </c>
      <c r="E1675" s="1" t="s">
        <v>3917</v>
      </c>
      <c r="F1675" s="1" t="s">
        <v>3918</v>
      </c>
      <c r="G1675" s="1" t="s">
        <v>4983</v>
      </c>
    </row>
    <row r="1676" spans="1:7" x14ac:dyDescent="0.45">
      <c r="A1676" s="1" t="s">
        <v>10664</v>
      </c>
      <c r="B1676" s="1" t="s">
        <v>6636</v>
      </c>
      <c r="C1676" s="1" t="s">
        <v>255</v>
      </c>
      <c r="D1676" s="1" t="s">
        <v>6637</v>
      </c>
      <c r="E1676" s="1" t="s">
        <v>3919</v>
      </c>
      <c r="F1676" s="1" t="s">
        <v>3918</v>
      </c>
      <c r="G1676" s="1" t="s">
        <v>4983</v>
      </c>
    </row>
    <row r="1677" spans="1:7" x14ac:dyDescent="0.45">
      <c r="A1677" s="1" t="s">
        <v>10665</v>
      </c>
      <c r="B1677" s="1" t="s">
        <v>10666</v>
      </c>
      <c r="C1677" s="1" t="s">
        <v>255</v>
      </c>
      <c r="D1677" s="1" t="s">
        <v>11559</v>
      </c>
      <c r="E1677" s="1" t="s">
        <v>3917</v>
      </c>
      <c r="F1677" s="1" t="s">
        <v>3918</v>
      </c>
      <c r="G1677" s="1" t="s">
        <v>4983</v>
      </c>
    </row>
    <row r="1678" spans="1:7" x14ac:dyDescent="0.45">
      <c r="A1678" s="1" t="s">
        <v>7446</v>
      </c>
      <c r="B1678" s="1" t="s">
        <v>5612</v>
      </c>
      <c r="C1678" s="1" t="s">
        <v>255</v>
      </c>
      <c r="D1678" s="1" t="s">
        <v>5613</v>
      </c>
      <c r="E1678" s="1" t="s">
        <v>3917</v>
      </c>
      <c r="F1678" s="1" t="s">
        <v>3918</v>
      </c>
      <c r="G1678" s="1" t="s">
        <v>4983</v>
      </c>
    </row>
    <row r="1679" spans="1:7" x14ac:dyDescent="0.45">
      <c r="A1679" s="1" t="s">
        <v>7447</v>
      </c>
      <c r="B1679" s="1" t="s">
        <v>7448</v>
      </c>
      <c r="C1679" s="1" t="s">
        <v>255</v>
      </c>
      <c r="D1679" s="1" t="s">
        <v>8212</v>
      </c>
      <c r="E1679" s="1" t="s">
        <v>3917</v>
      </c>
      <c r="F1679" s="1" t="s">
        <v>3918</v>
      </c>
      <c r="G1679" s="1" t="s">
        <v>4983</v>
      </c>
    </row>
    <row r="1680" spans="1:7" x14ac:dyDescent="0.45">
      <c r="A1680" s="1" t="s">
        <v>3670</v>
      </c>
      <c r="B1680" s="1" t="s">
        <v>3671</v>
      </c>
      <c r="C1680" s="1" t="s">
        <v>255</v>
      </c>
      <c r="D1680" s="1" t="s">
        <v>3672</v>
      </c>
      <c r="E1680" s="1" t="s">
        <v>3917</v>
      </c>
      <c r="F1680" s="1" t="s">
        <v>3918</v>
      </c>
      <c r="G1680" s="1" t="s">
        <v>4983</v>
      </c>
    </row>
    <row r="1681" spans="1:7" x14ac:dyDescent="0.45">
      <c r="A1681" s="1" t="s">
        <v>592</v>
      </c>
      <c r="B1681" s="1" t="s">
        <v>591</v>
      </c>
      <c r="C1681" s="1" t="s">
        <v>255</v>
      </c>
      <c r="D1681" s="1" t="s">
        <v>2903</v>
      </c>
      <c r="E1681" s="1" t="s">
        <v>3917</v>
      </c>
      <c r="F1681" s="1" t="s">
        <v>3918</v>
      </c>
      <c r="G1681" s="1" t="s">
        <v>4983</v>
      </c>
    </row>
    <row r="1682" spans="1:7" x14ac:dyDescent="0.45">
      <c r="A1682" s="1" t="s">
        <v>4339</v>
      </c>
      <c r="B1682" s="1" t="s">
        <v>4340</v>
      </c>
      <c r="C1682" s="1" t="s">
        <v>255</v>
      </c>
      <c r="D1682" s="1" t="s">
        <v>4828</v>
      </c>
      <c r="E1682" s="1" t="s">
        <v>3917</v>
      </c>
      <c r="F1682" s="1" t="s">
        <v>3918</v>
      </c>
      <c r="G1682" s="1" t="s">
        <v>4983</v>
      </c>
    </row>
    <row r="1683" spans="1:7" x14ac:dyDescent="0.45">
      <c r="A1683" s="1" t="s">
        <v>590</v>
      </c>
      <c r="B1683" s="1" t="s">
        <v>589</v>
      </c>
      <c r="C1683" s="1" t="s">
        <v>255</v>
      </c>
      <c r="D1683" s="1" t="s">
        <v>2904</v>
      </c>
      <c r="E1683" s="1" t="s">
        <v>3917</v>
      </c>
      <c r="F1683" s="1" t="s">
        <v>3918</v>
      </c>
      <c r="G1683" s="1" t="s">
        <v>4983</v>
      </c>
    </row>
    <row r="1684" spans="1:7" x14ac:dyDescent="0.45">
      <c r="A1684" s="1" t="s">
        <v>588</v>
      </c>
      <c r="B1684" s="1" t="s">
        <v>587</v>
      </c>
      <c r="C1684" s="1" t="s">
        <v>255</v>
      </c>
      <c r="D1684" s="1" t="s">
        <v>2905</v>
      </c>
      <c r="E1684" s="1" t="s">
        <v>3917</v>
      </c>
      <c r="F1684" s="1" t="s">
        <v>3918</v>
      </c>
      <c r="G1684" s="1" t="s">
        <v>4983</v>
      </c>
    </row>
    <row r="1685" spans="1:7" x14ac:dyDescent="0.45">
      <c r="A1685" s="1" t="s">
        <v>4341</v>
      </c>
      <c r="B1685" s="1" t="s">
        <v>4342</v>
      </c>
      <c r="C1685" s="1" t="s">
        <v>255</v>
      </c>
      <c r="D1685" s="1" t="s">
        <v>4829</v>
      </c>
      <c r="E1685" s="1" t="s">
        <v>3917</v>
      </c>
      <c r="F1685" s="1" t="s">
        <v>3918</v>
      </c>
      <c r="G1685" s="1" t="s">
        <v>4983</v>
      </c>
    </row>
    <row r="1686" spans="1:7" x14ac:dyDescent="0.45">
      <c r="A1686" s="1" t="s">
        <v>586</v>
      </c>
      <c r="B1686" s="1" t="s">
        <v>585</v>
      </c>
      <c r="C1686" s="1" t="s">
        <v>255</v>
      </c>
      <c r="D1686" s="1" t="s">
        <v>2906</v>
      </c>
      <c r="E1686" s="1" t="s">
        <v>3917</v>
      </c>
      <c r="F1686" s="1" t="s">
        <v>3918</v>
      </c>
      <c r="G1686" s="1" t="s">
        <v>4983</v>
      </c>
    </row>
    <row r="1687" spans="1:7" x14ac:dyDescent="0.45">
      <c r="A1687" s="1" t="s">
        <v>4343</v>
      </c>
      <c r="B1687" s="1" t="s">
        <v>3362</v>
      </c>
      <c r="C1687" s="1" t="s">
        <v>255</v>
      </c>
      <c r="D1687" s="1" t="s">
        <v>3363</v>
      </c>
      <c r="E1687" s="1" t="s">
        <v>3917</v>
      </c>
      <c r="F1687" s="1" t="s">
        <v>3918</v>
      </c>
      <c r="G1687" s="1" t="s">
        <v>4983</v>
      </c>
    </row>
    <row r="1688" spans="1:7" x14ac:dyDescent="0.45">
      <c r="A1688" s="1" t="s">
        <v>4344</v>
      </c>
      <c r="B1688" s="1" t="s">
        <v>4345</v>
      </c>
      <c r="C1688" s="1" t="s">
        <v>255</v>
      </c>
      <c r="D1688" s="1" t="s">
        <v>4830</v>
      </c>
      <c r="E1688" s="1" t="s">
        <v>3917</v>
      </c>
      <c r="F1688" s="1" t="s">
        <v>3918</v>
      </c>
      <c r="G1688" s="1" t="s">
        <v>4983</v>
      </c>
    </row>
    <row r="1689" spans="1:7" x14ac:dyDescent="0.45">
      <c r="A1689" s="1" t="s">
        <v>10667</v>
      </c>
      <c r="B1689" s="1" t="s">
        <v>10668</v>
      </c>
      <c r="C1689" s="1" t="s">
        <v>255</v>
      </c>
      <c r="D1689" s="1" t="s">
        <v>11560</v>
      </c>
      <c r="E1689" s="1" t="s">
        <v>3917</v>
      </c>
      <c r="F1689" s="1" t="s">
        <v>3918</v>
      </c>
      <c r="G1689" s="1" t="s">
        <v>4983</v>
      </c>
    </row>
    <row r="1690" spans="1:7" x14ac:dyDescent="0.45">
      <c r="A1690" s="1" t="s">
        <v>10669</v>
      </c>
      <c r="B1690" s="1" t="s">
        <v>10670</v>
      </c>
      <c r="C1690" s="1" t="s">
        <v>255</v>
      </c>
      <c r="D1690" s="1" t="s">
        <v>11561</v>
      </c>
      <c r="E1690" s="1" t="s">
        <v>3917</v>
      </c>
      <c r="F1690" s="1" t="s">
        <v>3918</v>
      </c>
      <c r="G1690" s="1" t="s">
        <v>4983</v>
      </c>
    </row>
    <row r="1691" spans="1:7" x14ac:dyDescent="0.45">
      <c r="A1691" s="1" t="s">
        <v>4346</v>
      </c>
      <c r="B1691" s="1" t="s">
        <v>4347</v>
      </c>
      <c r="C1691" s="1" t="s">
        <v>255</v>
      </c>
      <c r="D1691" s="1" t="s">
        <v>4831</v>
      </c>
      <c r="E1691" s="1" t="s">
        <v>3917</v>
      </c>
      <c r="F1691" s="1" t="s">
        <v>3918</v>
      </c>
      <c r="G1691" s="1" t="s">
        <v>4983</v>
      </c>
    </row>
    <row r="1692" spans="1:7" x14ac:dyDescent="0.45">
      <c r="A1692" s="1" t="s">
        <v>7449</v>
      </c>
      <c r="B1692" s="1" t="s">
        <v>7450</v>
      </c>
      <c r="C1692" s="1" t="s">
        <v>255</v>
      </c>
      <c r="D1692" s="1" t="s">
        <v>8213</v>
      </c>
      <c r="E1692" s="1" t="s">
        <v>3917</v>
      </c>
      <c r="F1692" s="1" t="s">
        <v>3918</v>
      </c>
      <c r="G1692" s="1" t="s">
        <v>4983</v>
      </c>
    </row>
    <row r="1693" spans="1:7" x14ac:dyDescent="0.45">
      <c r="A1693" s="1" t="s">
        <v>4348</v>
      </c>
      <c r="B1693" s="1" t="s">
        <v>4349</v>
      </c>
      <c r="C1693" s="1" t="s">
        <v>255</v>
      </c>
      <c r="D1693" s="1" t="s">
        <v>4832</v>
      </c>
      <c r="E1693" s="1" t="s">
        <v>3917</v>
      </c>
      <c r="F1693" s="1" t="s">
        <v>3918</v>
      </c>
      <c r="G1693" s="1" t="s">
        <v>4983</v>
      </c>
    </row>
    <row r="1694" spans="1:7" x14ac:dyDescent="0.45">
      <c r="A1694" s="1" t="s">
        <v>10671</v>
      </c>
      <c r="B1694" s="1" t="s">
        <v>6213</v>
      </c>
      <c r="C1694" s="1" t="s">
        <v>255</v>
      </c>
      <c r="D1694" s="1" t="s">
        <v>6214</v>
      </c>
      <c r="E1694" s="1" t="s">
        <v>3917</v>
      </c>
      <c r="F1694" s="1" t="s">
        <v>3918</v>
      </c>
      <c r="G1694" s="1" t="s">
        <v>4983</v>
      </c>
    </row>
    <row r="1695" spans="1:7" x14ac:dyDescent="0.45">
      <c r="A1695" s="1" t="s">
        <v>10672</v>
      </c>
      <c r="B1695" s="1" t="s">
        <v>10673</v>
      </c>
      <c r="C1695" s="1" t="s">
        <v>255</v>
      </c>
      <c r="D1695" s="1" t="s">
        <v>11562</v>
      </c>
      <c r="E1695" s="1" t="s">
        <v>3917</v>
      </c>
      <c r="F1695" s="1" t="s">
        <v>3918</v>
      </c>
      <c r="G1695" s="1" t="s">
        <v>4983</v>
      </c>
    </row>
    <row r="1696" spans="1:7" x14ac:dyDescent="0.45">
      <c r="A1696" s="1" t="s">
        <v>584</v>
      </c>
      <c r="B1696" s="1" t="s">
        <v>583</v>
      </c>
      <c r="C1696" s="1" t="s">
        <v>255</v>
      </c>
      <c r="D1696" s="1" t="s">
        <v>2907</v>
      </c>
      <c r="E1696" s="1" t="s">
        <v>3917</v>
      </c>
      <c r="F1696" s="1" t="s">
        <v>3918</v>
      </c>
      <c r="G1696" s="1" t="s">
        <v>4983</v>
      </c>
    </row>
    <row r="1697" spans="1:7" x14ac:dyDescent="0.45">
      <c r="A1697" s="1" t="s">
        <v>7451</v>
      </c>
      <c r="B1697" s="1" t="s">
        <v>5396</v>
      </c>
      <c r="C1697" s="1" t="s">
        <v>255</v>
      </c>
      <c r="D1697" s="1" t="s">
        <v>8214</v>
      </c>
      <c r="E1697" s="1" t="s">
        <v>3917</v>
      </c>
      <c r="F1697" s="1" t="s">
        <v>3918</v>
      </c>
      <c r="G1697" s="1" t="s">
        <v>4983</v>
      </c>
    </row>
    <row r="1698" spans="1:7" x14ac:dyDescent="0.45">
      <c r="A1698" s="1" t="s">
        <v>582</v>
      </c>
      <c r="B1698" s="1" t="s">
        <v>268</v>
      </c>
      <c r="C1698" s="1" t="s">
        <v>255</v>
      </c>
      <c r="D1698" s="1" t="s">
        <v>2908</v>
      </c>
      <c r="E1698" s="1" t="s">
        <v>3917</v>
      </c>
      <c r="F1698" s="1" t="s">
        <v>3918</v>
      </c>
      <c r="G1698" s="1" t="s">
        <v>4983</v>
      </c>
    </row>
    <row r="1699" spans="1:7" x14ac:dyDescent="0.45">
      <c r="A1699" s="1" t="s">
        <v>10674</v>
      </c>
      <c r="B1699" s="1" t="s">
        <v>10675</v>
      </c>
      <c r="C1699" s="1" t="s">
        <v>255</v>
      </c>
      <c r="D1699" s="1" t="s">
        <v>11563</v>
      </c>
      <c r="E1699" s="1" t="s">
        <v>3917</v>
      </c>
      <c r="F1699" s="1" t="s">
        <v>3918</v>
      </c>
      <c r="G1699" s="1" t="s">
        <v>4983</v>
      </c>
    </row>
    <row r="1700" spans="1:7" x14ac:dyDescent="0.45">
      <c r="A1700" s="1" t="s">
        <v>581</v>
      </c>
      <c r="B1700" s="1" t="s">
        <v>580</v>
      </c>
      <c r="C1700" s="1" t="s">
        <v>255</v>
      </c>
      <c r="D1700" s="1" t="s">
        <v>2909</v>
      </c>
      <c r="E1700" s="1" t="s">
        <v>3917</v>
      </c>
      <c r="F1700" s="1" t="s">
        <v>3918</v>
      </c>
      <c r="G1700" s="1" t="s">
        <v>4983</v>
      </c>
    </row>
    <row r="1701" spans="1:7" x14ac:dyDescent="0.45">
      <c r="A1701" s="1" t="s">
        <v>10676</v>
      </c>
      <c r="B1701" s="1" t="s">
        <v>10677</v>
      </c>
      <c r="C1701" s="1" t="s">
        <v>255</v>
      </c>
      <c r="D1701" s="1" t="s">
        <v>11564</v>
      </c>
      <c r="E1701" s="1" t="s">
        <v>3917</v>
      </c>
      <c r="F1701" s="1" t="s">
        <v>3918</v>
      </c>
      <c r="G1701" s="1" t="s">
        <v>4983</v>
      </c>
    </row>
    <row r="1702" spans="1:7" x14ac:dyDescent="0.45">
      <c r="A1702" s="1" t="s">
        <v>10678</v>
      </c>
      <c r="B1702" s="1" t="s">
        <v>10679</v>
      </c>
      <c r="C1702" s="1" t="s">
        <v>255</v>
      </c>
      <c r="D1702" s="1" t="s">
        <v>11565</v>
      </c>
      <c r="E1702" s="1" t="s">
        <v>3917</v>
      </c>
      <c r="F1702" s="1" t="s">
        <v>3918</v>
      </c>
      <c r="G1702" s="1" t="s">
        <v>4983</v>
      </c>
    </row>
    <row r="1703" spans="1:7" x14ac:dyDescent="0.45">
      <c r="A1703" s="1" t="s">
        <v>2910</v>
      </c>
      <c r="B1703" s="1" t="s">
        <v>2108</v>
      </c>
      <c r="C1703" s="1" t="s">
        <v>255</v>
      </c>
      <c r="D1703" s="1" t="s">
        <v>2109</v>
      </c>
      <c r="E1703" s="1" t="s">
        <v>3917</v>
      </c>
      <c r="F1703" s="1" t="s">
        <v>3918</v>
      </c>
      <c r="G1703" s="1" t="s">
        <v>4983</v>
      </c>
    </row>
    <row r="1704" spans="1:7" x14ac:dyDescent="0.45">
      <c r="A1704" s="1" t="s">
        <v>2911</v>
      </c>
      <c r="B1704" s="1" t="s">
        <v>2110</v>
      </c>
      <c r="C1704" s="1" t="s">
        <v>255</v>
      </c>
      <c r="D1704" s="1" t="s">
        <v>2111</v>
      </c>
      <c r="E1704" s="1" t="s">
        <v>3917</v>
      </c>
      <c r="F1704" s="1" t="s">
        <v>3918</v>
      </c>
      <c r="G1704" s="1" t="s">
        <v>4983</v>
      </c>
    </row>
    <row r="1705" spans="1:7" x14ac:dyDescent="0.45">
      <c r="A1705" s="1" t="s">
        <v>1743</v>
      </c>
      <c r="B1705" s="1" t="s">
        <v>1744</v>
      </c>
      <c r="C1705" s="1" t="s">
        <v>255</v>
      </c>
      <c r="D1705" s="1" t="s">
        <v>2912</v>
      </c>
      <c r="E1705" s="1" t="s">
        <v>3917</v>
      </c>
      <c r="F1705" s="1" t="s">
        <v>3918</v>
      </c>
      <c r="G1705" s="1" t="s">
        <v>4983</v>
      </c>
    </row>
    <row r="1706" spans="1:7" x14ac:dyDescent="0.45">
      <c r="A1706" s="1" t="s">
        <v>10680</v>
      </c>
      <c r="B1706" s="1" t="s">
        <v>10681</v>
      </c>
      <c r="C1706" s="1" t="s">
        <v>255</v>
      </c>
      <c r="D1706" s="1" t="s">
        <v>11566</v>
      </c>
      <c r="E1706" s="1" t="s">
        <v>3917</v>
      </c>
      <c r="F1706" s="1" t="s">
        <v>3918</v>
      </c>
      <c r="G1706" s="1" t="s">
        <v>4983</v>
      </c>
    </row>
    <row r="1707" spans="1:7" x14ac:dyDescent="0.45">
      <c r="A1707" s="1" t="s">
        <v>10682</v>
      </c>
      <c r="B1707" s="1" t="s">
        <v>5432</v>
      </c>
      <c r="C1707" s="1" t="s">
        <v>255</v>
      </c>
      <c r="D1707" s="1" t="s">
        <v>5433</v>
      </c>
      <c r="E1707" s="1" t="s">
        <v>3917</v>
      </c>
      <c r="F1707" s="1" t="s">
        <v>3918</v>
      </c>
      <c r="G1707" s="1" t="s">
        <v>4983</v>
      </c>
    </row>
    <row r="1708" spans="1:7" x14ac:dyDescent="0.45">
      <c r="A1708" s="1" t="s">
        <v>4350</v>
      </c>
      <c r="B1708" s="1" t="s">
        <v>4351</v>
      </c>
      <c r="C1708" s="1" t="s">
        <v>255</v>
      </c>
      <c r="D1708" s="1" t="s">
        <v>4833</v>
      </c>
      <c r="E1708" s="1" t="s">
        <v>3917</v>
      </c>
      <c r="F1708" s="1" t="s">
        <v>3918</v>
      </c>
      <c r="G1708" s="1" t="s">
        <v>4983</v>
      </c>
    </row>
    <row r="1709" spans="1:7" x14ac:dyDescent="0.45">
      <c r="A1709" s="1" t="s">
        <v>10683</v>
      </c>
      <c r="B1709" s="1" t="s">
        <v>10684</v>
      </c>
      <c r="C1709" s="1" t="s">
        <v>255</v>
      </c>
      <c r="D1709" s="1" t="s">
        <v>11567</v>
      </c>
      <c r="E1709" s="1" t="s">
        <v>3917</v>
      </c>
      <c r="F1709" s="1" t="s">
        <v>3918</v>
      </c>
      <c r="G1709" s="1" t="s">
        <v>4983</v>
      </c>
    </row>
    <row r="1710" spans="1:7" x14ac:dyDescent="0.45">
      <c r="A1710" s="1" t="s">
        <v>2913</v>
      </c>
      <c r="B1710" s="1" t="s">
        <v>2914</v>
      </c>
      <c r="C1710" s="1" t="s">
        <v>255</v>
      </c>
      <c r="D1710" s="1" t="s">
        <v>2915</v>
      </c>
      <c r="E1710" s="1" t="s">
        <v>3919</v>
      </c>
      <c r="F1710" s="1" t="s">
        <v>3918</v>
      </c>
      <c r="G1710" s="1" t="s">
        <v>4983</v>
      </c>
    </row>
    <row r="1711" spans="1:7" x14ac:dyDescent="0.45">
      <c r="A1711" s="1" t="s">
        <v>10685</v>
      </c>
      <c r="B1711" s="1" t="s">
        <v>6217</v>
      </c>
      <c r="C1711" s="1" t="s">
        <v>255</v>
      </c>
      <c r="D1711" s="1" t="s">
        <v>6218</v>
      </c>
      <c r="E1711" s="1" t="s">
        <v>3917</v>
      </c>
      <c r="F1711" s="1" t="s">
        <v>3918</v>
      </c>
      <c r="G1711" s="1" t="s">
        <v>4983</v>
      </c>
    </row>
    <row r="1712" spans="1:7" x14ac:dyDescent="0.45">
      <c r="A1712" s="1" t="s">
        <v>577</v>
      </c>
      <c r="B1712" s="1" t="s">
        <v>576</v>
      </c>
      <c r="C1712" s="1" t="s">
        <v>255</v>
      </c>
      <c r="D1712" s="1" t="s">
        <v>2916</v>
      </c>
      <c r="E1712" s="1" t="s">
        <v>3917</v>
      </c>
      <c r="F1712" s="1" t="s">
        <v>3918</v>
      </c>
      <c r="G1712" s="1" t="s">
        <v>4983</v>
      </c>
    </row>
    <row r="1713" spans="1:7" x14ac:dyDescent="0.45">
      <c r="A1713" s="1" t="s">
        <v>1745</v>
      </c>
      <c r="B1713" s="1" t="s">
        <v>1746</v>
      </c>
      <c r="C1713" s="1" t="s">
        <v>255</v>
      </c>
      <c r="D1713" s="1" t="s">
        <v>2917</v>
      </c>
      <c r="E1713" s="1" t="s">
        <v>3917</v>
      </c>
      <c r="F1713" s="1" t="s">
        <v>3918</v>
      </c>
      <c r="G1713" s="1" t="s">
        <v>4983</v>
      </c>
    </row>
    <row r="1714" spans="1:7" x14ac:dyDescent="0.45">
      <c r="A1714" s="1" t="s">
        <v>3673</v>
      </c>
      <c r="B1714" s="1" t="s">
        <v>3674</v>
      </c>
      <c r="C1714" s="1" t="s">
        <v>255</v>
      </c>
      <c r="D1714" s="1" t="s">
        <v>3675</v>
      </c>
      <c r="E1714" s="1" t="s">
        <v>3917</v>
      </c>
      <c r="F1714" s="1" t="s">
        <v>3918</v>
      </c>
      <c r="G1714" s="1" t="s">
        <v>4983</v>
      </c>
    </row>
    <row r="1715" spans="1:7" x14ac:dyDescent="0.45">
      <c r="A1715" s="1" t="s">
        <v>1747</v>
      </c>
      <c r="B1715" s="1" t="s">
        <v>1748</v>
      </c>
      <c r="C1715" s="1" t="s">
        <v>255</v>
      </c>
      <c r="D1715" s="1" t="s">
        <v>2918</v>
      </c>
      <c r="E1715" s="1" t="s">
        <v>3917</v>
      </c>
      <c r="F1715" s="1" t="s">
        <v>3918</v>
      </c>
      <c r="G1715" s="1" t="s">
        <v>4983</v>
      </c>
    </row>
    <row r="1716" spans="1:7" x14ac:dyDescent="0.45">
      <c r="A1716" s="1" t="s">
        <v>7454</v>
      </c>
      <c r="B1716" s="1" t="s">
        <v>7455</v>
      </c>
      <c r="C1716" s="1" t="s">
        <v>255</v>
      </c>
      <c r="D1716" s="1" t="s">
        <v>8216</v>
      </c>
      <c r="E1716" s="1" t="s">
        <v>3917</v>
      </c>
      <c r="F1716" s="1" t="s">
        <v>3918</v>
      </c>
      <c r="G1716" s="1" t="s">
        <v>4983</v>
      </c>
    </row>
    <row r="1717" spans="1:7" x14ac:dyDescent="0.45">
      <c r="A1717" s="1" t="s">
        <v>571</v>
      </c>
      <c r="B1717" s="1" t="s">
        <v>570</v>
      </c>
      <c r="C1717" s="1" t="s">
        <v>255</v>
      </c>
      <c r="D1717" s="1" t="s">
        <v>2919</v>
      </c>
      <c r="E1717" s="1" t="s">
        <v>3917</v>
      </c>
      <c r="F1717" s="1" t="s">
        <v>3918</v>
      </c>
      <c r="G1717" s="1" t="s">
        <v>4983</v>
      </c>
    </row>
    <row r="1718" spans="1:7" x14ac:dyDescent="0.45">
      <c r="A1718" s="1" t="s">
        <v>569</v>
      </c>
      <c r="B1718" s="1" t="s">
        <v>568</v>
      </c>
      <c r="C1718" s="1" t="s">
        <v>255</v>
      </c>
      <c r="D1718" s="1" t="s">
        <v>2920</v>
      </c>
      <c r="E1718" s="1" t="s">
        <v>3917</v>
      </c>
      <c r="F1718" s="1" t="s">
        <v>3918</v>
      </c>
      <c r="G1718" s="1" t="s">
        <v>4983</v>
      </c>
    </row>
    <row r="1719" spans="1:7" x14ac:dyDescent="0.45">
      <c r="A1719" s="1" t="s">
        <v>3676</v>
      </c>
      <c r="B1719" s="1" t="s">
        <v>3677</v>
      </c>
      <c r="C1719" s="1" t="s">
        <v>255</v>
      </c>
      <c r="D1719" s="1" t="s">
        <v>3678</v>
      </c>
      <c r="E1719" s="1" t="s">
        <v>3917</v>
      </c>
      <c r="F1719" s="1" t="s">
        <v>3918</v>
      </c>
      <c r="G1719" s="1" t="s">
        <v>4983</v>
      </c>
    </row>
    <row r="1720" spans="1:7" x14ac:dyDescent="0.45">
      <c r="A1720" s="1" t="s">
        <v>1749</v>
      </c>
      <c r="B1720" s="1" t="s">
        <v>1750</v>
      </c>
      <c r="C1720" s="1" t="s">
        <v>255</v>
      </c>
      <c r="D1720" s="1" t="s">
        <v>2921</v>
      </c>
      <c r="E1720" s="1" t="s">
        <v>3917</v>
      </c>
      <c r="F1720" s="1" t="s">
        <v>3918</v>
      </c>
      <c r="G1720" s="1" t="s">
        <v>4983</v>
      </c>
    </row>
    <row r="1721" spans="1:7" x14ac:dyDescent="0.45">
      <c r="A1721" s="1" t="s">
        <v>4352</v>
      </c>
      <c r="B1721" s="1" t="s">
        <v>4353</v>
      </c>
      <c r="C1721" s="1" t="s">
        <v>255</v>
      </c>
      <c r="D1721" s="1" t="s">
        <v>4834</v>
      </c>
      <c r="E1721" s="1" t="s">
        <v>3917</v>
      </c>
      <c r="F1721" s="1" t="s">
        <v>3918</v>
      </c>
      <c r="G1721" s="1" t="s">
        <v>4983</v>
      </c>
    </row>
    <row r="1722" spans="1:7" x14ac:dyDescent="0.45">
      <c r="A1722" s="1" t="s">
        <v>565</v>
      </c>
      <c r="B1722" s="1" t="s">
        <v>564</v>
      </c>
      <c r="C1722" s="1" t="s">
        <v>255</v>
      </c>
      <c r="D1722" s="1" t="s">
        <v>2922</v>
      </c>
      <c r="E1722" s="1" t="s">
        <v>3917</v>
      </c>
      <c r="F1722" s="1" t="s">
        <v>3918</v>
      </c>
      <c r="G1722" s="1" t="s">
        <v>4983</v>
      </c>
    </row>
    <row r="1723" spans="1:7" x14ac:dyDescent="0.45">
      <c r="A1723" s="1" t="s">
        <v>10686</v>
      </c>
      <c r="B1723" s="1" t="s">
        <v>10687</v>
      </c>
      <c r="C1723" s="1" t="s">
        <v>255</v>
      </c>
      <c r="D1723" s="1" t="s">
        <v>11568</v>
      </c>
      <c r="E1723" s="1" t="s">
        <v>3917</v>
      </c>
      <c r="F1723" s="1" t="s">
        <v>3918</v>
      </c>
      <c r="G1723" s="1" t="s">
        <v>4983</v>
      </c>
    </row>
    <row r="1724" spans="1:7" x14ac:dyDescent="0.45">
      <c r="A1724" s="1" t="s">
        <v>10688</v>
      </c>
      <c r="B1724" s="1" t="s">
        <v>10689</v>
      </c>
      <c r="C1724" s="1" t="s">
        <v>255</v>
      </c>
      <c r="D1724" s="1" t="s">
        <v>11569</v>
      </c>
      <c r="E1724" s="1" t="s">
        <v>3917</v>
      </c>
      <c r="F1724" s="1" t="s">
        <v>3918</v>
      </c>
      <c r="G1724" s="1" t="s">
        <v>4983</v>
      </c>
    </row>
    <row r="1725" spans="1:7" x14ac:dyDescent="0.45">
      <c r="A1725" s="1" t="s">
        <v>7456</v>
      </c>
      <c r="B1725" s="1" t="s">
        <v>7457</v>
      </c>
      <c r="C1725" s="1" t="s">
        <v>255</v>
      </c>
      <c r="D1725" s="1" t="s">
        <v>8217</v>
      </c>
      <c r="E1725" s="1" t="s">
        <v>3917</v>
      </c>
      <c r="F1725" s="1" t="s">
        <v>3918</v>
      </c>
      <c r="G1725" s="1" t="s">
        <v>4983</v>
      </c>
    </row>
    <row r="1726" spans="1:7" x14ac:dyDescent="0.45">
      <c r="A1726" s="1" t="s">
        <v>1751</v>
      </c>
      <c r="B1726" s="1" t="s">
        <v>1752</v>
      </c>
      <c r="C1726" s="1" t="s">
        <v>255</v>
      </c>
      <c r="D1726" s="1" t="s">
        <v>2926</v>
      </c>
      <c r="E1726" s="1" t="s">
        <v>3917</v>
      </c>
      <c r="F1726" s="1" t="s">
        <v>3918</v>
      </c>
      <c r="G1726" s="1" t="s">
        <v>4983</v>
      </c>
    </row>
    <row r="1727" spans="1:7" x14ac:dyDescent="0.45">
      <c r="A1727" s="1" t="s">
        <v>561</v>
      </c>
      <c r="B1727" s="1" t="s">
        <v>560</v>
      </c>
      <c r="C1727" s="1" t="s">
        <v>255</v>
      </c>
      <c r="D1727" s="1" t="s">
        <v>2927</v>
      </c>
      <c r="E1727" s="1" t="s">
        <v>3917</v>
      </c>
      <c r="F1727" s="1" t="s">
        <v>3918</v>
      </c>
      <c r="G1727" s="1" t="s">
        <v>4983</v>
      </c>
    </row>
    <row r="1728" spans="1:7" x14ac:dyDescent="0.45">
      <c r="A1728" s="1" t="s">
        <v>559</v>
      </c>
      <c r="B1728" s="1" t="s">
        <v>558</v>
      </c>
      <c r="C1728" s="1" t="s">
        <v>255</v>
      </c>
      <c r="D1728" s="1" t="s">
        <v>2928</v>
      </c>
      <c r="E1728" s="1" t="s">
        <v>3917</v>
      </c>
      <c r="F1728" s="1" t="s">
        <v>3918</v>
      </c>
      <c r="G1728" s="1" t="s">
        <v>4983</v>
      </c>
    </row>
    <row r="1729" spans="1:7" x14ac:dyDescent="0.45">
      <c r="A1729" s="1" t="s">
        <v>10690</v>
      </c>
      <c r="B1729" s="1" t="s">
        <v>10691</v>
      </c>
      <c r="C1729" s="1" t="s">
        <v>255</v>
      </c>
      <c r="D1729" s="1" t="s">
        <v>11570</v>
      </c>
      <c r="E1729" s="1" t="s">
        <v>3917</v>
      </c>
      <c r="F1729" s="1" t="s">
        <v>3918</v>
      </c>
      <c r="G1729" s="1" t="s">
        <v>4983</v>
      </c>
    </row>
    <row r="1730" spans="1:7" x14ac:dyDescent="0.45">
      <c r="A1730" s="1" t="s">
        <v>2929</v>
      </c>
      <c r="B1730" s="1" t="s">
        <v>2930</v>
      </c>
      <c r="C1730" s="1" t="s">
        <v>255</v>
      </c>
      <c r="D1730" s="1" t="s">
        <v>2931</v>
      </c>
      <c r="E1730" s="1" t="s">
        <v>3917</v>
      </c>
      <c r="F1730" s="1" t="s">
        <v>3918</v>
      </c>
      <c r="G1730" s="1" t="s">
        <v>4983</v>
      </c>
    </row>
    <row r="1731" spans="1:7" x14ac:dyDescent="0.45">
      <c r="A1731" s="1" t="s">
        <v>4354</v>
      </c>
      <c r="B1731" s="1" t="s">
        <v>4355</v>
      </c>
      <c r="C1731" s="1" t="s">
        <v>255</v>
      </c>
      <c r="D1731" s="1" t="s">
        <v>4835</v>
      </c>
      <c r="E1731" s="1" t="s">
        <v>3917</v>
      </c>
      <c r="F1731" s="1" t="s">
        <v>3918</v>
      </c>
      <c r="G1731" s="1" t="s">
        <v>4983</v>
      </c>
    </row>
    <row r="1732" spans="1:7" x14ac:dyDescent="0.45">
      <c r="A1732" s="1" t="s">
        <v>10692</v>
      </c>
      <c r="B1732" s="1" t="s">
        <v>10693</v>
      </c>
      <c r="C1732" s="1" t="s">
        <v>255</v>
      </c>
      <c r="D1732" s="1" t="s">
        <v>11571</v>
      </c>
      <c r="E1732" s="1" t="s">
        <v>3917</v>
      </c>
      <c r="F1732" s="1" t="s">
        <v>3918</v>
      </c>
      <c r="G1732" s="1" t="s">
        <v>4983</v>
      </c>
    </row>
    <row r="1733" spans="1:7" x14ac:dyDescent="0.45">
      <c r="A1733" s="1" t="s">
        <v>10694</v>
      </c>
      <c r="B1733" s="1" t="s">
        <v>10695</v>
      </c>
      <c r="C1733" s="1" t="s">
        <v>255</v>
      </c>
      <c r="D1733" s="1" t="s">
        <v>11572</v>
      </c>
      <c r="E1733" s="1" t="s">
        <v>3917</v>
      </c>
      <c r="F1733" s="1" t="s">
        <v>3918</v>
      </c>
      <c r="G1733" s="1" t="s">
        <v>4983</v>
      </c>
    </row>
    <row r="1734" spans="1:7" x14ac:dyDescent="0.45">
      <c r="A1734" s="1" t="s">
        <v>10696</v>
      </c>
      <c r="B1734" s="1" t="s">
        <v>5469</v>
      </c>
      <c r="C1734" s="1" t="s">
        <v>255</v>
      </c>
      <c r="D1734" s="1" t="s">
        <v>5470</v>
      </c>
      <c r="E1734" s="1" t="s">
        <v>3917</v>
      </c>
      <c r="F1734" s="1" t="s">
        <v>3918</v>
      </c>
      <c r="G1734" s="1" t="s">
        <v>4983</v>
      </c>
    </row>
    <row r="1735" spans="1:7" x14ac:dyDescent="0.45">
      <c r="A1735" s="1" t="s">
        <v>10697</v>
      </c>
      <c r="B1735" s="1" t="s">
        <v>10698</v>
      </c>
      <c r="C1735" s="1" t="s">
        <v>255</v>
      </c>
      <c r="D1735" s="1" t="s">
        <v>11573</v>
      </c>
      <c r="E1735" s="1" t="s">
        <v>3917</v>
      </c>
      <c r="F1735" s="1" t="s">
        <v>3918</v>
      </c>
      <c r="G1735" s="1" t="s">
        <v>4983</v>
      </c>
    </row>
    <row r="1736" spans="1:7" x14ac:dyDescent="0.45">
      <c r="A1736" s="1" t="s">
        <v>10699</v>
      </c>
      <c r="B1736" s="1" t="s">
        <v>10700</v>
      </c>
      <c r="C1736" s="1" t="s">
        <v>255</v>
      </c>
      <c r="D1736" s="1" t="s">
        <v>11574</v>
      </c>
      <c r="E1736" s="1" t="s">
        <v>3917</v>
      </c>
      <c r="F1736" s="1" t="s">
        <v>3918</v>
      </c>
      <c r="G1736" s="1" t="s">
        <v>4983</v>
      </c>
    </row>
    <row r="1737" spans="1:7" x14ac:dyDescent="0.45">
      <c r="A1737" s="1" t="s">
        <v>4358</v>
      </c>
      <c r="B1737" s="1" t="s">
        <v>4359</v>
      </c>
      <c r="C1737" s="1" t="s">
        <v>255</v>
      </c>
      <c r="D1737" s="1" t="s">
        <v>4837</v>
      </c>
      <c r="E1737" s="1" t="s">
        <v>3917</v>
      </c>
      <c r="F1737" s="1" t="s">
        <v>3918</v>
      </c>
      <c r="G1737" s="1" t="s">
        <v>4983</v>
      </c>
    </row>
    <row r="1738" spans="1:7" x14ac:dyDescent="0.45">
      <c r="A1738" s="1" t="s">
        <v>4360</v>
      </c>
      <c r="B1738" s="1" t="s">
        <v>2104</v>
      </c>
      <c r="C1738" s="1" t="s">
        <v>255</v>
      </c>
      <c r="D1738" s="1" t="s">
        <v>2105</v>
      </c>
      <c r="E1738" s="1" t="s">
        <v>3917</v>
      </c>
      <c r="F1738" s="1" t="s">
        <v>3918</v>
      </c>
      <c r="G1738" s="1" t="s">
        <v>4983</v>
      </c>
    </row>
    <row r="1739" spans="1:7" x14ac:dyDescent="0.45">
      <c r="A1739" s="1" t="s">
        <v>552</v>
      </c>
      <c r="B1739" s="1" t="s">
        <v>551</v>
      </c>
      <c r="C1739" s="1" t="s">
        <v>255</v>
      </c>
      <c r="D1739" s="1" t="s">
        <v>2934</v>
      </c>
      <c r="E1739" s="1" t="s">
        <v>3917</v>
      </c>
      <c r="F1739" s="1" t="s">
        <v>3918</v>
      </c>
      <c r="G1739" s="1" t="s">
        <v>4983</v>
      </c>
    </row>
    <row r="1740" spans="1:7" x14ac:dyDescent="0.45">
      <c r="A1740" s="1" t="s">
        <v>10701</v>
      </c>
      <c r="B1740" s="1" t="s">
        <v>10702</v>
      </c>
      <c r="C1740" s="1" t="s">
        <v>255</v>
      </c>
      <c r="D1740" s="1" t="s">
        <v>11575</v>
      </c>
      <c r="E1740" s="1" t="s">
        <v>3917</v>
      </c>
      <c r="F1740" s="1" t="s">
        <v>3918</v>
      </c>
      <c r="G1740" s="1" t="s">
        <v>4983</v>
      </c>
    </row>
    <row r="1741" spans="1:7" x14ac:dyDescent="0.45">
      <c r="A1741" s="1" t="s">
        <v>10703</v>
      </c>
      <c r="B1741" s="1" t="s">
        <v>10704</v>
      </c>
      <c r="C1741" s="1" t="s">
        <v>255</v>
      </c>
      <c r="D1741" s="1" t="s">
        <v>11576</v>
      </c>
      <c r="E1741" s="1" t="s">
        <v>3917</v>
      </c>
      <c r="F1741" s="1" t="s">
        <v>3918</v>
      </c>
      <c r="G1741" s="1" t="s">
        <v>4983</v>
      </c>
    </row>
    <row r="1742" spans="1:7" x14ac:dyDescent="0.45">
      <c r="A1742" s="1" t="s">
        <v>10705</v>
      </c>
      <c r="B1742" s="1" t="s">
        <v>10706</v>
      </c>
      <c r="C1742" s="1" t="s">
        <v>255</v>
      </c>
      <c r="D1742" s="1" t="s">
        <v>11577</v>
      </c>
      <c r="E1742" s="1" t="s">
        <v>3917</v>
      </c>
      <c r="F1742" s="1" t="s">
        <v>3918</v>
      </c>
      <c r="G1742" s="1" t="s">
        <v>4983</v>
      </c>
    </row>
    <row r="1743" spans="1:7" x14ac:dyDescent="0.45">
      <c r="A1743" s="1" t="s">
        <v>7462</v>
      </c>
      <c r="B1743" s="1" t="s">
        <v>5272</v>
      </c>
      <c r="C1743" s="1" t="s">
        <v>255</v>
      </c>
      <c r="D1743" s="1" t="s">
        <v>5273</v>
      </c>
      <c r="E1743" s="1" t="s">
        <v>3917</v>
      </c>
      <c r="F1743" s="1" t="s">
        <v>3918</v>
      </c>
      <c r="G1743" s="1" t="s">
        <v>4983</v>
      </c>
    </row>
    <row r="1744" spans="1:7" x14ac:dyDescent="0.45">
      <c r="A1744" s="1" t="s">
        <v>10707</v>
      </c>
      <c r="B1744" s="1" t="s">
        <v>10708</v>
      </c>
      <c r="C1744" s="1" t="s">
        <v>255</v>
      </c>
      <c r="D1744" s="1" t="s">
        <v>11578</v>
      </c>
      <c r="E1744" s="1" t="s">
        <v>3917</v>
      </c>
      <c r="F1744" s="1" t="s">
        <v>3918</v>
      </c>
      <c r="G1744" s="1" t="s">
        <v>4983</v>
      </c>
    </row>
    <row r="1745" spans="1:7" x14ac:dyDescent="0.45">
      <c r="A1745" s="1" t="s">
        <v>10709</v>
      </c>
      <c r="B1745" s="1" t="s">
        <v>10710</v>
      </c>
      <c r="C1745" s="1" t="s">
        <v>255</v>
      </c>
      <c r="D1745" s="1" t="s">
        <v>11579</v>
      </c>
      <c r="E1745" s="1" t="s">
        <v>3917</v>
      </c>
      <c r="F1745" s="1" t="s">
        <v>3918</v>
      </c>
      <c r="G1745" s="1" t="s">
        <v>4983</v>
      </c>
    </row>
    <row r="1746" spans="1:7" x14ac:dyDescent="0.45">
      <c r="A1746" s="1" t="s">
        <v>4361</v>
      </c>
      <c r="B1746" s="1" t="s">
        <v>4362</v>
      </c>
      <c r="C1746" s="1" t="s">
        <v>255</v>
      </c>
      <c r="D1746" s="1" t="s">
        <v>4838</v>
      </c>
      <c r="E1746" s="1" t="s">
        <v>3917</v>
      </c>
      <c r="F1746" s="1" t="s">
        <v>3918</v>
      </c>
      <c r="G1746" s="1" t="s">
        <v>4983</v>
      </c>
    </row>
    <row r="1747" spans="1:7" x14ac:dyDescent="0.45">
      <c r="A1747" s="1" t="s">
        <v>3679</v>
      </c>
      <c r="B1747" s="1" t="s">
        <v>3680</v>
      </c>
      <c r="C1747" s="1" t="s">
        <v>255</v>
      </c>
      <c r="D1747" s="1" t="s">
        <v>3681</v>
      </c>
      <c r="E1747" s="1" t="s">
        <v>3917</v>
      </c>
      <c r="F1747" s="1" t="s">
        <v>3918</v>
      </c>
      <c r="G1747" s="1" t="s">
        <v>4983</v>
      </c>
    </row>
    <row r="1748" spans="1:7" x14ac:dyDescent="0.45">
      <c r="A1748" s="1" t="s">
        <v>10711</v>
      </c>
      <c r="B1748" s="1" t="s">
        <v>10712</v>
      </c>
      <c r="C1748" s="1" t="s">
        <v>255</v>
      </c>
      <c r="D1748" s="1" t="s">
        <v>5047</v>
      </c>
      <c r="E1748" s="1" t="s">
        <v>3917</v>
      </c>
      <c r="F1748" s="1" t="s">
        <v>3918</v>
      </c>
      <c r="G1748" s="1" t="s">
        <v>4983</v>
      </c>
    </row>
    <row r="1749" spans="1:7" x14ac:dyDescent="0.45">
      <c r="A1749" s="1" t="s">
        <v>550</v>
      </c>
      <c r="B1749" s="1" t="s">
        <v>266</v>
      </c>
      <c r="C1749" s="1" t="s">
        <v>255</v>
      </c>
      <c r="D1749" s="1" t="s">
        <v>2935</v>
      </c>
      <c r="E1749" s="1" t="s">
        <v>3917</v>
      </c>
      <c r="F1749" s="1" t="s">
        <v>3918</v>
      </c>
      <c r="G1749" s="1" t="s">
        <v>4983</v>
      </c>
    </row>
    <row r="1750" spans="1:7" x14ac:dyDescent="0.45">
      <c r="A1750" s="1" t="s">
        <v>10713</v>
      </c>
      <c r="B1750" s="1" t="s">
        <v>10714</v>
      </c>
      <c r="C1750" s="1" t="s">
        <v>255</v>
      </c>
      <c r="D1750" s="1" t="s">
        <v>11580</v>
      </c>
      <c r="E1750" s="1" t="s">
        <v>3917</v>
      </c>
      <c r="F1750" s="1" t="s">
        <v>3918</v>
      </c>
      <c r="G1750" s="1" t="s">
        <v>4983</v>
      </c>
    </row>
    <row r="1751" spans="1:7" x14ac:dyDescent="0.45">
      <c r="A1751" s="1" t="s">
        <v>7463</v>
      </c>
      <c r="B1751" s="1" t="s">
        <v>7464</v>
      </c>
      <c r="C1751" s="1" t="s">
        <v>255</v>
      </c>
      <c r="D1751" s="1" t="s">
        <v>8220</v>
      </c>
      <c r="E1751" s="1" t="s">
        <v>3917</v>
      </c>
      <c r="F1751" s="1" t="s">
        <v>3918</v>
      </c>
      <c r="G1751" s="1" t="s">
        <v>4983</v>
      </c>
    </row>
    <row r="1752" spans="1:7" x14ac:dyDescent="0.45">
      <c r="A1752" s="1" t="s">
        <v>549</v>
      </c>
      <c r="B1752" s="1" t="s">
        <v>548</v>
      </c>
      <c r="C1752" s="1" t="s">
        <v>255</v>
      </c>
      <c r="D1752" s="1" t="s">
        <v>2936</v>
      </c>
      <c r="E1752" s="1" t="s">
        <v>3917</v>
      </c>
      <c r="F1752" s="1" t="s">
        <v>3918</v>
      </c>
      <c r="G1752" s="1" t="s">
        <v>4983</v>
      </c>
    </row>
    <row r="1753" spans="1:7" x14ac:dyDescent="0.45">
      <c r="A1753" s="1" t="s">
        <v>10715</v>
      </c>
      <c r="B1753" s="1" t="s">
        <v>10716</v>
      </c>
      <c r="C1753" s="1" t="s">
        <v>255</v>
      </c>
      <c r="D1753" s="1" t="s">
        <v>6670</v>
      </c>
      <c r="E1753" s="1" t="s">
        <v>3917</v>
      </c>
      <c r="F1753" s="1" t="s">
        <v>3918</v>
      </c>
      <c r="G1753" s="1" t="s">
        <v>4983</v>
      </c>
    </row>
    <row r="1754" spans="1:7" x14ac:dyDescent="0.45">
      <c r="A1754" s="1" t="s">
        <v>10717</v>
      </c>
      <c r="B1754" s="1" t="s">
        <v>10718</v>
      </c>
      <c r="C1754" s="1" t="s">
        <v>255</v>
      </c>
      <c r="D1754" s="1" t="s">
        <v>11581</v>
      </c>
      <c r="E1754" s="1" t="s">
        <v>3917</v>
      </c>
      <c r="F1754" s="1" t="s">
        <v>3918</v>
      </c>
      <c r="G1754" s="1" t="s">
        <v>4983</v>
      </c>
    </row>
    <row r="1755" spans="1:7" x14ac:dyDescent="0.45">
      <c r="A1755" s="1" t="s">
        <v>7465</v>
      </c>
      <c r="B1755" s="1" t="s">
        <v>7466</v>
      </c>
      <c r="C1755" s="1" t="s">
        <v>255</v>
      </c>
      <c r="D1755" s="1" t="s">
        <v>8221</v>
      </c>
      <c r="E1755" s="1" t="s">
        <v>3917</v>
      </c>
      <c r="F1755" s="1" t="s">
        <v>3918</v>
      </c>
      <c r="G1755" s="1" t="s">
        <v>4983</v>
      </c>
    </row>
    <row r="1756" spans="1:7" x14ac:dyDescent="0.45">
      <c r="A1756" s="1" t="s">
        <v>7467</v>
      </c>
      <c r="B1756" s="1" t="s">
        <v>7468</v>
      </c>
      <c r="C1756" s="1" t="s">
        <v>255</v>
      </c>
      <c r="D1756" s="1" t="s">
        <v>4839</v>
      </c>
      <c r="E1756" s="1" t="s">
        <v>3917</v>
      </c>
      <c r="F1756" s="1" t="s">
        <v>3918</v>
      </c>
      <c r="G1756" s="1" t="s">
        <v>4983</v>
      </c>
    </row>
    <row r="1757" spans="1:7" x14ac:dyDescent="0.45">
      <c r="A1757" s="1" t="s">
        <v>547</v>
      </c>
      <c r="B1757" s="1" t="s">
        <v>546</v>
      </c>
      <c r="C1757" s="1" t="s">
        <v>255</v>
      </c>
      <c r="D1757" s="1" t="s">
        <v>2937</v>
      </c>
      <c r="E1757" s="1" t="s">
        <v>3917</v>
      </c>
      <c r="F1757" s="1" t="s">
        <v>3918</v>
      </c>
      <c r="G1757" s="1" t="s">
        <v>4983</v>
      </c>
    </row>
    <row r="1758" spans="1:7" x14ac:dyDescent="0.45">
      <c r="A1758" s="1" t="s">
        <v>4363</v>
      </c>
      <c r="B1758" s="1" t="s">
        <v>4364</v>
      </c>
      <c r="C1758" s="1" t="s">
        <v>255</v>
      </c>
      <c r="D1758" s="1" t="s">
        <v>4840</v>
      </c>
      <c r="E1758" s="1" t="s">
        <v>3917</v>
      </c>
      <c r="F1758" s="1" t="s">
        <v>3918</v>
      </c>
      <c r="G1758" s="1" t="s">
        <v>4983</v>
      </c>
    </row>
    <row r="1759" spans="1:7" x14ac:dyDescent="0.45">
      <c r="A1759" s="1" t="s">
        <v>545</v>
      </c>
      <c r="B1759" s="1" t="s">
        <v>544</v>
      </c>
      <c r="C1759" s="1" t="s">
        <v>255</v>
      </c>
      <c r="D1759" s="1" t="s">
        <v>2938</v>
      </c>
      <c r="E1759" s="1" t="s">
        <v>3917</v>
      </c>
      <c r="F1759" s="1" t="s">
        <v>3918</v>
      </c>
      <c r="G1759" s="1" t="s">
        <v>4983</v>
      </c>
    </row>
    <row r="1760" spans="1:7" x14ac:dyDescent="0.45">
      <c r="A1760" s="1" t="s">
        <v>7469</v>
      </c>
      <c r="B1760" s="1" t="s">
        <v>7470</v>
      </c>
      <c r="C1760" s="1" t="s">
        <v>255</v>
      </c>
      <c r="D1760" s="1" t="s">
        <v>8222</v>
      </c>
      <c r="E1760" s="1" t="s">
        <v>3917</v>
      </c>
      <c r="F1760" s="1" t="s">
        <v>3918</v>
      </c>
      <c r="G1760" s="1" t="s">
        <v>4983</v>
      </c>
    </row>
    <row r="1761" spans="1:7" x14ac:dyDescent="0.45">
      <c r="A1761" s="1" t="s">
        <v>10719</v>
      </c>
      <c r="B1761" s="1" t="s">
        <v>10720</v>
      </c>
      <c r="C1761" s="1" t="s">
        <v>255</v>
      </c>
      <c r="D1761" s="1" t="s">
        <v>11582</v>
      </c>
      <c r="E1761" s="1" t="s">
        <v>3917</v>
      </c>
      <c r="F1761" s="1" t="s">
        <v>3918</v>
      </c>
      <c r="G1761" s="1" t="s">
        <v>4983</v>
      </c>
    </row>
    <row r="1762" spans="1:7" x14ac:dyDescent="0.45">
      <c r="A1762" s="1" t="s">
        <v>7471</v>
      </c>
      <c r="B1762" s="1" t="s">
        <v>7472</v>
      </c>
      <c r="C1762" s="1" t="s">
        <v>255</v>
      </c>
      <c r="D1762" s="1" t="s">
        <v>8223</v>
      </c>
      <c r="E1762" s="1" t="s">
        <v>3917</v>
      </c>
      <c r="F1762" s="1" t="s">
        <v>3918</v>
      </c>
      <c r="G1762" s="1" t="s">
        <v>4983</v>
      </c>
    </row>
    <row r="1763" spans="1:7" x14ac:dyDescent="0.45">
      <c r="A1763" s="1" t="s">
        <v>3686</v>
      </c>
      <c r="B1763" s="1" t="s">
        <v>3687</v>
      </c>
      <c r="C1763" s="1" t="s">
        <v>255</v>
      </c>
      <c r="D1763" s="1" t="s">
        <v>3688</v>
      </c>
      <c r="E1763" s="1" t="s">
        <v>3917</v>
      </c>
      <c r="F1763" s="1" t="s">
        <v>3918</v>
      </c>
      <c r="G1763" s="1" t="s">
        <v>4983</v>
      </c>
    </row>
    <row r="1764" spans="1:7" x14ac:dyDescent="0.45">
      <c r="A1764" s="1" t="s">
        <v>10721</v>
      </c>
      <c r="B1764" s="1" t="s">
        <v>10722</v>
      </c>
      <c r="C1764" s="1" t="s">
        <v>255</v>
      </c>
      <c r="D1764" s="1" t="s">
        <v>11583</v>
      </c>
      <c r="E1764" s="1" t="s">
        <v>3917</v>
      </c>
      <c r="F1764" s="1" t="s">
        <v>3918</v>
      </c>
      <c r="G1764" s="1" t="s">
        <v>4983</v>
      </c>
    </row>
    <row r="1765" spans="1:7" x14ac:dyDescent="0.45">
      <c r="A1765" s="1" t="s">
        <v>10723</v>
      </c>
      <c r="B1765" s="1" t="s">
        <v>10724</v>
      </c>
      <c r="C1765" s="1" t="s">
        <v>255</v>
      </c>
      <c r="D1765" s="1" t="s">
        <v>11584</v>
      </c>
      <c r="E1765" s="1" t="s">
        <v>3917</v>
      </c>
      <c r="F1765" s="1" t="s">
        <v>3918</v>
      </c>
      <c r="G1765" s="1" t="s">
        <v>4983</v>
      </c>
    </row>
    <row r="1766" spans="1:7" x14ac:dyDescent="0.45">
      <c r="A1766" s="1" t="s">
        <v>10725</v>
      </c>
      <c r="B1766" s="1" t="s">
        <v>10726</v>
      </c>
      <c r="C1766" s="1" t="s">
        <v>255</v>
      </c>
      <c r="D1766" s="1" t="s">
        <v>11585</v>
      </c>
      <c r="E1766" s="1" t="s">
        <v>3917</v>
      </c>
      <c r="F1766" s="1" t="s">
        <v>3918</v>
      </c>
      <c r="G1766" s="1" t="s">
        <v>4983</v>
      </c>
    </row>
    <row r="1767" spans="1:7" x14ac:dyDescent="0.45">
      <c r="A1767" s="1" t="s">
        <v>2939</v>
      </c>
      <c r="B1767" s="1" t="s">
        <v>2940</v>
      </c>
      <c r="C1767" s="1" t="s">
        <v>255</v>
      </c>
      <c r="D1767" s="1" t="s">
        <v>2941</v>
      </c>
      <c r="E1767" s="1" t="s">
        <v>3917</v>
      </c>
      <c r="F1767" s="1" t="s">
        <v>3918</v>
      </c>
      <c r="G1767" s="1" t="s">
        <v>4983</v>
      </c>
    </row>
    <row r="1768" spans="1:7" x14ac:dyDescent="0.45">
      <c r="A1768" s="1" t="s">
        <v>10727</v>
      </c>
      <c r="B1768" s="1" t="s">
        <v>10728</v>
      </c>
      <c r="C1768" s="1" t="s">
        <v>255</v>
      </c>
      <c r="D1768" s="1" t="s">
        <v>11586</v>
      </c>
      <c r="E1768" s="1" t="s">
        <v>3917</v>
      </c>
      <c r="F1768" s="1" t="s">
        <v>3918</v>
      </c>
      <c r="G1768" s="1" t="s">
        <v>4983</v>
      </c>
    </row>
    <row r="1769" spans="1:7" x14ac:dyDescent="0.45">
      <c r="A1769" s="1" t="s">
        <v>10729</v>
      </c>
      <c r="B1769" s="1" t="s">
        <v>10730</v>
      </c>
      <c r="C1769" s="1" t="s">
        <v>255</v>
      </c>
      <c r="D1769" s="1" t="s">
        <v>11587</v>
      </c>
      <c r="E1769" s="1" t="s">
        <v>3917</v>
      </c>
      <c r="F1769" s="1" t="s">
        <v>3918</v>
      </c>
      <c r="G1769" s="1" t="s">
        <v>4983</v>
      </c>
    </row>
    <row r="1770" spans="1:7" x14ac:dyDescent="0.45">
      <c r="A1770" s="1" t="s">
        <v>4365</v>
      </c>
      <c r="B1770" s="1" t="s">
        <v>4366</v>
      </c>
      <c r="C1770" s="1" t="s">
        <v>255</v>
      </c>
      <c r="D1770" s="1" t="s">
        <v>4841</v>
      </c>
      <c r="E1770" s="1" t="s">
        <v>3917</v>
      </c>
      <c r="F1770" s="1" t="s">
        <v>3918</v>
      </c>
      <c r="G1770" s="1" t="s">
        <v>4983</v>
      </c>
    </row>
    <row r="1771" spans="1:7" x14ac:dyDescent="0.45">
      <c r="A1771" s="1" t="s">
        <v>10731</v>
      </c>
      <c r="B1771" s="1" t="s">
        <v>10732</v>
      </c>
      <c r="C1771" s="1" t="s">
        <v>255</v>
      </c>
      <c r="D1771" s="1" t="s">
        <v>11588</v>
      </c>
      <c r="E1771" s="1" t="s">
        <v>3917</v>
      </c>
      <c r="F1771" s="1" t="s">
        <v>3918</v>
      </c>
      <c r="G1771" s="1" t="s">
        <v>4983</v>
      </c>
    </row>
    <row r="1772" spans="1:7" x14ac:dyDescent="0.45">
      <c r="A1772" s="1" t="s">
        <v>7473</v>
      </c>
      <c r="B1772" s="1" t="s">
        <v>7474</v>
      </c>
      <c r="C1772" s="1" t="s">
        <v>255</v>
      </c>
      <c r="D1772" s="1" t="s">
        <v>8224</v>
      </c>
      <c r="E1772" s="1" t="s">
        <v>3917</v>
      </c>
      <c r="F1772" s="1" t="s">
        <v>3918</v>
      </c>
      <c r="G1772" s="1" t="s">
        <v>4983</v>
      </c>
    </row>
    <row r="1773" spans="1:7" x14ac:dyDescent="0.45">
      <c r="A1773" s="1" t="s">
        <v>7475</v>
      </c>
      <c r="B1773" s="1" t="s">
        <v>7476</v>
      </c>
      <c r="C1773" s="1" t="s">
        <v>255</v>
      </c>
      <c r="D1773" s="1" t="s">
        <v>8225</v>
      </c>
      <c r="E1773" s="1" t="s">
        <v>3917</v>
      </c>
      <c r="F1773" s="1" t="s">
        <v>3918</v>
      </c>
      <c r="G1773" s="1" t="s">
        <v>4983</v>
      </c>
    </row>
    <row r="1774" spans="1:7" x14ac:dyDescent="0.45">
      <c r="A1774" s="1" t="s">
        <v>10733</v>
      </c>
      <c r="B1774" s="1" t="s">
        <v>10734</v>
      </c>
      <c r="C1774" s="1" t="s">
        <v>255</v>
      </c>
      <c r="D1774" s="1" t="s">
        <v>11589</v>
      </c>
      <c r="E1774" s="1" t="s">
        <v>3917</v>
      </c>
      <c r="F1774" s="1" t="s">
        <v>3918</v>
      </c>
      <c r="G1774" s="1" t="s">
        <v>4983</v>
      </c>
    </row>
    <row r="1775" spans="1:7" x14ac:dyDescent="0.45">
      <c r="A1775" s="1" t="s">
        <v>7477</v>
      </c>
      <c r="B1775" s="1" t="s">
        <v>7478</v>
      </c>
      <c r="C1775" s="1" t="s">
        <v>255</v>
      </c>
      <c r="D1775" s="1" t="s">
        <v>8226</v>
      </c>
      <c r="E1775" s="1" t="s">
        <v>3917</v>
      </c>
      <c r="F1775" s="1" t="s">
        <v>3918</v>
      </c>
      <c r="G1775" s="1" t="s">
        <v>4983</v>
      </c>
    </row>
    <row r="1776" spans="1:7" x14ac:dyDescent="0.45">
      <c r="A1776" s="1" t="s">
        <v>4367</v>
      </c>
      <c r="B1776" s="1" t="s">
        <v>4368</v>
      </c>
      <c r="C1776" s="1" t="s">
        <v>255</v>
      </c>
      <c r="D1776" s="1" t="s">
        <v>4842</v>
      </c>
      <c r="E1776" s="1" t="s">
        <v>3917</v>
      </c>
      <c r="F1776" s="1" t="s">
        <v>3918</v>
      </c>
      <c r="G1776" s="1" t="s">
        <v>4983</v>
      </c>
    </row>
    <row r="1777" spans="1:7" x14ac:dyDescent="0.45">
      <c r="A1777" s="1" t="s">
        <v>7479</v>
      </c>
      <c r="B1777" s="1" t="s">
        <v>4369</v>
      </c>
      <c r="C1777" s="1" t="s">
        <v>255</v>
      </c>
      <c r="D1777" s="1" t="s">
        <v>3689</v>
      </c>
      <c r="E1777" s="1" t="s">
        <v>3919</v>
      </c>
      <c r="F1777" s="1" t="s">
        <v>3918</v>
      </c>
      <c r="G1777" s="1" t="s">
        <v>4983</v>
      </c>
    </row>
    <row r="1778" spans="1:7" x14ac:dyDescent="0.45">
      <c r="A1778" s="1" t="s">
        <v>10735</v>
      </c>
      <c r="B1778" s="1" t="s">
        <v>10736</v>
      </c>
      <c r="C1778" s="1" t="s">
        <v>255</v>
      </c>
      <c r="D1778" s="1" t="s">
        <v>11590</v>
      </c>
      <c r="E1778" s="1" t="s">
        <v>3917</v>
      </c>
      <c r="F1778" s="1" t="s">
        <v>3918</v>
      </c>
      <c r="G1778" s="1" t="s">
        <v>4983</v>
      </c>
    </row>
    <row r="1779" spans="1:7" x14ac:dyDescent="0.45">
      <c r="A1779" s="1" t="s">
        <v>2942</v>
      </c>
      <c r="B1779" s="1" t="s">
        <v>2943</v>
      </c>
      <c r="C1779" s="1" t="s">
        <v>255</v>
      </c>
      <c r="D1779" s="1" t="s">
        <v>2944</v>
      </c>
      <c r="E1779" s="1" t="s">
        <v>3917</v>
      </c>
      <c r="F1779" s="1" t="s">
        <v>3918</v>
      </c>
      <c r="G1779" s="1" t="s">
        <v>4983</v>
      </c>
    </row>
    <row r="1780" spans="1:7" x14ac:dyDescent="0.45">
      <c r="A1780" s="1" t="s">
        <v>10737</v>
      </c>
      <c r="B1780" s="1" t="s">
        <v>6810</v>
      </c>
      <c r="C1780" s="1" t="s">
        <v>255</v>
      </c>
      <c r="D1780" s="1" t="s">
        <v>6811</v>
      </c>
      <c r="E1780" s="1" t="s">
        <v>3917</v>
      </c>
      <c r="F1780" s="1" t="s">
        <v>3918</v>
      </c>
      <c r="G1780" s="1" t="s">
        <v>4983</v>
      </c>
    </row>
    <row r="1781" spans="1:7" x14ac:dyDescent="0.45">
      <c r="A1781" s="1" t="s">
        <v>7480</v>
      </c>
      <c r="B1781" s="1" t="s">
        <v>7481</v>
      </c>
      <c r="C1781" s="1" t="s">
        <v>255</v>
      </c>
      <c r="D1781" s="1" t="s">
        <v>5357</v>
      </c>
      <c r="E1781" s="1" t="s">
        <v>3917</v>
      </c>
      <c r="F1781" s="1" t="s">
        <v>3918</v>
      </c>
      <c r="G1781" s="1" t="s">
        <v>4983</v>
      </c>
    </row>
    <row r="1782" spans="1:7" x14ac:dyDescent="0.45">
      <c r="A1782" s="1" t="s">
        <v>543</v>
      </c>
      <c r="B1782" s="1" t="s">
        <v>542</v>
      </c>
      <c r="C1782" s="1" t="s">
        <v>255</v>
      </c>
      <c r="D1782" s="1" t="s">
        <v>2945</v>
      </c>
      <c r="E1782" s="1" t="s">
        <v>3917</v>
      </c>
      <c r="F1782" s="1" t="s">
        <v>3918</v>
      </c>
      <c r="G1782" s="1" t="s">
        <v>4983</v>
      </c>
    </row>
    <row r="1783" spans="1:7" x14ac:dyDescent="0.45">
      <c r="A1783" s="1" t="s">
        <v>10738</v>
      </c>
      <c r="B1783" s="1" t="s">
        <v>10739</v>
      </c>
      <c r="C1783" s="1" t="s">
        <v>255</v>
      </c>
      <c r="D1783" s="1" t="s">
        <v>11591</v>
      </c>
      <c r="E1783" s="1" t="s">
        <v>3917</v>
      </c>
      <c r="F1783" s="1" t="s">
        <v>3918</v>
      </c>
      <c r="G1783" s="1" t="s">
        <v>4983</v>
      </c>
    </row>
    <row r="1784" spans="1:7" x14ac:dyDescent="0.45">
      <c r="A1784" s="1" t="s">
        <v>10740</v>
      </c>
      <c r="B1784" s="1" t="s">
        <v>10741</v>
      </c>
      <c r="C1784" s="1" t="s">
        <v>255</v>
      </c>
      <c r="D1784" s="1" t="s">
        <v>11592</v>
      </c>
      <c r="E1784" s="1" t="s">
        <v>3917</v>
      </c>
      <c r="F1784" s="1" t="s">
        <v>3918</v>
      </c>
      <c r="G1784" s="1" t="s">
        <v>4983</v>
      </c>
    </row>
    <row r="1785" spans="1:7" x14ac:dyDescent="0.45">
      <c r="A1785" s="1" t="s">
        <v>2946</v>
      </c>
      <c r="B1785" s="1" t="s">
        <v>2947</v>
      </c>
      <c r="C1785" s="1" t="s">
        <v>255</v>
      </c>
      <c r="D1785" s="1" t="s">
        <v>2948</v>
      </c>
      <c r="E1785" s="1" t="s">
        <v>3917</v>
      </c>
      <c r="F1785" s="1" t="s">
        <v>3918</v>
      </c>
      <c r="G1785" s="1" t="s">
        <v>4983</v>
      </c>
    </row>
    <row r="1786" spans="1:7" x14ac:dyDescent="0.45">
      <c r="A1786" s="1" t="s">
        <v>4370</v>
      </c>
      <c r="B1786" s="1" t="s">
        <v>4371</v>
      </c>
      <c r="C1786" s="1" t="s">
        <v>255</v>
      </c>
      <c r="D1786" s="1" t="s">
        <v>4843</v>
      </c>
      <c r="E1786" s="1" t="s">
        <v>3917</v>
      </c>
      <c r="F1786" s="1" t="s">
        <v>3918</v>
      </c>
      <c r="G1786" s="1" t="s">
        <v>4983</v>
      </c>
    </row>
    <row r="1787" spans="1:7" x14ac:dyDescent="0.45">
      <c r="A1787" s="1" t="s">
        <v>10742</v>
      </c>
      <c r="B1787" s="1" t="s">
        <v>10743</v>
      </c>
      <c r="C1787" s="1" t="s">
        <v>255</v>
      </c>
      <c r="D1787" s="1" t="s">
        <v>11593</v>
      </c>
      <c r="E1787" s="1" t="s">
        <v>3917</v>
      </c>
      <c r="F1787" s="1" t="s">
        <v>3918</v>
      </c>
      <c r="G1787" s="1" t="s">
        <v>4983</v>
      </c>
    </row>
    <row r="1788" spans="1:7" x14ac:dyDescent="0.45">
      <c r="A1788" s="1" t="s">
        <v>7484</v>
      </c>
      <c r="B1788" s="1" t="s">
        <v>7485</v>
      </c>
      <c r="C1788" s="1" t="s">
        <v>255</v>
      </c>
      <c r="D1788" s="1" t="s">
        <v>8228</v>
      </c>
      <c r="E1788" s="1" t="s">
        <v>3917</v>
      </c>
      <c r="F1788" s="1" t="s">
        <v>3918</v>
      </c>
      <c r="G1788" s="1" t="s">
        <v>4983</v>
      </c>
    </row>
    <row r="1789" spans="1:7" x14ac:dyDescent="0.45">
      <c r="A1789" s="1" t="s">
        <v>10744</v>
      </c>
      <c r="B1789" s="1" t="s">
        <v>10745</v>
      </c>
      <c r="C1789" s="1" t="s">
        <v>255</v>
      </c>
      <c r="D1789" s="1" t="s">
        <v>11594</v>
      </c>
      <c r="E1789" s="1" t="s">
        <v>3917</v>
      </c>
      <c r="F1789" s="1" t="s">
        <v>3918</v>
      </c>
      <c r="G1789" s="1" t="s">
        <v>4983</v>
      </c>
    </row>
    <row r="1790" spans="1:7" x14ac:dyDescent="0.45">
      <c r="A1790" s="1" t="s">
        <v>10746</v>
      </c>
      <c r="B1790" s="1" t="s">
        <v>10747</v>
      </c>
      <c r="C1790" s="1" t="s">
        <v>255</v>
      </c>
      <c r="D1790" s="1" t="s">
        <v>11595</v>
      </c>
      <c r="E1790" s="1" t="s">
        <v>3917</v>
      </c>
      <c r="F1790" s="1" t="s">
        <v>3918</v>
      </c>
      <c r="G1790" s="1" t="s">
        <v>4983</v>
      </c>
    </row>
    <row r="1791" spans="1:7" x14ac:dyDescent="0.45">
      <c r="A1791" s="1" t="s">
        <v>7486</v>
      </c>
      <c r="B1791" s="1" t="s">
        <v>7487</v>
      </c>
      <c r="C1791" s="1" t="s">
        <v>255</v>
      </c>
      <c r="D1791" s="1" t="s">
        <v>8229</v>
      </c>
      <c r="E1791" s="1" t="s">
        <v>3917</v>
      </c>
      <c r="F1791" s="1" t="s">
        <v>3918</v>
      </c>
      <c r="G1791" s="1" t="s">
        <v>4983</v>
      </c>
    </row>
    <row r="1792" spans="1:7" x14ac:dyDescent="0.45">
      <c r="A1792" s="1" t="s">
        <v>10748</v>
      </c>
      <c r="B1792" s="1" t="s">
        <v>10749</v>
      </c>
      <c r="C1792" s="1" t="s">
        <v>255</v>
      </c>
      <c r="D1792" s="1" t="s">
        <v>11596</v>
      </c>
      <c r="E1792" s="1" t="s">
        <v>3917</v>
      </c>
      <c r="F1792" s="1" t="s">
        <v>3918</v>
      </c>
      <c r="G1792" s="1" t="s">
        <v>4983</v>
      </c>
    </row>
    <row r="1793" spans="1:7" x14ac:dyDescent="0.45">
      <c r="A1793" s="1" t="s">
        <v>7488</v>
      </c>
      <c r="B1793" s="1" t="s">
        <v>3325</v>
      </c>
      <c r="C1793" s="1" t="s">
        <v>255</v>
      </c>
      <c r="D1793" s="1" t="s">
        <v>3326</v>
      </c>
      <c r="E1793" s="1" t="s">
        <v>3917</v>
      </c>
      <c r="F1793" s="1" t="s">
        <v>3918</v>
      </c>
      <c r="G1793" s="1" t="s">
        <v>4983</v>
      </c>
    </row>
    <row r="1794" spans="1:7" x14ac:dyDescent="0.45">
      <c r="A1794" s="1" t="s">
        <v>10750</v>
      </c>
      <c r="B1794" s="1" t="s">
        <v>6729</v>
      </c>
      <c r="C1794" s="1" t="s">
        <v>255</v>
      </c>
      <c r="D1794" s="1" t="s">
        <v>6730</v>
      </c>
      <c r="E1794" s="1" t="s">
        <v>3917</v>
      </c>
      <c r="F1794" s="1" t="s">
        <v>3918</v>
      </c>
      <c r="G1794" s="1" t="s">
        <v>4983</v>
      </c>
    </row>
    <row r="1795" spans="1:7" x14ac:dyDescent="0.45">
      <c r="A1795" s="1" t="s">
        <v>10751</v>
      </c>
      <c r="B1795" s="1" t="s">
        <v>10752</v>
      </c>
      <c r="C1795" s="1" t="s">
        <v>255</v>
      </c>
      <c r="D1795" s="1" t="s">
        <v>11597</v>
      </c>
      <c r="E1795" s="1" t="s">
        <v>3917</v>
      </c>
      <c r="F1795" s="1" t="s">
        <v>3918</v>
      </c>
      <c r="G1795" s="1" t="s">
        <v>4983</v>
      </c>
    </row>
    <row r="1796" spans="1:7" x14ac:dyDescent="0.45">
      <c r="A1796" s="1" t="s">
        <v>10753</v>
      </c>
      <c r="B1796" s="1" t="s">
        <v>10754</v>
      </c>
      <c r="C1796" s="1" t="s">
        <v>255</v>
      </c>
      <c r="D1796" s="1" t="s">
        <v>11598</v>
      </c>
      <c r="E1796" s="1" t="s">
        <v>3917</v>
      </c>
      <c r="F1796" s="1" t="s">
        <v>3918</v>
      </c>
      <c r="G1796" s="1" t="s">
        <v>4983</v>
      </c>
    </row>
    <row r="1797" spans="1:7" x14ac:dyDescent="0.45">
      <c r="A1797" s="1" t="s">
        <v>4372</v>
      </c>
      <c r="B1797" s="1" t="s">
        <v>4373</v>
      </c>
      <c r="C1797" s="1" t="s">
        <v>255</v>
      </c>
      <c r="D1797" s="1" t="s">
        <v>4844</v>
      </c>
      <c r="E1797" s="1" t="s">
        <v>3917</v>
      </c>
      <c r="F1797" s="1" t="s">
        <v>3918</v>
      </c>
      <c r="G1797" s="1" t="s">
        <v>4983</v>
      </c>
    </row>
    <row r="1798" spans="1:7" x14ac:dyDescent="0.45">
      <c r="A1798" s="1" t="s">
        <v>7489</v>
      </c>
      <c r="B1798" s="1" t="s">
        <v>7490</v>
      </c>
      <c r="C1798" s="1" t="s">
        <v>255</v>
      </c>
      <c r="D1798" s="1" t="s">
        <v>8230</v>
      </c>
      <c r="E1798" s="1" t="s">
        <v>3917</v>
      </c>
      <c r="F1798" s="1" t="s">
        <v>3918</v>
      </c>
      <c r="G1798" s="1" t="s">
        <v>4983</v>
      </c>
    </row>
    <row r="1799" spans="1:7" x14ac:dyDescent="0.45">
      <c r="A1799" s="1" t="s">
        <v>7491</v>
      </c>
      <c r="B1799" s="1" t="s">
        <v>7492</v>
      </c>
      <c r="C1799" s="1" t="s">
        <v>255</v>
      </c>
      <c r="D1799" s="1" t="s">
        <v>8231</v>
      </c>
      <c r="E1799" s="1" t="s">
        <v>3917</v>
      </c>
      <c r="F1799" s="1" t="s">
        <v>3918</v>
      </c>
      <c r="G1799" s="1" t="s">
        <v>4983</v>
      </c>
    </row>
    <row r="1800" spans="1:7" x14ac:dyDescent="0.45">
      <c r="A1800" s="1" t="s">
        <v>7493</v>
      </c>
      <c r="B1800" s="1" t="s">
        <v>7494</v>
      </c>
      <c r="C1800" s="1" t="s">
        <v>255</v>
      </c>
      <c r="D1800" s="1" t="s">
        <v>8232</v>
      </c>
      <c r="E1800" s="1" t="s">
        <v>3917</v>
      </c>
      <c r="F1800" s="1" t="s">
        <v>3918</v>
      </c>
      <c r="G1800" s="1" t="s">
        <v>4983</v>
      </c>
    </row>
    <row r="1801" spans="1:7" x14ac:dyDescent="0.45">
      <c r="A1801" s="1" t="s">
        <v>7495</v>
      </c>
      <c r="B1801" s="1" t="s">
        <v>5752</v>
      </c>
      <c r="C1801" s="1" t="s">
        <v>255</v>
      </c>
      <c r="D1801" s="1" t="s">
        <v>5753</v>
      </c>
      <c r="E1801" s="1" t="s">
        <v>3917</v>
      </c>
      <c r="F1801" s="1" t="s">
        <v>3918</v>
      </c>
      <c r="G1801" s="1" t="s">
        <v>4983</v>
      </c>
    </row>
    <row r="1802" spans="1:7" x14ac:dyDescent="0.45">
      <c r="A1802" s="1" t="s">
        <v>10755</v>
      </c>
      <c r="B1802" s="1" t="s">
        <v>10756</v>
      </c>
      <c r="C1802" s="1" t="s">
        <v>255</v>
      </c>
      <c r="D1802" s="1" t="s">
        <v>11599</v>
      </c>
      <c r="E1802" s="1" t="s">
        <v>3917</v>
      </c>
      <c r="F1802" s="1" t="s">
        <v>3918</v>
      </c>
      <c r="G1802" s="1" t="s">
        <v>4983</v>
      </c>
    </row>
    <row r="1803" spans="1:7" x14ac:dyDescent="0.45">
      <c r="A1803" s="1" t="s">
        <v>7496</v>
      </c>
      <c r="B1803" s="1" t="s">
        <v>7497</v>
      </c>
      <c r="C1803" s="1" t="s">
        <v>255</v>
      </c>
      <c r="D1803" s="1" t="s">
        <v>8233</v>
      </c>
      <c r="E1803" s="1" t="s">
        <v>3917</v>
      </c>
      <c r="F1803" s="1" t="s">
        <v>3918</v>
      </c>
      <c r="G1803" s="1" t="s">
        <v>4983</v>
      </c>
    </row>
    <row r="1804" spans="1:7" x14ac:dyDescent="0.45">
      <c r="A1804" s="1" t="s">
        <v>540</v>
      </c>
      <c r="B1804" s="1" t="s">
        <v>539</v>
      </c>
      <c r="C1804" s="1" t="s">
        <v>255</v>
      </c>
      <c r="D1804" s="1" t="s">
        <v>2949</v>
      </c>
      <c r="E1804" s="1" t="s">
        <v>3917</v>
      </c>
      <c r="F1804" s="1" t="s">
        <v>3918</v>
      </c>
      <c r="G1804" s="1" t="s">
        <v>4983</v>
      </c>
    </row>
    <row r="1805" spans="1:7" x14ac:dyDescent="0.45">
      <c r="A1805" s="1" t="s">
        <v>10757</v>
      </c>
      <c r="B1805" s="1" t="s">
        <v>10758</v>
      </c>
      <c r="C1805" s="1" t="s">
        <v>255</v>
      </c>
      <c r="D1805" s="1" t="s">
        <v>11600</v>
      </c>
      <c r="E1805" s="1" t="s">
        <v>3917</v>
      </c>
      <c r="F1805" s="1" t="s">
        <v>3918</v>
      </c>
      <c r="G1805" s="1" t="s">
        <v>4983</v>
      </c>
    </row>
    <row r="1806" spans="1:7" x14ac:dyDescent="0.45">
      <c r="A1806" s="1" t="s">
        <v>7498</v>
      </c>
      <c r="B1806" s="1" t="s">
        <v>5689</v>
      </c>
      <c r="C1806" s="1" t="s">
        <v>255</v>
      </c>
      <c r="D1806" s="1" t="s">
        <v>5690</v>
      </c>
      <c r="E1806" s="1" t="s">
        <v>3917</v>
      </c>
      <c r="F1806" s="1" t="s">
        <v>3918</v>
      </c>
      <c r="G1806" s="1" t="s">
        <v>4983</v>
      </c>
    </row>
    <row r="1807" spans="1:7" x14ac:dyDescent="0.45">
      <c r="A1807" s="1" t="s">
        <v>7499</v>
      </c>
      <c r="B1807" s="1" t="s">
        <v>7500</v>
      </c>
      <c r="C1807" s="1" t="s">
        <v>255</v>
      </c>
      <c r="D1807" s="1" t="s">
        <v>8234</v>
      </c>
      <c r="E1807" s="1" t="s">
        <v>3917</v>
      </c>
      <c r="F1807" s="1" t="s">
        <v>3918</v>
      </c>
      <c r="G1807" s="1" t="s">
        <v>4983</v>
      </c>
    </row>
    <row r="1808" spans="1:7" x14ac:dyDescent="0.45">
      <c r="A1808" s="1" t="s">
        <v>7501</v>
      </c>
      <c r="B1808" s="1" t="s">
        <v>7502</v>
      </c>
      <c r="C1808" s="1" t="s">
        <v>255</v>
      </c>
      <c r="D1808" s="1" t="s">
        <v>8235</v>
      </c>
      <c r="E1808" s="1" t="s">
        <v>3917</v>
      </c>
      <c r="F1808" s="1" t="s">
        <v>3918</v>
      </c>
      <c r="G1808" s="1" t="s">
        <v>4983</v>
      </c>
    </row>
    <row r="1809" spans="1:7" x14ac:dyDescent="0.45">
      <c r="A1809" s="1" t="s">
        <v>4374</v>
      </c>
      <c r="B1809" s="1" t="s">
        <v>4375</v>
      </c>
      <c r="C1809" s="1" t="s">
        <v>255</v>
      </c>
      <c r="D1809" s="1" t="s">
        <v>4845</v>
      </c>
      <c r="E1809" s="1" t="s">
        <v>3917</v>
      </c>
      <c r="F1809" s="1" t="s">
        <v>3918</v>
      </c>
      <c r="G1809" s="1" t="s">
        <v>4983</v>
      </c>
    </row>
    <row r="1810" spans="1:7" x14ac:dyDescent="0.45">
      <c r="A1810" s="1" t="s">
        <v>4376</v>
      </c>
      <c r="B1810" s="1" t="s">
        <v>4377</v>
      </c>
      <c r="C1810" s="1" t="s">
        <v>255</v>
      </c>
      <c r="D1810" s="1" t="s">
        <v>4846</v>
      </c>
      <c r="E1810" s="1" t="s">
        <v>3917</v>
      </c>
      <c r="F1810" s="1" t="s">
        <v>3918</v>
      </c>
      <c r="G1810" s="1" t="s">
        <v>4983</v>
      </c>
    </row>
    <row r="1811" spans="1:7" x14ac:dyDescent="0.45">
      <c r="A1811" s="1" t="s">
        <v>7503</v>
      </c>
      <c r="B1811" s="1" t="s">
        <v>7504</v>
      </c>
      <c r="C1811" s="1" t="s">
        <v>255</v>
      </c>
      <c r="D1811" s="1" t="s">
        <v>8236</v>
      </c>
      <c r="E1811" s="1" t="s">
        <v>3919</v>
      </c>
      <c r="F1811" s="1" t="s">
        <v>3918</v>
      </c>
      <c r="G1811" s="1" t="s">
        <v>4983</v>
      </c>
    </row>
    <row r="1812" spans="1:7" x14ac:dyDescent="0.45">
      <c r="A1812" s="1" t="s">
        <v>10759</v>
      </c>
      <c r="B1812" s="1" t="s">
        <v>5681</v>
      </c>
      <c r="C1812" s="1" t="s">
        <v>255</v>
      </c>
      <c r="D1812" s="1" t="s">
        <v>5682</v>
      </c>
      <c r="E1812" s="1" t="s">
        <v>3917</v>
      </c>
      <c r="F1812" s="1" t="s">
        <v>3918</v>
      </c>
      <c r="G1812" s="1" t="s">
        <v>4983</v>
      </c>
    </row>
    <row r="1813" spans="1:7" x14ac:dyDescent="0.45">
      <c r="A1813" s="1" t="s">
        <v>10760</v>
      </c>
      <c r="B1813" s="1" t="s">
        <v>10761</v>
      </c>
      <c r="C1813" s="1" t="s">
        <v>255</v>
      </c>
      <c r="D1813" s="1" t="s">
        <v>11601</v>
      </c>
      <c r="E1813" s="1" t="s">
        <v>3917</v>
      </c>
      <c r="F1813" s="1" t="s">
        <v>3918</v>
      </c>
      <c r="G1813" s="1" t="s">
        <v>4983</v>
      </c>
    </row>
    <row r="1814" spans="1:7" x14ac:dyDescent="0.45">
      <c r="A1814" s="1" t="s">
        <v>10762</v>
      </c>
      <c r="B1814" s="1" t="s">
        <v>10763</v>
      </c>
      <c r="C1814" s="1" t="s">
        <v>255</v>
      </c>
      <c r="D1814" s="1" t="s">
        <v>11602</v>
      </c>
      <c r="E1814" s="1" t="s">
        <v>3917</v>
      </c>
      <c r="F1814" s="1" t="s">
        <v>3918</v>
      </c>
      <c r="G1814" s="1" t="s">
        <v>4983</v>
      </c>
    </row>
    <row r="1815" spans="1:7" x14ac:dyDescent="0.45">
      <c r="A1815" s="1" t="s">
        <v>10764</v>
      </c>
      <c r="B1815" s="1" t="s">
        <v>10765</v>
      </c>
      <c r="C1815" s="1" t="s">
        <v>255</v>
      </c>
      <c r="D1815" s="1" t="s">
        <v>11603</v>
      </c>
      <c r="E1815" s="1" t="s">
        <v>3917</v>
      </c>
      <c r="F1815" s="1" t="s">
        <v>3918</v>
      </c>
      <c r="G1815" s="1" t="s">
        <v>4983</v>
      </c>
    </row>
    <row r="1816" spans="1:7" x14ac:dyDescent="0.45">
      <c r="A1816" s="1" t="s">
        <v>10766</v>
      </c>
      <c r="B1816" s="1" t="s">
        <v>10767</v>
      </c>
      <c r="C1816" s="1" t="s">
        <v>255</v>
      </c>
      <c r="D1816" s="1" t="s">
        <v>11604</v>
      </c>
      <c r="E1816" s="1" t="s">
        <v>3917</v>
      </c>
      <c r="F1816" s="1" t="s">
        <v>3918</v>
      </c>
      <c r="G1816" s="1" t="s">
        <v>4983</v>
      </c>
    </row>
    <row r="1817" spans="1:7" x14ac:dyDescent="0.45">
      <c r="A1817" s="1" t="s">
        <v>4378</v>
      </c>
      <c r="B1817" s="1" t="s">
        <v>3314</v>
      </c>
      <c r="C1817" s="1" t="s">
        <v>255</v>
      </c>
      <c r="D1817" s="1" t="s">
        <v>4847</v>
      </c>
      <c r="E1817" s="1" t="s">
        <v>3917</v>
      </c>
      <c r="F1817" s="1" t="s">
        <v>3918</v>
      </c>
      <c r="G1817" s="1" t="s">
        <v>4983</v>
      </c>
    </row>
    <row r="1818" spans="1:7" x14ac:dyDescent="0.45">
      <c r="A1818" s="1" t="s">
        <v>2950</v>
      </c>
      <c r="B1818" s="1" t="s">
        <v>2951</v>
      </c>
      <c r="C1818" s="1" t="s">
        <v>255</v>
      </c>
      <c r="D1818" s="1" t="s">
        <v>2952</v>
      </c>
      <c r="E1818" s="1" t="s">
        <v>3917</v>
      </c>
      <c r="F1818" s="1" t="s">
        <v>3918</v>
      </c>
      <c r="G1818" s="1" t="s">
        <v>4983</v>
      </c>
    </row>
    <row r="1819" spans="1:7" x14ac:dyDescent="0.45">
      <c r="A1819" s="1" t="s">
        <v>538</v>
      </c>
      <c r="B1819" s="1" t="s">
        <v>537</v>
      </c>
      <c r="C1819" s="1" t="s">
        <v>255</v>
      </c>
      <c r="D1819" s="1" t="s">
        <v>2953</v>
      </c>
      <c r="E1819" s="1" t="s">
        <v>3917</v>
      </c>
      <c r="F1819" s="1" t="s">
        <v>3918</v>
      </c>
      <c r="G1819" s="1" t="s">
        <v>4983</v>
      </c>
    </row>
    <row r="1820" spans="1:7" x14ac:dyDescent="0.45">
      <c r="A1820" s="1" t="s">
        <v>7505</v>
      </c>
      <c r="B1820" s="1" t="s">
        <v>7506</v>
      </c>
      <c r="C1820" s="1" t="s">
        <v>255</v>
      </c>
      <c r="D1820" s="1" t="s">
        <v>8237</v>
      </c>
      <c r="E1820" s="1" t="s">
        <v>3917</v>
      </c>
      <c r="F1820" s="1" t="s">
        <v>3918</v>
      </c>
      <c r="G1820" s="1" t="s">
        <v>4983</v>
      </c>
    </row>
    <row r="1821" spans="1:7" x14ac:dyDescent="0.45">
      <c r="A1821" s="1" t="s">
        <v>7507</v>
      </c>
      <c r="B1821" s="1" t="s">
        <v>7508</v>
      </c>
      <c r="C1821" s="1" t="s">
        <v>255</v>
      </c>
      <c r="D1821" s="1" t="s">
        <v>8238</v>
      </c>
      <c r="E1821" s="1" t="s">
        <v>3917</v>
      </c>
      <c r="F1821" s="1" t="s">
        <v>3918</v>
      </c>
      <c r="G1821" s="1" t="s">
        <v>4983</v>
      </c>
    </row>
    <row r="1822" spans="1:7" x14ac:dyDescent="0.45">
      <c r="A1822" s="1" t="s">
        <v>10768</v>
      </c>
      <c r="B1822" s="1" t="s">
        <v>10769</v>
      </c>
      <c r="C1822" s="1" t="s">
        <v>255</v>
      </c>
      <c r="D1822" s="1" t="s">
        <v>11605</v>
      </c>
      <c r="E1822" s="1" t="s">
        <v>3917</v>
      </c>
      <c r="F1822" s="1" t="s">
        <v>3918</v>
      </c>
      <c r="G1822" s="1" t="s">
        <v>4983</v>
      </c>
    </row>
    <row r="1823" spans="1:7" x14ac:dyDescent="0.45">
      <c r="A1823" s="1" t="s">
        <v>10770</v>
      </c>
      <c r="B1823" s="1" t="s">
        <v>6798</v>
      </c>
      <c r="C1823" s="1" t="s">
        <v>255</v>
      </c>
      <c r="D1823" s="1" t="s">
        <v>6799</v>
      </c>
      <c r="E1823" s="1" t="s">
        <v>3917</v>
      </c>
      <c r="F1823" s="1" t="s">
        <v>3918</v>
      </c>
      <c r="G1823" s="1" t="s">
        <v>4983</v>
      </c>
    </row>
    <row r="1824" spans="1:7" x14ac:dyDescent="0.45">
      <c r="A1824" s="1" t="s">
        <v>7509</v>
      </c>
      <c r="B1824" s="1" t="s">
        <v>5176</v>
      </c>
      <c r="C1824" s="1" t="s">
        <v>255</v>
      </c>
      <c r="D1824" s="1" t="s">
        <v>5177</v>
      </c>
      <c r="E1824" s="1" t="s">
        <v>3917</v>
      </c>
      <c r="F1824" s="1" t="s">
        <v>3918</v>
      </c>
      <c r="G1824" s="1" t="s">
        <v>4983</v>
      </c>
    </row>
    <row r="1825" spans="1:7" x14ac:dyDescent="0.45">
      <c r="A1825" s="1" t="s">
        <v>7512</v>
      </c>
      <c r="B1825" s="1" t="s">
        <v>7513</v>
      </c>
      <c r="C1825" s="1" t="s">
        <v>255</v>
      </c>
      <c r="D1825" s="1" t="s">
        <v>8240</v>
      </c>
      <c r="E1825" s="1" t="s">
        <v>3917</v>
      </c>
      <c r="F1825" s="1" t="s">
        <v>3918</v>
      </c>
      <c r="G1825" s="1" t="s">
        <v>4983</v>
      </c>
    </row>
    <row r="1826" spans="1:7" x14ac:dyDescent="0.45">
      <c r="A1826" s="1" t="s">
        <v>10771</v>
      </c>
      <c r="B1826" s="1" t="s">
        <v>10772</v>
      </c>
      <c r="C1826" s="1" t="s">
        <v>255</v>
      </c>
      <c r="D1826" s="1" t="s">
        <v>11606</v>
      </c>
      <c r="E1826" s="1" t="s">
        <v>3917</v>
      </c>
      <c r="F1826" s="1" t="s">
        <v>3918</v>
      </c>
      <c r="G1826" s="1" t="s">
        <v>4983</v>
      </c>
    </row>
    <row r="1827" spans="1:7" x14ac:dyDescent="0.45">
      <c r="A1827" s="1" t="s">
        <v>10773</v>
      </c>
      <c r="B1827" s="1" t="s">
        <v>5067</v>
      </c>
      <c r="C1827" s="1" t="s">
        <v>255</v>
      </c>
      <c r="D1827" s="1" t="s">
        <v>5068</v>
      </c>
      <c r="E1827" s="1" t="s">
        <v>3917</v>
      </c>
      <c r="F1827" s="1" t="s">
        <v>3918</v>
      </c>
      <c r="G1827" s="1" t="s">
        <v>4983</v>
      </c>
    </row>
    <row r="1828" spans="1:7" x14ac:dyDescent="0.45">
      <c r="A1828" s="1" t="s">
        <v>7514</v>
      </c>
      <c r="B1828" s="1" t="s">
        <v>7515</v>
      </c>
      <c r="C1828" s="1" t="s">
        <v>255</v>
      </c>
      <c r="D1828" s="1" t="s">
        <v>8241</v>
      </c>
      <c r="E1828" s="1" t="s">
        <v>3917</v>
      </c>
      <c r="F1828" s="1" t="s">
        <v>3918</v>
      </c>
      <c r="G1828" s="1" t="s">
        <v>4983</v>
      </c>
    </row>
    <row r="1829" spans="1:7" x14ac:dyDescent="0.45">
      <c r="A1829" s="1" t="s">
        <v>10774</v>
      </c>
      <c r="B1829" s="1" t="s">
        <v>10775</v>
      </c>
      <c r="C1829" s="1" t="s">
        <v>255</v>
      </c>
      <c r="D1829" s="1" t="s">
        <v>11607</v>
      </c>
      <c r="E1829" s="1" t="s">
        <v>3917</v>
      </c>
      <c r="F1829" s="1" t="s">
        <v>3918</v>
      </c>
      <c r="G1829" s="1" t="s">
        <v>4983</v>
      </c>
    </row>
    <row r="1830" spans="1:7" x14ac:dyDescent="0.45">
      <c r="A1830" s="1" t="s">
        <v>10776</v>
      </c>
      <c r="B1830" s="1" t="s">
        <v>10777</v>
      </c>
      <c r="C1830" s="1" t="s">
        <v>255</v>
      </c>
      <c r="D1830" s="1" t="s">
        <v>11608</v>
      </c>
      <c r="E1830" s="1" t="s">
        <v>3917</v>
      </c>
      <c r="F1830" s="1" t="s">
        <v>3918</v>
      </c>
      <c r="G1830" s="1" t="s">
        <v>4983</v>
      </c>
    </row>
    <row r="1831" spans="1:7" x14ac:dyDescent="0.45">
      <c r="A1831" s="1" t="s">
        <v>7516</v>
      </c>
      <c r="B1831" s="1" t="s">
        <v>7517</v>
      </c>
      <c r="C1831" s="1" t="s">
        <v>255</v>
      </c>
      <c r="D1831" s="1" t="s">
        <v>8242</v>
      </c>
      <c r="E1831" s="1" t="s">
        <v>3917</v>
      </c>
      <c r="F1831" s="1" t="s">
        <v>3918</v>
      </c>
      <c r="G1831" s="1" t="s">
        <v>4983</v>
      </c>
    </row>
    <row r="1832" spans="1:7" x14ac:dyDescent="0.45">
      <c r="A1832" s="1" t="s">
        <v>7518</v>
      </c>
      <c r="B1832" s="1" t="s">
        <v>7519</v>
      </c>
      <c r="C1832" s="1" t="s">
        <v>255</v>
      </c>
      <c r="D1832" s="1" t="s">
        <v>8243</v>
      </c>
      <c r="E1832" s="1" t="s">
        <v>3917</v>
      </c>
      <c r="F1832" s="1" t="s">
        <v>3918</v>
      </c>
      <c r="G1832" s="1" t="s">
        <v>4983</v>
      </c>
    </row>
    <row r="1833" spans="1:7" x14ac:dyDescent="0.45">
      <c r="A1833" s="1" t="s">
        <v>7520</v>
      </c>
      <c r="B1833" s="1" t="s">
        <v>7521</v>
      </c>
      <c r="C1833" s="1" t="s">
        <v>255</v>
      </c>
      <c r="D1833" s="1" t="s">
        <v>6121</v>
      </c>
      <c r="E1833" s="1" t="s">
        <v>3917</v>
      </c>
      <c r="F1833" s="1" t="s">
        <v>3918</v>
      </c>
      <c r="G1833" s="1" t="s">
        <v>4983</v>
      </c>
    </row>
    <row r="1834" spans="1:7" x14ac:dyDescent="0.45">
      <c r="A1834" s="1" t="s">
        <v>4383</v>
      </c>
      <c r="B1834" s="1" t="s">
        <v>4384</v>
      </c>
      <c r="C1834" s="1" t="s">
        <v>255</v>
      </c>
      <c r="D1834" s="1" t="s">
        <v>4850</v>
      </c>
      <c r="E1834" s="1" t="s">
        <v>3917</v>
      </c>
      <c r="F1834" s="1" t="s">
        <v>3918</v>
      </c>
      <c r="G1834" s="1" t="s">
        <v>4983</v>
      </c>
    </row>
    <row r="1835" spans="1:7" x14ac:dyDescent="0.45">
      <c r="A1835" s="1" t="s">
        <v>4385</v>
      </c>
      <c r="B1835" s="1" t="s">
        <v>4386</v>
      </c>
      <c r="C1835" s="1" t="s">
        <v>255</v>
      </c>
      <c r="D1835" s="1" t="s">
        <v>4851</v>
      </c>
      <c r="E1835" s="1" t="s">
        <v>3917</v>
      </c>
      <c r="F1835" s="1" t="s">
        <v>3918</v>
      </c>
      <c r="G1835" s="1" t="s">
        <v>4983</v>
      </c>
    </row>
    <row r="1836" spans="1:7" x14ac:dyDescent="0.45">
      <c r="A1836" s="1" t="s">
        <v>7522</v>
      </c>
      <c r="B1836" s="1" t="s">
        <v>7523</v>
      </c>
      <c r="C1836" s="1" t="s">
        <v>255</v>
      </c>
      <c r="D1836" s="1" t="s">
        <v>8244</v>
      </c>
      <c r="E1836" s="1" t="s">
        <v>3919</v>
      </c>
      <c r="F1836" s="1" t="s">
        <v>3918</v>
      </c>
      <c r="G1836" s="1" t="s">
        <v>4983</v>
      </c>
    </row>
    <row r="1837" spans="1:7" x14ac:dyDescent="0.45">
      <c r="A1837" s="1" t="s">
        <v>7524</v>
      </c>
      <c r="B1837" s="1" t="s">
        <v>7525</v>
      </c>
      <c r="C1837" s="1" t="s">
        <v>255</v>
      </c>
      <c r="D1837" s="1" t="s">
        <v>8245</v>
      </c>
      <c r="E1837" s="1" t="s">
        <v>3917</v>
      </c>
      <c r="F1837" s="1" t="s">
        <v>3918</v>
      </c>
      <c r="G1837" s="1" t="s">
        <v>4983</v>
      </c>
    </row>
    <row r="1838" spans="1:7" x14ac:dyDescent="0.45">
      <c r="A1838" s="1" t="s">
        <v>7526</v>
      </c>
      <c r="B1838" s="1" t="s">
        <v>5711</v>
      </c>
      <c r="C1838" s="1" t="s">
        <v>255</v>
      </c>
      <c r="D1838" s="1" t="s">
        <v>5712</v>
      </c>
      <c r="E1838" s="1" t="s">
        <v>3917</v>
      </c>
      <c r="F1838" s="1" t="s">
        <v>3918</v>
      </c>
      <c r="G1838" s="1" t="s">
        <v>4983</v>
      </c>
    </row>
    <row r="1839" spans="1:7" x14ac:dyDescent="0.45">
      <c r="A1839" s="1" t="s">
        <v>7527</v>
      </c>
      <c r="B1839" s="1" t="s">
        <v>7528</v>
      </c>
      <c r="C1839" s="1" t="s">
        <v>255</v>
      </c>
      <c r="D1839" s="1" t="s">
        <v>8246</v>
      </c>
      <c r="E1839" s="1" t="s">
        <v>3917</v>
      </c>
      <c r="F1839" s="1" t="s">
        <v>3918</v>
      </c>
      <c r="G1839" s="1" t="s">
        <v>4983</v>
      </c>
    </row>
    <row r="1840" spans="1:7" x14ac:dyDescent="0.45">
      <c r="A1840" s="1" t="s">
        <v>4387</v>
      </c>
      <c r="B1840" s="1" t="s">
        <v>3354</v>
      </c>
      <c r="C1840" s="1" t="s">
        <v>255</v>
      </c>
      <c r="D1840" s="1" t="s">
        <v>3355</v>
      </c>
      <c r="E1840" s="1" t="s">
        <v>3917</v>
      </c>
      <c r="F1840" s="1" t="s">
        <v>3918</v>
      </c>
      <c r="G1840" s="1" t="s">
        <v>4983</v>
      </c>
    </row>
    <row r="1841" spans="1:7" x14ac:dyDescent="0.45">
      <c r="A1841" s="1" t="s">
        <v>532</v>
      </c>
      <c r="B1841" s="1" t="s">
        <v>262</v>
      </c>
      <c r="C1841" s="1" t="s">
        <v>255</v>
      </c>
      <c r="D1841" s="1" t="s">
        <v>2954</v>
      </c>
      <c r="E1841" s="1" t="s">
        <v>3917</v>
      </c>
      <c r="F1841" s="1" t="s">
        <v>3918</v>
      </c>
      <c r="G1841" s="1" t="s">
        <v>4983</v>
      </c>
    </row>
    <row r="1842" spans="1:7" x14ac:dyDescent="0.45">
      <c r="A1842" s="1" t="s">
        <v>10778</v>
      </c>
      <c r="B1842" s="1" t="s">
        <v>10779</v>
      </c>
      <c r="C1842" s="1" t="s">
        <v>255</v>
      </c>
      <c r="D1842" s="1" t="s">
        <v>11609</v>
      </c>
      <c r="E1842" s="1" t="s">
        <v>3917</v>
      </c>
      <c r="F1842" s="1" t="s">
        <v>3918</v>
      </c>
      <c r="G1842" s="1" t="s">
        <v>4983</v>
      </c>
    </row>
    <row r="1843" spans="1:7" x14ac:dyDescent="0.45">
      <c r="A1843" s="1" t="s">
        <v>7529</v>
      </c>
      <c r="B1843" s="1" t="s">
        <v>7530</v>
      </c>
      <c r="C1843" s="1" t="s">
        <v>255</v>
      </c>
      <c r="D1843" s="1" t="s">
        <v>8247</v>
      </c>
      <c r="E1843" s="1" t="s">
        <v>3917</v>
      </c>
      <c r="F1843" s="1" t="s">
        <v>3918</v>
      </c>
      <c r="G1843" s="1" t="s">
        <v>4983</v>
      </c>
    </row>
    <row r="1844" spans="1:7" x14ac:dyDescent="0.45">
      <c r="A1844" s="1" t="s">
        <v>4390</v>
      </c>
      <c r="B1844" s="1" t="s">
        <v>4391</v>
      </c>
      <c r="C1844" s="1" t="s">
        <v>255</v>
      </c>
      <c r="D1844" s="1" t="s">
        <v>4853</v>
      </c>
      <c r="E1844" s="1" t="s">
        <v>3917</v>
      </c>
      <c r="F1844" s="1" t="s">
        <v>3918</v>
      </c>
      <c r="G1844" s="1" t="s">
        <v>4983</v>
      </c>
    </row>
    <row r="1845" spans="1:7" x14ac:dyDescent="0.45">
      <c r="A1845" s="1" t="s">
        <v>531</v>
      </c>
      <c r="B1845" s="1" t="s">
        <v>530</v>
      </c>
      <c r="C1845" s="1" t="s">
        <v>255</v>
      </c>
      <c r="D1845" s="1" t="s">
        <v>2955</v>
      </c>
      <c r="E1845" s="1" t="s">
        <v>3917</v>
      </c>
      <c r="F1845" s="1" t="s">
        <v>3918</v>
      </c>
      <c r="G1845" s="1" t="s">
        <v>4983</v>
      </c>
    </row>
    <row r="1846" spans="1:7" x14ac:dyDescent="0.45">
      <c r="A1846" s="1" t="s">
        <v>10780</v>
      </c>
      <c r="B1846" s="1" t="s">
        <v>5683</v>
      </c>
      <c r="C1846" s="1" t="s">
        <v>255</v>
      </c>
      <c r="D1846" s="1" t="s">
        <v>5684</v>
      </c>
      <c r="E1846" s="1" t="s">
        <v>3917</v>
      </c>
      <c r="F1846" s="1" t="s">
        <v>3918</v>
      </c>
      <c r="G1846" s="1" t="s">
        <v>4983</v>
      </c>
    </row>
    <row r="1847" spans="1:7" x14ac:dyDescent="0.45">
      <c r="A1847" s="1" t="s">
        <v>4628</v>
      </c>
      <c r="B1847" s="1" t="s">
        <v>7531</v>
      </c>
      <c r="C1847" s="1" t="s">
        <v>255</v>
      </c>
      <c r="D1847" s="1" t="s">
        <v>8248</v>
      </c>
      <c r="E1847" s="1" t="s">
        <v>3917</v>
      </c>
      <c r="F1847" s="1" t="s">
        <v>3918</v>
      </c>
      <c r="G1847" s="1" t="s">
        <v>4983</v>
      </c>
    </row>
    <row r="1848" spans="1:7" x14ac:dyDescent="0.45">
      <c r="A1848" s="1" t="s">
        <v>10781</v>
      </c>
      <c r="B1848" s="1" t="s">
        <v>10782</v>
      </c>
      <c r="C1848" s="1" t="s">
        <v>255</v>
      </c>
      <c r="D1848" s="1" t="s">
        <v>11610</v>
      </c>
      <c r="E1848" s="1" t="s">
        <v>3917</v>
      </c>
      <c r="F1848" s="1" t="s">
        <v>3918</v>
      </c>
      <c r="G1848" s="1" t="s">
        <v>4983</v>
      </c>
    </row>
    <row r="1849" spans="1:7" x14ac:dyDescent="0.45">
      <c r="A1849" s="1" t="s">
        <v>10783</v>
      </c>
      <c r="B1849" s="1" t="s">
        <v>10784</v>
      </c>
      <c r="C1849" s="1" t="s">
        <v>255</v>
      </c>
      <c r="D1849" s="1" t="s">
        <v>11611</v>
      </c>
      <c r="E1849" s="1" t="s">
        <v>3917</v>
      </c>
      <c r="F1849" s="1" t="s">
        <v>3918</v>
      </c>
      <c r="G1849" s="1" t="s">
        <v>4983</v>
      </c>
    </row>
    <row r="1850" spans="1:7" x14ac:dyDescent="0.45">
      <c r="A1850" s="1" t="s">
        <v>7532</v>
      </c>
      <c r="B1850" s="1" t="s">
        <v>7533</v>
      </c>
      <c r="C1850" s="1" t="s">
        <v>255</v>
      </c>
      <c r="D1850" s="1" t="s">
        <v>8249</v>
      </c>
      <c r="E1850" s="1" t="s">
        <v>3919</v>
      </c>
      <c r="F1850" s="1" t="s">
        <v>3918</v>
      </c>
      <c r="G1850" s="1" t="s">
        <v>4983</v>
      </c>
    </row>
    <row r="1851" spans="1:7" x14ac:dyDescent="0.45">
      <c r="A1851" s="1" t="s">
        <v>10785</v>
      </c>
      <c r="B1851" s="1" t="s">
        <v>10786</v>
      </c>
      <c r="C1851" s="1" t="s">
        <v>255</v>
      </c>
      <c r="D1851" s="1" t="s">
        <v>11612</v>
      </c>
      <c r="E1851" s="1" t="s">
        <v>3917</v>
      </c>
      <c r="F1851" s="1" t="s">
        <v>3918</v>
      </c>
      <c r="G1851" s="1" t="s">
        <v>4983</v>
      </c>
    </row>
    <row r="1852" spans="1:7" x14ac:dyDescent="0.45">
      <c r="A1852" s="1" t="s">
        <v>1753</v>
      </c>
      <c r="B1852" s="1" t="s">
        <v>1754</v>
      </c>
      <c r="C1852" s="1" t="s">
        <v>255</v>
      </c>
      <c r="D1852" s="1" t="s">
        <v>2956</v>
      </c>
      <c r="E1852" s="1" t="s">
        <v>3917</v>
      </c>
      <c r="F1852" s="1" t="s">
        <v>3918</v>
      </c>
      <c r="G1852" s="1" t="s">
        <v>4983</v>
      </c>
    </row>
    <row r="1853" spans="1:7" x14ac:dyDescent="0.45">
      <c r="A1853" s="1" t="s">
        <v>10787</v>
      </c>
      <c r="B1853" s="1" t="s">
        <v>10788</v>
      </c>
      <c r="C1853" s="1" t="s">
        <v>255</v>
      </c>
      <c r="D1853" s="1" t="s">
        <v>11613</v>
      </c>
      <c r="E1853" s="1" t="s">
        <v>3917</v>
      </c>
      <c r="F1853" s="1" t="s">
        <v>3918</v>
      </c>
      <c r="G1853" s="1" t="s">
        <v>4983</v>
      </c>
    </row>
    <row r="1854" spans="1:7" x14ac:dyDescent="0.45">
      <c r="A1854" s="1" t="s">
        <v>10789</v>
      </c>
      <c r="B1854" s="1" t="s">
        <v>10790</v>
      </c>
      <c r="C1854" s="1" t="s">
        <v>255</v>
      </c>
      <c r="D1854" s="1" t="s">
        <v>11614</v>
      </c>
      <c r="E1854" s="1" t="s">
        <v>3917</v>
      </c>
      <c r="F1854" s="1" t="s">
        <v>3918</v>
      </c>
      <c r="G1854" s="1" t="s">
        <v>4983</v>
      </c>
    </row>
    <row r="1855" spans="1:7" x14ac:dyDescent="0.45">
      <c r="A1855" s="1" t="s">
        <v>10791</v>
      </c>
      <c r="B1855" s="1" t="s">
        <v>10792</v>
      </c>
      <c r="C1855" s="1" t="s">
        <v>255</v>
      </c>
      <c r="D1855" s="1" t="s">
        <v>11615</v>
      </c>
      <c r="E1855" s="1" t="s">
        <v>3917</v>
      </c>
      <c r="F1855" s="1" t="s">
        <v>3918</v>
      </c>
      <c r="G1855" s="1" t="s">
        <v>4983</v>
      </c>
    </row>
    <row r="1856" spans="1:7" x14ac:dyDescent="0.45">
      <c r="A1856" s="1" t="s">
        <v>10793</v>
      </c>
      <c r="B1856" s="1" t="s">
        <v>5538</v>
      </c>
      <c r="C1856" s="1" t="s">
        <v>255</v>
      </c>
      <c r="D1856" s="1" t="s">
        <v>5539</v>
      </c>
      <c r="E1856" s="1" t="s">
        <v>3919</v>
      </c>
      <c r="F1856" s="1" t="s">
        <v>3918</v>
      </c>
      <c r="G1856" s="1" t="s">
        <v>4983</v>
      </c>
    </row>
    <row r="1857" spans="1:7" x14ac:dyDescent="0.45">
      <c r="A1857" s="1" t="s">
        <v>7534</v>
      </c>
      <c r="B1857" s="1" t="s">
        <v>7535</v>
      </c>
      <c r="C1857" s="1" t="s">
        <v>255</v>
      </c>
      <c r="D1857" s="1" t="s">
        <v>8250</v>
      </c>
      <c r="E1857" s="1" t="s">
        <v>3917</v>
      </c>
      <c r="F1857" s="1" t="s">
        <v>3918</v>
      </c>
      <c r="G1857" s="1" t="s">
        <v>4983</v>
      </c>
    </row>
    <row r="1858" spans="1:7" x14ac:dyDescent="0.45">
      <c r="A1858" s="1" t="s">
        <v>7536</v>
      </c>
      <c r="B1858" s="1" t="s">
        <v>7537</v>
      </c>
      <c r="C1858" s="1" t="s">
        <v>255</v>
      </c>
      <c r="D1858" s="1" t="s">
        <v>8251</v>
      </c>
      <c r="E1858" s="1" t="s">
        <v>3917</v>
      </c>
      <c r="F1858" s="1" t="s">
        <v>3918</v>
      </c>
      <c r="G1858" s="1" t="s">
        <v>4983</v>
      </c>
    </row>
    <row r="1859" spans="1:7" x14ac:dyDescent="0.45">
      <c r="A1859" s="1" t="s">
        <v>4392</v>
      </c>
      <c r="B1859" s="1" t="s">
        <v>4393</v>
      </c>
      <c r="C1859" s="1" t="s">
        <v>255</v>
      </c>
      <c r="D1859" s="1" t="s">
        <v>4854</v>
      </c>
      <c r="E1859" s="1" t="s">
        <v>3919</v>
      </c>
      <c r="F1859" s="1" t="s">
        <v>3918</v>
      </c>
      <c r="G1859" s="1" t="s">
        <v>4983</v>
      </c>
    </row>
    <row r="1860" spans="1:7" x14ac:dyDescent="0.45">
      <c r="A1860" s="1" t="s">
        <v>2957</v>
      </c>
      <c r="B1860" s="1" t="s">
        <v>2958</v>
      </c>
      <c r="C1860" s="1" t="s">
        <v>255</v>
      </c>
      <c r="D1860" s="1" t="s">
        <v>2959</v>
      </c>
      <c r="E1860" s="1" t="s">
        <v>3917</v>
      </c>
      <c r="F1860" s="1" t="s">
        <v>3918</v>
      </c>
      <c r="G1860" s="1" t="s">
        <v>4983</v>
      </c>
    </row>
    <row r="1861" spans="1:7" x14ac:dyDescent="0.45">
      <c r="A1861" s="1" t="s">
        <v>7538</v>
      </c>
      <c r="B1861" s="1" t="s">
        <v>7539</v>
      </c>
      <c r="C1861" s="1" t="s">
        <v>255</v>
      </c>
      <c r="D1861" s="1" t="s">
        <v>8252</v>
      </c>
      <c r="E1861" s="1" t="s">
        <v>3917</v>
      </c>
      <c r="F1861" s="1" t="s">
        <v>3918</v>
      </c>
      <c r="G1861" s="1" t="s">
        <v>4983</v>
      </c>
    </row>
    <row r="1862" spans="1:7" x14ac:dyDescent="0.45">
      <c r="A1862" s="1" t="s">
        <v>10794</v>
      </c>
      <c r="B1862" s="1" t="s">
        <v>10795</v>
      </c>
      <c r="C1862" s="1" t="s">
        <v>255</v>
      </c>
      <c r="D1862" s="1" t="s">
        <v>11616</v>
      </c>
      <c r="E1862" s="1" t="s">
        <v>3919</v>
      </c>
      <c r="F1862" s="1" t="s">
        <v>3918</v>
      </c>
      <c r="G1862" s="1" t="s">
        <v>4983</v>
      </c>
    </row>
    <row r="1863" spans="1:7" x14ac:dyDescent="0.45">
      <c r="A1863" s="1" t="s">
        <v>10796</v>
      </c>
      <c r="B1863" s="1" t="s">
        <v>10797</v>
      </c>
      <c r="C1863" s="1" t="s">
        <v>255</v>
      </c>
      <c r="D1863" s="1" t="s">
        <v>11617</v>
      </c>
      <c r="E1863" s="1" t="s">
        <v>3917</v>
      </c>
      <c r="F1863" s="1" t="s">
        <v>3918</v>
      </c>
      <c r="G1863" s="1" t="s">
        <v>4983</v>
      </c>
    </row>
    <row r="1864" spans="1:7" x14ac:dyDescent="0.45">
      <c r="A1864" s="1" t="s">
        <v>10798</v>
      </c>
      <c r="B1864" s="1" t="s">
        <v>10799</v>
      </c>
      <c r="C1864" s="1" t="s">
        <v>255</v>
      </c>
      <c r="D1864" s="1" t="s">
        <v>11618</v>
      </c>
      <c r="E1864" s="1" t="s">
        <v>3917</v>
      </c>
      <c r="F1864" s="1" t="s">
        <v>3918</v>
      </c>
      <c r="G1864" s="1" t="s">
        <v>4983</v>
      </c>
    </row>
    <row r="1865" spans="1:7" x14ac:dyDescent="0.45">
      <c r="A1865" s="1" t="s">
        <v>529</v>
      </c>
      <c r="B1865" s="1" t="s">
        <v>528</v>
      </c>
      <c r="C1865" s="1" t="s">
        <v>255</v>
      </c>
      <c r="D1865" s="1" t="s">
        <v>2960</v>
      </c>
      <c r="E1865" s="1" t="s">
        <v>3917</v>
      </c>
      <c r="F1865" s="1" t="s">
        <v>3918</v>
      </c>
      <c r="G1865" s="1" t="s">
        <v>4983</v>
      </c>
    </row>
    <row r="1866" spans="1:7" x14ac:dyDescent="0.45">
      <c r="A1866" s="1" t="s">
        <v>10800</v>
      </c>
      <c r="B1866" s="1" t="s">
        <v>10801</v>
      </c>
      <c r="C1866" s="1" t="s">
        <v>255</v>
      </c>
      <c r="D1866" s="1" t="s">
        <v>11619</v>
      </c>
      <c r="E1866" s="1" t="s">
        <v>3917</v>
      </c>
      <c r="F1866" s="1" t="s">
        <v>3918</v>
      </c>
      <c r="G1866" s="1" t="s">
        <v>4983</v>
      </c>
    </row>
    <row r="1867" spans="1:7" x14ac:dyDescent="0.45">
      <c r="A1867" s="1" t="s">
        <v>10802</v>
      </c>
      <c r="B1867" s="1" t="s">
        <v>10803</v>
      </c>
      <c r="C1867" s="1" t="s">
        <v>255</v>
      </c>
      <c r="D1867" s="1" t="s">
        <v>11620</v>
      </c>
      <c r="E1867" s="1" t="s">
        <v>3917</v>
      </c>
      <c r="F1867" s="1" t="s">
        <v>3918</v>
      </c>
      <c r="G1867" s="1" t="s">
        <v>4983</v>
      </c>
    </row>
    <row r="1868" spans="1:7" x14ac:dyDescent="0.45">
      <c r="A1868" s="1" t="s">
        <v>10804</v>
      </c>
      <c r="B1868" s="1" t="s">
        <v>10805</v>
      </c>
      <c r="C1868" s="1" t="s">
        <v>255</v>
      </c>
      <c r="D1868" s="1" t="s">
        <v>11621</v>
      </c>
      <c r="E1868" s="1" t="s">
        <v>3917</v>
      </c>
      <c r="F1868" s="1" t="s">
        <v>3918</v>
      </c>
      <c r="G1868" s="1" t="s">
        <v>4983</v>
      </c>
    </row>
    <row r="1869" spans="1:7" x14ac:dyDescent="0.45">
      <c r="A1869" s="1" t="s">
        <v>7540</v>
      </c>
      <c r="B1869" s="1" t="s">
        <v>7541</v>
      </c>
      <c r="C1869" s="1" t="s">
        <v>255</v>
      </c>
      <c r="D1869" s="1" t="s">
        <v>8253</v>
      </c>
      <c r="E1869" s="1" t="s">
        <v>3917</v>
      </c>
      <c r="F1869" s="1" t="s">
        <v>3918</v>
      </c>
      <c r="G1869" s="1" t="s">
        <v>4983</v>
      </c>
    </row>
    <row r="1870" spans="1:7" x14ac:dyDescent="0.45">
      <c r="A1870" s="1" t="s">
        <v>10806</v>
      </c>
      <c r="B1870" s="1" t="s">
        <v>10807</v>
      </c>
      <c r="C1870" s="1" t="s">
        <v>255</v>
      </c>
      <c r="D1870" s="1" t="s">
        <v>11622</v>
      </c>
      <c r="E1870" s="1" t="s">
        <v>3917</v>
      </c>
      <c r="F1870" s="1" t="s">
        <v>3918</v>
      </c>
      <c r="G1870" s="1" t="s">
        <v>4983</v>
      </c>
    </row>
    <row r="1871" spans="1:7" x14ac:dyDescent="0.45">
      <c r="A1871" s="1" t="s">
        <v>7542</v>
      </c>
      <c r="B1871" s="1" t="s">
        <v>7543</v>
      </c>
      <c r="C1871" s="1" t="s">
        <v>255</v>
      </c>
      <c r="D1871" s="1" t="s">
        <v>8254</v>
      </c>
      <c r="E1871" s="1" t="s">
        <v>3917</v>
      </c>
      <c r="F1871" s="1" t="s">
        <v>3918</v>
      </c>
      <c r="G1871" s="1" t="s">
        <v>4983</v>
      </c>
    </row>
    <row r="1872" spans="1:7" x14ac:dyDescent="0.45">
      <c r="A1872" s="1" t="s">
        <v>7544</v>
      </c>
      <c r="B1872" s="1" t="s">
        <v>7545</v>
      </c>
      <c r="C1872" s="1" t="s">
        <v>255</v>
      </c>
      <c r="D1872" s="1" t="s">
        <v>8255</v>
      </c>
      <c r="E1872" s="1" t="s">
        <v>3917</v>
      </c>
      <c r="F1872" s="1" t="s">
        <v>3918</v>
      </c>
      <c r="G1872" s="1" t="s">
        <v>4983</v>
      </c>
    </row>
    <row r="1873" spans="1:7" x14ac:dyDescent="0.45">
      <c r="A1873" s="1" t="s">
        <v>3690</v>
      </c>
      <c r="B1873" s="1" t="s">
        <v>3691</v>
      </c>
      <c r="C1873" s="1" t="s">
        <v>255</v>
      </c>
      <c r="D1873" s="1" t="s">
        <v>3692</v>
      </c>
      <c r="E1873" s="1" t="s">
        <v>3917</v>
      </c>
      <c r="F1873" s="1" t="s">
        <v>3918</v>
      </c>
      <c r="G1873" s="1" t="s">
        <v>4983</v>
      </c>
    </row>
    <row r="1874" spans="1:7" x14ac:dyDescent="0.45">
      <c r="A1874" s="1" t="s">
        <v>4394</v>
      </c>
      <c r="B1874" s="1" t="s">
        <v>4395</v>
      </c>
      <c r="C1874" s="1" t="s">
        <v>255</v>
      </c>
      <c r="D1874" s="1" t="s">
        <v>4855</v>
      </c>
      <c r="E1874" s="1" t="s">
        <v>3917</v>
      </c>
      <c r="F1874" s="1" t="s">
        <v>3918</v>
      </c>
      <c r="G1874" s="1" t="s">
        <v>4983</v>
      </c>
    </row>
    <row r="1875" spans="1:7" x14ac:dyDescent="0.45">
      <c r="A1875" s="1" t="s">
        <v>7546</v>
      </c>
      <c r="B1875" s="1" t="s">
        <v>7547</v>
      </c>
      <c r="C1875" s="1" t="s">
        <v>255</v>
      </c>
      <c r="D1875" s="1" t="s">
        <v>8256</v>
      </c>
      <c r="E1875" s="1" t="s">
        <v>3917</v>
      </c>
      <c r="F1875" s="1" t="s">
        <v>3918</v>
      </c>
      <c r="G1875" s="1" t="s">
        <v>4983</v>
      </c>
    </row>
    <row r="1876" spans="1:7" x14ac:dyDescent="0.45">
      <c r="A1876" s="1" t="s">
        <v>4396</v>
      </c>
      <c r="B1876" s="1" t="s">
        <v>4397</v>
      </c>
      <c r="C1876" s="1" t="s">
        <v>255</v>
      </c>
      <c r="D1876" s="1" t="s">
        <v>4856</v>
      </c>
      <c r="E1876" s="1" t="s">
        <v>3917</v>
      </c>
      <c r="F1876" s="1" t="s">
        <v>3918</v>
      </c>
      <c r="G1876" s="1" t="s">
        <v>4983</v>
      </c>
    </row>
    <row r="1877" spans="1:7" x14ac:dyDescent="0.45">
      <c r="A1877" s="1" t="s">
        <v>4398</v>
      </c>
      <c r="B1877" s="1" t="s">
        <v>4399</v>
      </c>
      <c r="C1877" s="1" t="s">
        <v>255</v>
      </c>
      <c r="D1877" s="1" t="s">
        <v>4857</v>
      </c>
      <c r="E1877" s="1" t="s">
        <v>3917</v>
      </c>
      <c r="F1877" s="1" t="s">
        <v>3918</v>
      </c>
      <c r="G1877" s="1" t="s">
        <v>4983</v>
      </c>
    </row>
    <row r="1878" spans="1:7" x14ac:dyDescent="0.45">
      <c r="A1878" s="1" t="s">
        <v>1755</v>
      </c>
      <c r="B1878" s="1" t="s">
        <v>1756</v>
      </c>
      <c r="C1878" s="1" t="s">
        <v>255</v>
      </c>
      <c r="D1878" s="1" t="s">
        <v>2961</v>
      </c>
      <c r="E1878" s="1" t="s">
        <v>3917</v>
      </c>
      <c r="F1878" s="1" t="s">
        <v>3918</v>
      </c>
      <c r="G1878" s="1" t="s">
        <v>4983</v>
      </c>
    </row>
    <row r="1879" spans="1:7" x14ac:dyDescent="0.45">
      <c r="A1879" s="1" t="s">
        <v>10808</v>
      </c>
      <c r="B1879" s="1" t="s">
        <v>10809</v>
      </c>
      <c r="C1879" s="1" t="s">
        <v>255</v>
      </c>
      <c r="D1879" s="1" t="s">
        <v>11623</v>
      </c>
      <c r="E1879" s="1" t="s">
        <v>3917</v>
      </c>
      <c r="F1879" s="1" t="s">
        <v>3918</v>
      </c>
      <c r="G1879" s="1" t="s">
        <v>4983</v>
      </c>
    </row>
    <row r="1880" spans="1:7" x14ac:dyDescent="0.45">
      <c r="A1880" s="1" t="s">
        <v>1742</v>
      </c>
      <c r="B1880" s="1" t="s">
        <v>2962</v>
      </c>
      <c r="C1880" s="1" t="s">
        <v>255</v>
      </c>
      <c r="D1880" s="1" t="s">
        <v>2963</v>
      </c>
      <c r="E1880" s="1" t="s">
        <v>3919</v>
      </c>
      <c r="F1880" s="1" t="s">
        <v>3918</v>
      </c>
      <c r="G1880" s="1" t="s">
        <v>4983</v>
      </c>
    </row>
    <row r="1881" spans="1:7" x14ac:dyDescent="0.45">
      <c r="A1881" s="1" t="s">
        <v>10810</v>
      </c>
      <c r="B1881" s="1" t="s">
        <v>10811</v>
      </c>
      <c r="C1881" s="1" t="s">
        <v>255</v>
      </c>
      <c r="D1881" s="1" t="s">
        <v>11624</v>
      </c>
      <c r="E1881" s="1" t="s">
        <v>3917</v>
      </c>
      <c r="F1881" s="1" t="s">
        <v>3918</v>
      </c>
      <c r="G1881" s="1" t="s">
        <v>4983</v>
      </c>
    </row>
    <row r="1882" spans="1:7" x14ac:dyDescent="0.45">
      <c r="A1882" s="1" t="s">
        <v>7550</v>
      </c>
      <c r="B1882" s="1" t="s">
        <v>7551</v>
      </c>
      <c r="C1882" s="1" t="s">
        <v>255</v>
      </c>
      <c r="D1882" s="1" t="s">
        <v>8258</v>
      </c>
      <c r="E1882" s="1" t="s">
        <v>3917</v>
      </c>
      <c r="F1882" s="1" t="s">
        <v>3918</v>
      </c>
      <c r="G1882" s="1" t="s">
        <v>4983</v>
      </c>
    </row>
    <row r="1883" spans="1:7" x14ac:dyDescent="0.45">
      <c r="A1883" s="1" t="s">
        <v>7552</v>
      </c>
      <c r="B1883" s="1" t="s">
        <v>7553</v>
      </c>
      <c r="C1883" s="1" t="s">
        <v>255</v>
      </c>
      <c r="D1883" s="1" t="s">
        <v>8258</v>
      </c>
      <c r="E1883" s="1" t="s">
        <v>3917</v>
      </c>
      <c r="F1883" s="1" t="s">
        <v>3918</v>
      </c>
      <c r="G1883" s="1" t="s">
        <v>4983</v>
      </c>
    </row>
    <row r="1884" spans="1:7" x14ac:dyDescent="0.45">
      <c r="A1884" s="1" t="s">
        <v>10812</v>
      </c>
      <c r="B1884" s="1" t="s">
        <v>10813</v>
      </c>
      <c r="C1884" s="1" t="s">
        <v>255</v>
      </c>
      <c r="D1884" s="1" t="s">
        <v>11625</v>
      </c>
      <c r="E1884" s="1" t="s">
        <v>3917</v>
      </c>
      <c r="F1884" s="1" t="s">
        <v>3918</v>
      </c>
      <c r="G1884" s="1" t="s">
        <v>4983</v>
      </c>
    </row>
    <row r="1885" spans="1:7" x14ac:dyDescent="0.45">
      <c r="A1885" s="1" t="s">
        <v>7554</v>
      </c>
      <c r="B1885" s="1" t="s">
        <v>5740</v>
      </c>
      <c r="C1885" s="1" t="s">
        <v>255</v>
      </c>
      <c r="D1885" s="1" t="s">
        <v>5741</v>
      </c>
      <c r="E1885" s="1" t="s">
        <v>3917</v>
      </c>
      <c r="F1885" s="1" t="s">
        <v>3918</v>
      </c>
      <c r="G1885" s="1" t="s">
        <v>4983</v>
      </c>
    </row>
    <row r="1886" spans="1:7" x14ac:dyDescent="0.45">
      <c r="A1886" s="1" t="s">
        <v>4400</v>
      </c>
      <c r="B1886" s="1" t="s">
        <v>3368</v>
      </c>
      <c r="C1886" s="1" t="s">
        <v>255</v>
      </c>
      <c r="D1886" s="1" t="s">
        <v>3369</v>
      </c>
      <c r="E1886" s="1" t="s">
        <v>3917</v>
      </c>
      <c r="F1886" s="1" t="s">
        <v>3918</v>
      </c>
      <c r="G1886" s="1" t="s">
        <v>4983</v>
      </c>
    </row>
    <row r="1887" spans="1:7" x14ac:dyDescent="0.45">
      <c r="A1887" s="1" t="s">
        <v>527</v>
      </c>
      <c r="B1887" s="1" t="s">
        <v>526</v>
      </c>
      <c r="C1887" s="1" t="s">
        <v>255</v>
      </c>
      <c r="D1887" s="1" t="s">
        <v>2965</v>
      </c>
      <c r="E1887" s="1" t="s">
        <v>3917</v>
      </c>
      <c r="F1887" s="1" t="s">
        <v>3918</v>
      </c>
      <c r="G1887" s="1" t="s">
        <v>4983</v>
      </c>
    </row>
    <row r="1888" spans="1:7" x14ac:dyDescent="0.45">
      <c r="A1888" s="1" t="s">
        <v>10814</v>
      </c>
      <c r="B1888" s="1" t="s">
        <v>10815</v>
      </c>
      <c r="C1888" s="1" t="s">
        <v>255</v>
      </c>
      <c r="D1888" s="1" t="s">
        <v>11626</v>
      </c>
      <c r="E1888" s="1" t="s">
        <v>3917</v>
      </c>
      <c r="F1888" s="1" t="s">
        <v>3918</v>
      </c>
      <c r="G1888" s="1" t="s">
        <v>4983</v>
      </c>
    </row>
    <row r="1889" spans="1:7" x14ac:dyDescent="0.45">
      <c r="A1889" s="1" t="s">
        <v>525</v>
      </c>
      <c r="B1889" s="1" t="s">
        <v>524</v>
      </c>
      <c r="C1889" s="1" t="s">
        <v>255</v>
      </c>
      <c r="D1889" s="1" t="s">
        <v>2966</v>
      </c>
      <c r="E1889" s="1" t="s">
        <v>3917</v>
      </c>
      <c r="F1889" s="1" t="s">
        <v>3918</v>
      </c>
      <c r="G1889" s="1" t="s">
        <v>4983</v>
      </c>
    </row>
    <row r="1890" spans="1:7" x14ac:dyDescent="0.45">
      <c r="A1890" s="1" t="s">
        <v>523</v>
      </c>
      <c r="B1890" s="1" t="s">
        <v>522</v>
      </c>
      <c r="C1890" s="1" t="s">
        <v>255</v>
      </c>
      <c r="D1890" s="1" t="s">
        <v>2967</v>
      </c>
      <c r="E1890" s="1" t="s">
        <v>3917</v>
      </c>
      <c r="F1890" s="1" t="s">
        <v>3918</v>
      </c>
      <c r="G1890" s="1" t="s">
        <v>4983</v>
      </c>
    </row>
    <row r="1891" spans="1:7" x14ac:dyDescent="0.45">
      <c r="A1891" s="1" t="s">
        <v>10816</v>
      </c>
      <c r="B1891" s="1" t="s">
        <v>10817</v>
      </c>
      <c r="C1891" s="1" t="s">
        <v>255</v>
      </c>
      <c r="D1891" s="1" t="s">
        <v>11627</v>
      </c>
      <c r="E1891" s="1" t="s">
        <v>3917</v>
      </c>
      <c r="F1891" s="1" t="s">
        <v>3918</v>
      </c>
      <c r="G1891" s="1" t="s">
        <v>4983</v>
      </c>
    </row>
    <row r="1892" spans="1:7" x14ac:dyDescent="0.45">
      <c r="A1892" s="1" t="s">
        <v>10818</v>
      </c>
      <c r="B1892" s="1" t="s">
        <v>10819</v>
      </c>
      <c r="C1892" s="1" t="s">
        <v>255</v>
      </c>
      <c r="D1892" s="1" t="s">
        <v>11628</v>
      </c>
      <c r="E1892" s="1" t="s">
        <v>3917</v>
      </c>
      <c r="F1892" s="1" t="s">
        <v>3918</v>
      </c>
      <c r="G1892" s="1" t="s">
        <v>4983</v>
      </c>
    </row>
    <row r="1893" spans="1:7" x14ac:dyDescent="0.45">
      <c r="A1893" s="1" t="s">
        <v>4401</v>
      </c>
      <c r="B1893" s="1" t="s">
        <v>4402</v>
      </c>
      <c r="C1893" s="1" t="s">
        <v>255</v>
      </c>
      <c r="D1893" s="1" t="s">
        <v>4858</v>
      </c>
      <c r="E1893" s="1" t="s">
        <v>3917</v>
      </c>
      <c r="F1893" s="1" t="s">
        <v>3918</v>
      </c>
      <c r="G1893" s="1" t="s">
        <v>4983</v>
      </c>
    </row>
    <row r="1894" spans="1:7" x14ac:dyDescent="0.45">
      <c r="A1894" s="1" t="s">
        <v>4403</v>
      </c>
      <c r="B1894" s="1" t="s">
        <v>2968</v>
      </c>
      <c r="C1894" s="1" t="s">
        <v>255</v>
      </c>
      <c r="D1894" s="1" t="s">
        <v>2969</v>
      </c>
      <c r="E1894" s="1" t="s">
        <v>3917</v>
      </c>
      <c r="F1894" s="1" t="s">
        <v>3918</v>
      </c>
      <c r="G1894" s="1" t="s">
        <v>4983</v>
      </c>
    </row>
    <row r="1895" spans="1:7" x14ac:dyDescent="0.45">
      <c r="A1895" s="1" t="s">
        <v>4404</v>
      </c>
      <c r="B1895" s="1" t="s">
        <v>4405</v>
      </c>
      <c r="C1895" s="1" t="s">
        <v>255</v>
      </c>
      <c r="D1895" s="1" t="s">
        <v>4859</v>
      </c>
      <c r="E1895" s="1" t="s">
        <v>3917</v>
      </c>
      <c r="F1895" s="1" t="s">
        <v>3918</v>
      </c>
      <c r="G1895" s="1" t="s">
        <v>4983</v>
      </c>
    </row>
    <row r="1896" spans="1:7" x14ac:dyDescent="0.45">
      <c r="A1896" s="1" t="s">
        <v>7555</v>
      </c>
      <c r="B1896" s="1" t="s">
        <v>7556</v>
      </c>
      <c r="C1896" s="1" t="s">
        <v>255</v>
      </c>
      <c r="D1896" s="1" t="s">
        <v>8259</v>
      </c>
      <c r="E1896" s="1" t="s">
        <v>3917</v>
      </c>
      <c r="F1896" s="1" t="s">
        <v>3918</v>
      </c>
      <c r="G1896" s="1" t="s">
        <v>4983</v>
      </c>
    </row>
    <row r="1897" spans="1:7" x14ac:dyDescent="0.45">
      <c r="A1897" s="1" t="s">
        <v>4406</v>
      </c>
      <c r="B1897" s="1" t="s">
        <v>4407</v>
      </c>
      <c r="C1897" s="1" t="s">
        <v>255</v>
      </c>
      <c r="D1897" s="1" t="s">
        <v>4860</v>
      </c>
      <c r="E1897" s="1" t="s">
        <v>3917</v>
      </c>
      <c r="F1897" s="1" t="s">
        <v>3918</v>
      </c>
      <c r="G1897" s="1" t="s">
        <v>4983</v>
      </c>
    </row>
    <row r="1898" spans="1:7" x14ac:dyDescent="0.45">
      <c r="A1898" s="1" t="s">
        <v>7557</v>
      </c>
      <c r="B1898" s="1" t="s">
        <v>5780</v>
      </c>
      <c r="C1898" s="1" t="s">
        <v>255</v>
      </c>
      <c r="D1898" s="1" t="s">
        <v>5781</v>
      </c>
      <c r="E1898" s="1" t="s">
        <v>3917</v>
      </c>
      <c r="F1898" s="1" t="s">
        <v>3918</v>
      </c>
      <c r="G1898" s="1" t="s">
        <v>4983</v>
      </c>
    </row>
    <row r="1899" spans="1:7" x14ac:dyDescent="0.45">
      <c r="A1899" s="1" t="s">
        <v>10820</v>
      </c>
      <c r="B1899" s="1" t="s">
        <v>10821</v>
      </c>
      <c r="C1899" s="1" t="s">
        <v>255</v>
      </c>
      <c r="D1899" s="1" t="s">
        <v>11629</v>
      </c>
      <c r="E1899" s="1" t="s">
        <v>3917</v>
      </c>
      <c r="F1899" s="1" t="s">
        <v>3918</v>
      </c>
      <c r="G1899" s="1" t="s">
        <v>4983</v>
      </c>
    </row>
    <row r="1900" spans="1:7" x14ac:dyDescent="0.45">
      <c r="A1900" s="1" t="s">
        <v>7558</v>
      </c>
      <c r="B1900" s="1" t="s">
        <v>7559</v>
      </c>
      <c r="C1900" s="1" t="s">
        <v>255</v>
      </c>
      <c r="D1900" s="1" t="s">
        <v>8260</v>
      </c>
      <c r="E1900" s="1" t="s">
        <v>3917</v>
      </c>
      <c r="F1900" s="1" t="s">
        <v>3918</v>
      </c>
      <c r="G1900" s="1" t="s">
        <v>4983</v>
      </c>
    </row>
    <row r="1901" spans="1:7" x14ac:dyDescent="0.45">
      <c r="A1901" s="1" t="s">
        <v>10822</v>
      </c>
      <c r="B1901" s="1" t="s">
        <v>10823</v>
      </c>
      <c r="C1901" s="1" t="s">
        <v>255</v>
      </c>
      <c r="D1901" s="1" t="s">
        <v>11630</v>
      </c>
      <c r="E1901" s="1" t="s">
        <v>3917</v>
      </c>
      <c r="F1901" s="1" t="s">
        <v>3918</v>
      </c>
      <c r="G1901" s="1" t="s">
        <v>4983</v>
      </c>
    </row>
    <row r="1902" spans="1:7" x14ac:dyDescent="0.45">
      <c r="A1902" s="1" t="s">
        <v>519</v>
      </c>
      <c r="B1902" s="1" t="s">
        <v>518</v>
      </c>
      <c r="C1902" s="1" t="s">
        <v>255</v>
      </c>
      <c r="D1902" s="1" t="s">
        <v>2970</v>
      </c>
      <c r="E1902" s="1" t="s">
        <v>3917</v>
      </c>
      <c r="F1902" s="1" t="s">
        <v>3918</v>
      </c>
      <c r="G1902" s="1" t="s">
        <v>4983</v>
      </c>
    </row>
    <row r="1903" spans="1:7" x14ac:dyDescent="0.45">
      <c r="A1903" s="1" t="s">
        <v>10824</v>
      </c>
      <c r="B1903" s="1" t="s">
        <v>10825</v>
      </c>
      <c r="C1903" s="1" t="s">
        <v>255</v>
      </c>
      <c r="D1903" s="1" t="s">
        <v>11631</v>
      </c>
      <c r="E1903" s="1" t="s">
        <v>3917</v>
      </c>
      <c r="F1903" s="1" t="s">
        <v>3918</v>
      </c>
      <c r="G1903" s="1" t="s">
        <v>4983</v>
      </c>
    </row>
    <row r="1904" spans="1:7" x14ac:dyDescent="0.45">
      <c r="A1904" s="1" t="s">
        <v>7560</v>
      </c>
      <c r="B1904" s="1" t="s">
        <v>7561</v>
      </c>
      <c r="C1904" s="1" t="s">
        <v>255</v>
      </c>
      <c r="D1904" s="1" t="s">
        <v>8261</v>
      </c>
      <c r="E1904" s="1" t="s">
        <v>3917</v>
      </c>
      <c r="F1904" s="1" t="s">
        <v>3918</v>
      </c>
      <c r="G1904" s="1" t="s">
        <v>4983</v>
      </c>
    </row>
    <row r="1905" spans="1:7" x14ac:dyDescent="0.45">
      <c r="A1905" s="1" t="s">
        <v>10826</v>
      </c>
      <c r="B1905" s="1" t="s">
        <v>5523</v>
      </c>
      <c r="C1905" s="1" t="s">
        <v>255</v>
      </c>
      <c r="D1905" s="1" t="s">
        <v>5524</v>
      </c>
      <c r="E1905" s="1" t="s">
        <v>3917</v>
      </c>
      <c r="F1905" s="1" t="s">
        <v>3918</v>
      </c>
      <c r="G1905" s="1" t="s">
        <v>4983</v>
      </c>
    </row>
    <row r="1906" spans="1:7" x14ac:dyDescent="0.45">
      <c r="A1906" s="1" t="s">
        <v>10827</v>
      </c>
      <c r="B1906" s="1" t="s">
        <v>10828</v>
      </c>
      <c r="C1906" s="1" t="s">
        <v>255</v>
      </c>
      <c r="D1906" s="1" t="s">
        <v>11632</v>
      </c>
      <c r="E1906" s="1" t="s">
        <v>3917</v>
      </c>
      <c r="F1906" s="1" t="s">
        <v>3918</v>
      </c>
      <c r="G1906" s="1" t="s">
        <v>4983</v>
      </c>
    </row>
    <row r="1907" spans="1:7" x14ac:dyDescent="0.45">
      <c r="A1907" s="1" t="s">
        <v>4408</v>
      </c>
      <c r="B1907" s="1" t="s">
        <v>4409</v>
      </c>
      <c r="C1907" s="1" t="s">
        <v>255</v>
      </c>
      <c r="D1907" s="1" t="s">
        <v>4861</v>
      </c>
      <c r="E1907" s="1" t="s">
        <v>3917</v>
      </c>
      <c r="F1907" s="1" t="s">
        <v>3918</v>
      </c>
      <c r="G1907" s="1" t="s">
        <v>4983</v>
      </c>
    </row>
    <row r="1908" spans="1:7" x14ac:dyDescent="0.45">
      <c r="A1908" s="1" t="s">
        <v>1760</v>
      </c>
      <c r="B1908" s="1" t="s">
        <v>1761</v>
      </c>
      <c r="C1908" s="1" t="s">
        <v>255</v>
      </c>
      <c r="D1908" s="1" t="s">
        <v>2971</v>
      </c>
      <c r="E1908" s="1" t="s">
        <v>3917</v>
      </c>
      <c r="F1908" s="1" t="s">
        <v>3918</v>
      </c>
      <c r="G1908" s="1" t="s">
        <v>4983</v>
      </c>
    </row>
    <row r="1909" spans="1:7" x14ac:dyDescent="0.45">
      <c r="A1909" s="1" t="s">
        <v>4410</v>
      </c>
      <c r="B1909" s="1" t="s">
        <v>3349</v>
      </c>
      <c r="C1909" s="1" t="s">
        <v>255</v>
      </c>
      <c r="D1909" s="1" t="s">
        <v>3350</v>
      </c>
      <c r="E1909" s="1" t="s">
        <v>3917</v>
      </c>
      <c r="F1909" s="1" t="s">
        <v>3918</v>
      </c>
      <c r="G1909" s="1" t="s">
        <v>4983</v>
      </c>
    </row>
    <row r="1910" spans="1:7" x14ac:dyDescent="0.45">
      <c r="A1910" s="1" t="s">
        <v>2972</v>
      </c>
      <c r="B1910" s="1" t="s">
        <v>2973</v>
      </c>
      <c r="C1910" s="1" t="s">
        <v>255</v>
      </c>
      <c r="D1910" s="1" t="s">
        <v>2974</v>
      </c>
      <c r="E1910" s="1" t="s">
        <v>3917</v>
      </c>
      <c r="F1910" s="1" t="s">
        <v>3918</v>
      </c>
      <c r="G1910" s="1" t="s">
        <v>4983</v>
      </c>
    </row>
    <row r="1911" spans="1:7" x14ac:dyDescent="0.45">
      <c r="A1911" s="1" t="s">
        <v>517</v>
      </c>
      <c r="B1911" s="1" t="s">
        <v>516</v>
      </c>
      <c r="C1911" s="1" t="s">
        <v>255</v>
      </c>
      <c r="D1911" s="1" t="s">
        <v>2975</v>
      </c>
      <c r="E1911" s="1" t="s">
        <v>3917</v>
      </c>
      <c r="F1911" s="1" t="s">
        <v>3918</v>
      </c>
      <c r="G1911" s="1" t="s">
        <v>4983</v>
      </c>
    </row>
    <row r="1912" spans="1:7" x14ac:dyDescent="0.45">
      <c r="A1912" s="1" t="s">
        <v>515</v>
      </c>
      <c r="B1912" s="1" t="s">
        <v>514</v>
      </c>
      <c r="C1912" s="1" t="s">
        <v>255</v>
      </c>
      <c r="D1912" s="1" t="s">
        <v>2976</v>
      </c>
      <c r="E1912" s="1" t="s">
        <v>3917</v>
      </c>
      <c r="F1912" s="1" t="s">
        <v>3918</v>
      </c>
      <c r="G1912" s="1" t="s">
        <v>4983</v>
      </c>
    </row>
    <row r="1913" spans="1:7" x14ac:dyDescent="0.45">
      <c r="A1913" s="1" t="s">
        <v>10829</v>
      </c>
      <c r="B1913" s="1" t="s">
        <v>10830</v>
      </c>
      <c r="C1913" s="1" t="s">
        <v>255</v>
      </c>
      <c r="D1913" s="1" t="s">
        <v>11633</v>
      </c>
      <c r="E1913" s="1" t="s">
        <v>3917</v>
      </c>
      <c r="F1913" s="1" t="s">
        <v>3918</v>
      </c>
      <c r="G1913" s="1" t="s">
        <v>4983</v>
      </c>
    </row>
    <row r="1914" spans="1:7" x14ac:dyDescent="0.45">
      <c r="A1914" s="1" t="s">
        <v>3696</v>
      </c>
      <c r="B1914" s="1" t="s">
        <v>3697</v>
      </c>
      <c r="C1914" s="1" t="s">
        <v>255</v>
      </c>
      <c r="D1914" s="1" t="s">
        <v>3698</v>
      </c>
      <c r="E1914" s="1" t="s">
        <v>3917</v>
      </c>
      <c r="F1914" s="1" t="s">
        <v>3918</v>
      </c>
      <c r="G1914" s="1" t="s">
        <v>4983</v>
      </c>
    </row>
    <row r="1915" spans="1:7" x14ac:dyDescent="0.45">
      <c r="A1915" s="1" t="s">
        <v>10831</v>
      </c>
      <c r="B1915" s="1" t="s">
        <v>10832</v>
      </c>
      <c r="C1915" s="1" t="s">
        <v>255</v>
      </c>
      <c r="D1915" s="1" t="s">
        <v>11634</v>
      </c>
      <c r="E1915" s="1" t="s">
        <v>3917</v>
      </c>
      <c r="F1915" s="1" t="s">
        <v>3918</v>
      </c>
      <c r="G1915" s="1" t="s">
        <v>4983</v>
      </c>
    </row>
    <row r="1916" spans="1:7" x14ac:dyDescent="0.45">
      <c r="A1916" s="1" t="s">
        <v>10833</v>
      </c>
      <c r="B1916" s="1" t="s">
        <v>10834</v>
      </c>
      <c r="C1916" s="1" t="s">
        <v>255</v>
      </c>
      <c r="D1916" s="1" t="s">
        <v>11635</v>
      </c>
      <c r="E1916" s="1" t="s">
        <v>3917</v>
      </c>
      <c r="F1916" s="1" t="s">
        <v>3918</v>
      </c>
      <c r="G1916" s="1" t="s">
        <v>4983</v>
      </c>
    </row>
    <row r="1917" spans="1:7" x14ac:dyDescent="0.45">
      <c r="A1917" s="1" t="s">
        <v>1764</v>
      </c>
      <c r="B1917" s="1" t="s">
        <v>1765</v>
      </c>
      <c r="C1917" s="1" t="s">
        <v>255</v>
      </c>
      <c r="D1917" s="1" t="s">
        <v>2977</v>
      </c>
      <c r="E1917" s="1" t="s">
        <v>3917</v>
      </c>
      <c r="F1917" s="1" t="s">
        <v>3918</v>
      </c>
      <c r="G1917" s="1" t="s">
        <v>4983</v>
      </c>
    </row>
    <row r="1918" spans="1:7" x14ac:dyDescent="0.45">
      <c r="A1918" s="1" t="s">
        <v>2978</v>
      </c>
      <c r="B1918" s="1" t="s">
        <v>2979</v>
      </c>
      <c r="C1918" s="1" t="s">
        <v>255</v>
      </c>
      <c r="D1918" s="1" t="s">
        <v>2980</v>
      </c>
      <c r="E1918" s="1" t="s">
        <v>3917</v>
      </c>
      <c r="F1918" s="1" t="s">
        <v>3918</v>
      </c>
      <c r="G1918" s="1" t="s">
        <v>4983</v>
      </c>
    </row>
    <row r="1919" spans="1:7" x14ac:dyDescent="0.45">
      <c r="A1919" s="1" t="s">
        <v>3702</v>
      </c>
      <c r="B1919" s="1" t="s">
        <v>4411</v>
      </c>
      <c r="C1919" s="1" t="s">
        <v>255</v>
      </c>
      <c r="D1919" s="1" t="s">
        <v>4862</v>
      </c>
      <c r="E1919" s="1" t="s">
        <v>3917</v>
      </c>
      <c r="F1919" s="1" t="s">
        <v>3918</v>
      </c>
      <c r="G1919" s="1" t="s">
        <v>4983</v>
      </c>
    </row>
    <row r="1920" spans="1:7" x14ac:dyDescent="0.45">
      <c r="A1920" s="1" t="s">
        <v>7562</v>
      </c>
      <c r="B1920" s="1" t="s">
        <v>7563</v>
      </c>
      <c r="C1920" s="1" t="s">
        <v>255</v>
      </c>
      <c r="D1920" s="1" t="s">
        <v>8262</v>
      </c>
      <c r="E1920" s="1" t="s">
        <v>3917</v>
      </c>
      <c r="F1920" s="1" t="s">
        <v>3918</v>
      </c>
      <c r="G1920" s="1" t="s">
        <v>4983</v>
      </c>
    </row>
    <row r="1921" spans="1:7" x14ac:dyDescent="0.45">
      <c r="A1921" s="1" t="s">
        <v>10835</v>
      </c>
      <c r="B1921" s="1" t="s">
        <v>10836</v>
      </c>
      <c r="C1921" s="1" t="s">
        <v>255</v>
      </c>
      <c r="D1921" s="1" t="s">
        <v>11636</v>
      </c>
      <c r="E1921" s="1" t="s">
        <v>3917</v>
      </c>
      <c r="F1921" s="1" t="s">
        <v>3918</v>
      </c>
      <c r="G1921" s="1" t="s">
        <v>4983</v>
      </c>
    </row>
    <row r="1922" spans="1:7" x14ac:dyDescent="0.45">
      <c r="A1922" s="1" t="s">
        <v>3703</v>
      </c>
      <c r="B1922" s="1" t="s">
        <v>3704</v>
      </c>
      <c r="C1922" s="1" t="s">
        <v>255</v>
      </c>
      <c r="D1922" s="1" t="s">
        <v>3705</v>
      </c>
      <c r="E1922" s="1" t="s">
        <v>3917</v>
      </c>
      <c r="F1922" s="1" t="s">
        <v>3918</v>
      </c>
      <c r="G1922" s="1" t="s">
        <v>4983</v>
      </c>
    </row>
    <row r="1923" spans="1:7" x14ac:dyDescent="0.45">
      <c r="A1923" s="1" t="s">
        <v>10837</v>
      </c>
      <c r="B1923" s="1" t="s">
        <v>10838</v>
      </c>
      <c r="C1923" s="1" t="s">
        <v>255</v>
      </c>
      <c r="D1923" s="1" t="s">
        <v>11637</v>
      </c>
      <c r="E1923" s="1" t="s">
        <v>3917</v>
      </c>
      <c r="F1923" s="1" t="s">
        <v>3918</v>
      </c>
      <c r="G1923" s="1" t="s">
        <v>4983</v>
      </c>
    </row>
    <row r="1924" spans="1:7" x14ac:dyDescent="0.45">
      <c r="A1924" s="1" t="s">
        <v>1766</v>
      </c>
      <c r="B1924" s="1" t="s">
        <v>1767</v>
      </c>
      <c r="C1924" s="1" t="s">
        <v>255</v>
      </c>
      <c r="D1924" s="1" t="s">
        <v>2981</v>
      </c>
      <c r="E1924" s="1" t="s">
        <v>3917</v>
      </c>
      <c r="F1924" s="1" t="s">
        <v>3918</v>
      </c>
      <c r="G1924" s="1" t="s">
        <v>4983</v>
      </c>
    </row>
    <row r="1925" spans="1:7" x14ac:dyDescent="0.45">
      <c r="A1925" s="1" t="s">
        <v>7564</v>
      </c>
      <c r="B1925" s="1" t="s">
        <v>7565</v>
      </c>
      <c r="C1925" s="1" t="s">
        <v>255</v>
      </c>
      <c r="D1925" s="1" t="s">
        <v>8263</v>
      </c>
      <c r="E1925" s="1" t="s">
        <v>3917</v>
      </c>
      <c r="F1925" s="1" t="s">
        <v>3918</v>
      </c>
      <c r="G1925" s="1" t="s">
        <v>4983</v>
      </c>
    </row>
    <row r="1926" spans="1:7" x14ac:dyDescent="0.45">
      <c r="A1926" s="1" t="s">
        <v>4412</v>
      </c>
      <c r="B1926" s="1" t="s">
        <v>4413</v>
      </c>
      <c r="C1926" s="1" t="s">
        <v>255</v>
      </c>
      <c r="D1926" s="1" t="s">
        <v>4863</v>
      </c>
      <c r="E1926" s="1" t="s">
        <v>3919</v>
      </c>
      <c r="F1926" s="1" t="s">
        <v>3918</v>
      </c>
      <c r="G1926" s="1" t="s">
        <v>4983</v>
      </c>
    </row>
    <row r="1927" spans="1:7" x14ac:dyDescent="0.45">
      <c r="A1927" s="1" t="s">
        <v>513</v>
      </c>
      <c r="B1927" s="1" t="s">
        <v>512</v>
      </c>
      <c r="C1927" s="1" t="s">
        <v>255</v>
      </c>
      <c r="D1927" s="1" t="s">
        <v>2982</v>
      </c>
      <c r="E1927" s="1" t="s">
        <v>3917</v>
      </c>
      <c r="F1927" s="1" t="s">
        <v>3918</v>
      </c>
      <c r="G1927" s="1" t="s">
        <v>4983</v>
      </c>
    </row>
    <row r="1928" spans="1:7" x14ac:dyDescent="0.45">
      <c r="A1928" s="1" t="s">
        <v>4414</v>
      </c>
      <c r="B1928" s="1" t="s">
        <v>4415</v>
      </c>
      <c r="C1928" s="1" t="s">
        <v>255</v>
      </c>
      <c r="D1928" s="1" t="s">
        <v>4864</v>
      </c>
      <c r="E1928" s="1" t="s">
        <v>3917</v>
      </c>
      <c r="F1928" s="1" t="s">
        <v>3918</v>
      </c>
      <c r="G1928" s="1" t="s">
        <v>4983</v>
      </c>
    </row>
    <row r="1929" spans="1:7" x14ac:dyDescent="0.45">
      <c r="A1929" s="1" t="s">
        <v>10839</v>
      </c>
      <c r="B1929" s="1" t="s">
        <v>10840</v>
      </c>
      <c r="C1929" s="1" t="s">
        <v>255</v>
      </c>
      <c r="D1929" s="1" t="s">
        <v>11638</v>
      </c>
      <c r="E1929" s="1" t="s">
        <v>3917</v>
      </c>
      <c r="F1929" s="1" t="s">
        <v>3918</v>
      </c>
      <c r="G1929" s="1" t="s">
        <v>4983</v>
      </c>
    </row>
    <row r="1930" spans="1:7" x14ac:dyDescent="0.45">
      <c r="A1930" s="1" t="s">
        <v>7566</v>
      </c>
      <c r="B1930" s="1" t="s">
        <v>7567</v>
      </c>
      <c r="C1930" s="1" t="s">
        <v>255</v>
      </c>
      <c r="D1930" s="1" t="s">
        <v>8264</v>
      </c>
      <c r="E1930" s="1" t="s">
        <v>3917</v>
      </c>
      <c r="F1930" s="1" t="s">
        <v>3918</v>
      </c>
      <c r="G1930" s="1" t="s">
        <v>4983</v>
      </c>
    </row>
    <row r="1931" spans="1:7" x14ac:dyDescent="0.45">
      <c r="A1931" s="1" t="s">
        <v>7568</v>
      </c>
      <c r="B1931" s="1" t="s">
        <v>7569</v>
      </c>
      <c r="C1931" s="1" t="s">
        <v>255</v>
      </c>
      <c r="D1931" s="1" t="s">
        <v>8265</v>
      </c>
      <c r="E1931" s="1" t="s">
        <v>3917</v>
      </c>
      <c r="F1931" s="1" t="s">
        <v>3918</v>
      </c>
      <c r="G1931" s="1" t="s">
        <v>4983</v>
      </c>
    </row>
    <row r="1932" spans="1:7" x14ac:dyDescent="0.45">
      <c r="A1932" s="1" t="s">
        <v>7570</v>
      </c>
      <c r="B1932" s="1" t="s">
        <v>7571</v>
      </c>
      <c r="C1932" s="1" t="s">
        <v>255</v>
      </c>
      <c r="D1932" s="1" t="s">
        <v>8266</v>
      </c>
      <c r="E1932" s="1" t="s">
        <v>3917</v>
      </c>
      <c r="F1932" s="1" t="s">
        <v>3918</v>
      </c>
      <c r="G1932" s="1" t="s">
        <v>4983</v>
      </c>
    </row>
    <row r="1933" spans="1:7" x14ac:dyDescent="0.45">
      <c r="A1933" s="1" t="s">
        <v>10841</v>
      </c>
      <c r="B1933" s="1" t="s">
        <v>10842</v>
      </c>
      <c r="C1933" s="1" t="s">
        <v>255</v>
      </c>
      <c r="D1933" s="1" t="s">
        <v>11639</v>
      </c>
      <c r="E1933" s="1" t="s">
        <v>3917</v>
      </c>
      <c r="F1933" s="1" t="s">
        <v>3918</v>
      </c>
      <c r="G1933" s="1" t="s">
        <v>4983</v>
      </c>
    </row>
    <row r="1934" spans="1:7" x14ac:dyDescent="0.45">
      <c r="A1934" s="1" t="s">
        <v>10843</v>
      </c>
      <c r="B1934" s="1" t="s">
        <v>10844</v>
      </c>
      <c r="C1934" s="1" t="s">
        <v>255</v>
      </c>
      <c r="D1934" s="1" t="s">
        <v>11640</v>
      </c>
      <c r="E1934" s="1" t="s">
        <v>3917</v>
      </c>
      <c r="F1934" s="1" t="s">
        <v>3918</v>
      </c>
      <c r="G1934" s="1" t="s">
        <v>4983</v>
      </c>
    </row>
    <row r="1935" spans="1:7" x14ac:dyDescent="0.45">
      <c r="A1935" s="1" t="s">
        <v>7572</v>
      </c>
      <c r="B1935" s="1" t="s">
        <v>7573</v>
      </c>
      <c r="C1935" s="1" t="s">
        <v>255</v>
      </c>
      <c r="D1935" s="1" t="s">
        <v>8267</v>
      </c>
      <c r="E1935" s="1" t="s">
        <v>3917</v>
      </c>
      <c r="F1935" s="1" t="s">
        <v>3918</v>
      </c>
      <c r="G1935" s="1" t="s">
        <v>4983</v>
      </c>
    </row>
    <row r="1936" spans="1:7" x14ac:dyDescent="0.45">
      <c r="A1936" s="1" t="s">
        <v>7574</v>
      </c>
      <c r="B1936" s="1" t="s">
        <v>7575</v>
      </c>
      <c r="C1936" s="1" t="s">
        <v>255</v>
      </c>
      <c r="D1936" s="1" t="s">
        <v>8268</v>
      </c>
      <c r="E1936" s="1" t="s">
        <v>3917</v>
      </c>
      <c r="F1936" s="1" t="s">
        <v>3918</v>
      </c>
      <c r="G1936" s="1" t="s">
        <v>4983</v>
      </c>
    </row>
    <row r="1937" spans="1:7" x14ac:dyDescent="0.45">
      <c r="A1937" s="1" t="s">
        <v>4416</v>
      </c>
      <c r="B1937" s="1" t="s">
        <v>4417</v>
      </c>
      <c r="C1937" s="1" t="s">
        <v>255</v>
      </c>
      <c r="D1937" s="1" t="s">
        <v>4865</v>
      </c>
      <c r="E1937" s="1" t="s">
        <v>3917</v>
      </c>
      <c r="F1937" s="1" t="s">
        <v>3918</v>
      </c>
      <c r="G1937" s="1" t="s">
        <v>4983</v>
      </c>
    </row>
    <row r="1938" spans="1:7" x14ac:dyDescent="0.45">
      <c r="A1938" s="1" t="s">
        <v>10845</v>
      </c>
      <c r="B1938" s="1" t="s">
        <v>10846</v>
      </c>
      <c r="C1938" s="1" t="s">
        <v>255</v>
      </c>
      <c r="D1938" s="1" t="s">
        <v>11641</v>
      </c>
      <c r="E1938" s="1" t="s">
        <v>3919</v>
      </c>
      <c r="F1938" s="1" t="s">
        <v>3918</v>
      </c>
      <c r="G1938" s="1" t="s">
        <v>4983</v>
      </c>
    </row>
    <row r="1939" spans="1:7" x14ac:dyDescent="0.45">
      <c r="A1939" s="1" t="s">
        <v>10847</v>
      </c>
      <c r="B1939" s="1" t="s">
        <v>3290</v>
      </c>
      <c r="C1939" s="1" t="s">
        <v>255</v>
      </c>
      <c r="D1939" s="1" t="s">
        <v>3291</v>
      </c>
      <c r="E1939" s="1" t="s">
        <v>3917</v>
      </c>
      <c r="F1939" s="1" t="s">
        <v>3918</v>
      </c>
      <c r="G1939" s="1" t="s">
        <v>4983</v>
      </c>
    </row>
    <row r="1940" spans="1:7" x14ac:dyDescent="0.45">
      <c r="A1940" s="1" t="s">
        <v>7576</v>
      </c>
      <c r="B1940" s="1" t="s">
        <v>7577</v>
      </c>
      <c r="C1940" s="1" t="s">
        <v>255</v>
      </c>
      <c r="D1940" s="1" t="s">
        <v>8269</v>
      </c>
      <c r="E1940" s="1" t="s">
        <v>3917</v>
      </c>
      <c r="F1940" s="1" t="s">
        <v>3918</v>
      </c>
      <c r="G1940" s="1" t="s">
        <v>4983</v>
      </c>
    </row>
    <row r="1941" spans="1:7" x14ac:dyDescent="0.45">
      <c r="A1941" s="1" t="s">
        <v>10848</v>
      </c>
      <c r="B1941" s="1" t="s">
        <v>10849</v>
      </c>
      <c r="C1941" s="1" t="s">
        <v>255</v>
      </c>
      <c r="D1941" s="1" t="s">
        <v>11642</v>
      </c>
      <c r="E1941" s="1" t="s">
        <v>3917</v>
      </c>
      <c r="F1941" s="1" t="s">
        <v>3918</v>
      </c>
      <c r="G1941" s="1" t="s">
        <v>4983</v>
      </c>
    </row>
    <row r="1942" spans="1:7" x14ac:dyDescent="0.45">
      <c r="A1942" s="1" t="s">
        <v>511</v>
      </c>
      <c r="B1942" s="1" t="s">
        <v>510</v>
      </c>
      <c r="C1942" s="1" t="s">
        <v>255</v>
      </c>
      <c r="D1942" s="1" t="s">
        <v>2984</v>
      </c>
      <c r="E1942" s="1" t="s">
        <v>3917</v>
      </c>
      <c r="F1942" s="1" t="s">
        <v>3918</v>
      </c>
      <c r="G1942" s="1" t="s">
        <v>4983</v>
      </c>
    </row>
    <row r="1943" spans="1:7" x14ac:dyDescent="0.45">
      <c r="A1943" s="1" t="s">
        <v>7578</v>
      </c>
      <c r="B1943" s="1" t="s">
        <v>7579</v>
      </c>
      <c r="C1943" s="1" t="s">
        <v>255</v>
      </c>
      <c r="D1943" s="1" t="s">
        <v>8270</v>
      </c>
      <c r="E1943" s="1" t="s">
        <v>3917</v>
      </c>
      <c r="F1943" s="1" t="s">
        <v>3918</v>
      </c>
      <c r="G1943" s="1" t="s">
        <v>4983</v>
      </c>
    </row>
    <row r="1944" spans="1:7" x14ac:dyDescent="0.45">
      <c r="A1944" s="1" t="s">
        <v>7580</v>
      </c>
      <c r="B1944" s="1" t="s">
        <v>7581</v>
      </c>
      <c r="C1944" s="1" t="s">
        <v>255</v>
      </c>
      <c r="D1944" s="1" t="s">
        <v>8271</v>
      </c>
      <c r="E1944" s="1" t="s">
        <v>3917</v>
      </c>
      <c r="F1944" s="1" t="s">
        <v>3918</v>
      </c>
      <c r="G1944" s="1" t="s">
        <v>4983</v>
      </c>
    </row>
    <row r="1945" spans="1:7" x14ac:dyDescent="0.45">
      <c r="A1945" s="1" t="s">
        <v>509</v>
      </c>
      <c r="B1945" s="1" t="s">
        <v>508</v>
      </c>
      <c r="C1945" s="1" t="s">
        <v>255</v>
      </c>
      <c r="D1945" s="1" t="s">
        <v>2985</v>
      </c>
      <c r="E1945" s="1" t="s">
        <v>3917</v>
      </c>
      <c r="F1945" s="1" t="s">
        <v>3918</v>
      </c>
      <c r="G1945" s="1" t="s">
        <v>4983</v>
      </c>
    </row>
    <row r="1946" spans="1:7" x14ac:dyDescent="0.45">
      <c r="A1946" s="1" t="s">
        <v>10850</v>
      </c>
      <c r="B1946" s="1" t="s">
        <v>10851</v>
      </c>
      <c r="C1946" s="1" t="s">
        <v>255</v>
      </c>
      <c r="D1946" s="1" t="s">
        <v>11643</v>
      </c>
      <c r="E1946" s="1" t="s">
        <v>3917</v>
      </c>
      <c r="F1946" s="1" t="s">
        <v>3918</v>
      </c>
      <c r="G1946" s="1" t="s">
        <v>4983</v>
      </c>
    </row>
    <row r="1947" spans="1:7" x14ac:dyDescent="0.45">
      <c r="A1947" s="1" t="s">
        <v>10852</v>
      </c>
      <c r="B1947" s="1" t="s">
        <v>5756</v>
      </c>
      <c r="C1947" s="1" t="s">
        <v>255</v>
      </c>
      <c r="D1947" s="1" t="s">
        <v>5757</v>
      </c>
      <c r="E1947" s="1" t="s">
        <v>3917</v>
      </c>
      <c r="F1947" s="1" t="s">
        <v>3918</v>
      </c>
      <c r="G1947" s="1" t="s">
        <v>4983</v>
      </c>
    </row>
    <row r="1948" spans="1:7" x14ac:dyDescent="0.45">
      <c r="A1948" s="1" t="s">
        <v>7582</v>
      </c>
      <c r="B1948" s="1" t="s">
        <v>5256</v>
      </c>
      <c r="C1948" s="1" t="s">
        <v>255</v>
      </c>
      <c r="D1948" s="1" t="s">
        <v>5257</v>
      </c>
      <c r="E1948" s="1" t="s">
        <v>3917</v>
      </c>
      <c r="F1948" s="1" t="s">
        <v>3918</v>
      </c>
      <c r="G1948" s="1" t="s">
        <v>4983</v>
      </c>
    </row>
    <row r="1949" spans="1:7" x14ac:dyDescent="0.45">
      <c r="A1949" s="1" t="s">
        <v>4420</v>
      </c>
      <c r="B1949" s="1" t="s">
        <v>3304</v>
      </c>
      <c r="C1949" s="1" t="s">
        <v>255</v>
      </c>
      <c r="D1949" s="1" t="s">
        <v>3305</v>
      </c>
      <c r="E1949" s="1" t="s">
        <v>3919</v>
      </c>
      <c r="F1949" s="1" t="s">
        <v>3918</v>
      </c>
      <c r="G1949" s="1" t="s">
        <v>4983</v>
      </c>
    </row>
    <row r="1950" spans="1:7" x14ac:dyDescent="0.45">
      <c r="A1950" s="1" t="s">
        <v>507</v>
      </c>
      <c r="B1950" s="1" t="s">
        <v>506</v>
      </c>
      <c r="C1950" s="1" t="s">
        <v>255</v>
      </c>
      <c r="D1950" s="1" t="s">
        <v>2986</v>
      </c>
      <c r="E1950" s="1" t="s">
        <v>3917</v>
      </c>
      <c r="F1950" s="1" t="s">
        <v>3918</v>
      </c>
      <c r="G1950" s="1" t="s">
        <v>4983</v>
      </c>
    </row>
    <row r="1951" spans="1:7" x14ac:dyDescent="0.45">
      <c r="A1951" s="1" t="s">
        <v>7583</v>
      </c>
      <c r="B1951" s="1" t="s">
        <v>7584</v>
      </c>
      <c r="C1951" s="1" t="s">
        <v>255</v>
      </c>
      <c r="D1951" s="1" t="s">
        <v>8272</v>
      </c>
      <c r="E1951" s="1" t="s">
        <v>3917</v>
      </c>
      <c r="F1951" s="1" t="s">
        <v>3918</v>
      </c>
      <c r="G1951" s="1" t="s">
        <v>4983</v>
      </c>
    </row>
    <row r="1952" spans="1:7" x14ac:dyDescent="0.45">
      <c r="A1952" s="1" t="s">
        <v>3706</v>
      </c>
      <c r="B1952" s="1" t="s">
        <v>3707</v>
      </c>
      <c r="C1952" s="1" t="s">
        <v>255</v>
      </c>
      <c r="D1952" s="1" t="s">
        <v>3708</v>
      </c>
      <c r="E1952" s="1" t="s">
        <v>3917</v>
      </c>
      <c r="F1952" s="1" t="s">
        <v>3918</v>
      </c>
      <c r="G1952" s="1" t="s">
        <v>4983</v>
      </c>
    </row>
    <row r="1953" spans="1:7" x14ac:dyDescent="0.45">
      <c r="A1953" s="1" t="s">
        <v>10853</v>
      </c>
      <c r="B1953" s="1" t="s">
        <v>10854</v>
      </c>
      <c r="C1953" s="1" t="s">
        <v>255</v>
      </c>
      <c r="D1953" s="1" t="s">
        <v>11644</v>
      </c>
      <c r="E1953" s="1" t="s">
        <v>3917</v>
      </c>
      <c r="F1953" s="1" t="s">
        <v>3918</v>
      </c>
      <c r="G1953" s="1" t="s">
        <v>4983</v>
      </c>
    </row>
    <row r="1954" spans="1:7" x14ac:dyDescent="0.45">
      <c r="A1954" s="1" t="s">
        <v>1771</v>
      </c>
      <c r="B1954" s="1" t="s">
        <v>1772</v>
      </c>
      <c r="C1954" s="1" t="s">
        <v>255</v>
      </c>
      <c r="D1954" s="1" t="s">
        <v>2987</v>
      </c>
      <c r="E1954" s="1" t="s">
        <v>3917</v>
      </c>
      <c r="F1954" s="1" t="s">
        <v>3918</v>
      </c>
      <c r="G1954" s="1" t="s">
        <v>4983</v>
      </c>
    </row>
    <row r="1955" spans="1:7" x14ac:dyDescent="0.45">
      <c r="A1955" s="1" t="s">
        <v>505</v>
      </c>
      <c r="B1955" s="1" t="s">
        <v>504</v>
      </c>
      <c r="C1955" s="1" t="s">
        <v>255</v>
      </c>
      <c r="D1955" s="1" t="s">
        <v>2988</v>
      </c>
      <c r="E1955" s="1" t="s">
        <v>3917</v>
      </c>
      <c r="F1955" s="1" t="s">
        <v>3918</v>
      </c>
      <c r="G1955" s="1" t="s">
        <v>4983</v>
      </c>
    </row>
    <row r="1956" spans="1:7" x14ac:dyDescent="0.45">
      <c r="A1956" s="1" t="s">
        <v>7585</v>
      </c>
      <c r="B1956" s="1" t="s">
        <v>7586</v>
      </c>
      <c r="C1956" s="1" t="s">
        <v>255</v>
      </c>
      <c r="D1956" s="1" t="s">
        <v>8273</v>
      </c>
      <c r="E1956" s="1" t="s">
        <v>3917</v>
      </c>
      <c r="F1956" s="1" t="s">
        <v>3918</v>
      </c>
      <c r="G1956" s="1" t="s">
        <v>4983</v>
      </c>
    </row>
    <row r="1957" spans="1:7" x14ac:dyDescent="0.45">
      <c r="A1957" s="1" t="s">
        <v>7587</v>
      </c>
      <c r="B1957" s="1" t="s">
        <v>5573</v>
      </c>
      <c r="C1957" s="1" t="s">
        <v>255</v>
      </c>
      <c r="D1957" s="1" t="s">
        <v>5574</v>
      </c>
      <c r="E1957" s="1" t="s">
        <v>3917</v>
      </c>
      <c r="F1957" s="1" t="s">
        <v>3918</v>
      </c>
      <c r="G1957" s="1" t="s">
        <v>4983</v>
      </c>
    </row>
    <row r="1958" spans="1:7" x14ac:dyDescent="0.45">
      <c r="A1958" s="1" t="s">
        <v>7588</v>
      </c>
      <c r="B1958" s="1" t="s">
        <v>5568</v>
      </c>
      <c r="C1958" s="1" t="s">
        <v>255</v>
      </c>
      <c r="D1958" s="1" t="s">
        <v>5569</v>
      </c>
      <c r="E1958" s="1" t="s">
        <v>3917</v>
      </c>
      <c r="F1958" s="1" t="s">
        <v>3918</v>
      </c>
      <c r="G1958" s="1" t="s">
        <v>4983</v>
      </c>
    </row>
    <row r="1959" spans="1:7" x14ac:dyDescent="0.45">
      <c r="A1959" s="1" t="s">
        <v>10855</v>
      </c>
      <c r="B1959" s="1" t="s">
        <v>10856</v>
      </c>
      <c r="C1959" s="1" t="s">
        <v>255</v>
      </c>
      <c r="D1959" s="1" t="s">
        <v>11645</v>
      </c>
      <c r="E1959" s="1" t="s">
        <v>3917</v>
      </c>
      <c r="F1959" s="1" t="s">
        <v>3918</v>
      </c>
      <c r="G1959" s="1" t="s">
        <v>4983</v>
      </c>
    </row>
    <row r="1960" spans="1:7" x14ac:dyDescent="0.45">
      <c r="A1960" s="1" t="s">
        <v>7589</v>
      </c>
      <c r="B1960" s="1" t="s">
        <v>503</v>
      </c>
      <c r="C1960" s="1" t="s">
        <v>255</v>
      </c>
      <c r="D1960" s="1" t="s">
        <v>2989</v>
      </c>
      <c r="E1960" s="1" t="s">
        <v>3917</v>
      </c>
      <c r="F1960" s="1" t="s">
        <v>3918</v>
      </c>
      <c r="G1960" s="1" t="s">
        <v>4983</v>
      </c>
    </row>
    <row r="1961" spans="1:7" x14ac:dyDescent="0.45">
      <c r="A1961" s="1" t="s">
        <v>10857</v>
      </c>
      <c r="B1961" s="1" t="s">
        <v>10858</v>
      </c>
      <c r="C1961" s="1" t="s">
        <v>255</v>
      </c>
      <c r="D1961" s="1" t="s">
        <v>11646</v>
      </c>
      <c r="E1961" s="1" t="s">
        <v>3917</v>
      </c>
      <c r="F1961" s="1" t="s">
        <v>3918</v>
      </c>
      <c r="G1961" s="1" t="s">
        <v>4983</v>
      </c>
    </row>
    <row r="1962" spans="1:7" x14ac:dyDescent="0.45">
      <c r="A1962" s="1" t="s">
        <v>10859</v>
      </c>
      <c r="B1962" s="1" t="s">
        <v>10860</v>
      </c>
      <c r="C1962" s="1" t="s">
        <v>255</v>
      </c>
      <c r="D1962" s="1" t="s">
        <v>11647</v>
      </c>
      <c r="E1962" s="1" t="s">
        <v>3917</v>
      </c>
      <c r="F1962" s="1" t="s">
        <v>3918</v>
      </c>
      <c r="G1962" s="1" t="s">
        <v>4983</v>
      </c>
    </row>
    <row r="1963" spans="1:7" x14ac:dyDescent="0.45">
      <c r="A1963" s="1" t="s">
        <v>502</v>
      </c>
      <c r="B1963" s="1" t="s">
        <v>501</v>
      </c>
      <c r="C1963" s="1" t="s">
        <v>255</v>
      </c>
      <c r="D1963" s="1" t="s">
        <v>2990</v>
      </c>
      <c r="E1963" s="1" t="s">
        <v>3917</v>
      </c>
      <c r="F1963" s="1" t="s">
        <v>3918</v>
      </c>
      <c r="G1963" s="1" t="s">
        <v>4983</v>
      </c>
    </row>
    <row r="1964" spans="1:7" x14ac:dyDescent="0.45">
      <c r="A1964" s="1" t="s">
        <v>4421</v>
      </c>
      <c r="B1964" s="1" t="s">
        <v>4422</v>
      </c>
      <c r="C1964" s="1" t="s">
        <v>255</v>
      </c>
      <c r="D1964" s="1" t="s">
        <v>4867</v>
      </c>
      <c r="E1964" s="1" t="s">
        <v>3917</v>
      </c>
      <c r="F1964" s="1" t="s">
        <v>3918</v>
      </c>
      <c r="G1964" s="1" t="s">
        <v>4983</v>
      </c>
    </row>
    <row r="1965" spans="1:7" x14ac:dyDescent="0.45">
      <c r="A1965" s="1" t="s">
        <v>7590</v>
      </c>
      <c r="B1965" s="1" t="s">
        <v>5270</v>
      </c>
      <c r="C1965" s="1" t="s">
        <v>255</v>
      </c>
      <c r="D1965" s="1" t="s">
        <v>5271</v>
      </c>
      <c r="E1965" s="1" t="s">
        <v>3917</v>
      </c>
      <c r="F1965" s="1" t="s">
        <v>3918</v>
      </c>
      <c r="G1965" s="1" t="s">
        <v>4983</v>
      </c>
    </row>
    <row r="1966" spans="1:7" x14ac:dyDescent="0.45">
      <c r="A1966" s="1" t="s">
        <v>500</v>
      </c>
      <c r="B1966" s="1" t="s">
        <v>499</v>
      </c>
      <c r="C1966" s="1" t="s">
        <v>255</v>
      </c>
      <c r="D1966" s="1" t="s">
        <v>2991</v>
      </c>
      <c r="E1966" s="1" t="s">
        <v>3917</v>
      </c>
      <c r="F1966" s="1" t="s">
        <v>3918</v>
      </c>
      <c r="G1966" s="1" t="s">
        <v>4983</v>
      </c>
    </row>
    <row r="1967" spans="1:7" x14ac:dyDescent="0.45">
      <c r="A1967" s="1" t="s">
        <v>2992</v>
      </c>
      <c r="B1967" s="1" t="s">
        <v>2993</v>
      </c>
      <c r="C1967" s="1" t="s">
        <v>255</v>
      </c>
      <c r="D1967" s="1" t="s">
        <v>2994</v>
      </c>
      <c r="E1967" s="1" t="s">
        <v>3917</v>
      </c>
      <c r="F1967" s="1" t="s">
        <v>3918</v>
      </c>
      <c r="G1967" s="1" t="s">
        <v>4983</v>
      </c>
    </row>
    <row r="1968" spans="1:7" x14ac:dyDescent="0.45">
      <c r="A1968" s="1" t="s">
        <v>498</v>
      </c>
      <c r="B1968" s="1" t="s">
        <v>497</v>
      </c>
      <c r="C1968" s="1" t="s">
        <v>255</v>
      </c>
      <c r="D1968" s="1" t="s">
        <v>2998</v>
      </c>
      <c r="E1968" s="1" t="s">
        <v>3917</v>
      </c>
      <c r="F1968" s="1" t="s">
        <v>3918</v>
      </c>
      <c r="G1968" s="1" t="s">
        <v>4983</v>
      </c>
    </row>
    <row r="1969" spans="1:7" x14ac:dyDescent="0.45">
      <c r="A1969" s="1" t="s">
        <v>7593</v>
      </c>
      <c r="B1969" s="1" t="s">
        <v>7594</v>
      </c>
      <c r="C1969" s="1" t="s">
        <v>255</v>
      </c>
      <c r="D1969" s="1" t="s">
        <v>8275</v>
      </c>
      <c r="E1969" s="1" t="s">
        <v>3917</v>
      </c>
      <c r="F1969" s="1" t="s">
        <v>3918</v>
      </c>
      <c r="G1969" s="1" t="s">
        <v>4983</v>
      </c>
    </row>
    <row r="1970" spans="1:7" x14ac:dyDescent="0.45">
      <c r="A1970" s="1" t="s">
        <v>1773</v>
      </c>
      <c r="B1970" s="1" t="s">
        <v>1774</v>
      </c>
      <c r="C1970" s="1" t="s">
        <v>255</v>
      </c>
      <c r="D1970" s="1" t="s">
        <v>2999</v>
      </c>
      <c r="E1970" s="1" t="s">
        <v>3917</v>
      </c>
      <c r="F1970" s="1" t="s">
        <v>3918</v>
      </c>
      <c r="G1970" s="1" t="s">
        <v>4983</v>
      </c>
    </row>
    <row r="1971" spans="1:7" x14ac:dyDescent="0.45">
      <c r="A1971" s="1" t="s">
        <v>1775</v>
      </c>
      <c r="B1971" s="1" t="s">
        <v>1776</v>
      </c>
      <c r="C1971" s="1" t="s">
        <v>255</v>
      </c>
      <c r="D1971" s="1" t="s">
        <v>3000</v>
      </c>
      <c r="E1971" s="1" t="s">
        <v>3917</v>
      </c>
      <c r="F1971" s="1" t="s">
        <v>3918</v>
      </c>
      <c r="G1971" s="1" t="s">
        <v>4983</v>
      </c>
    </row>
    <row r="1972" spans="1:7" x14ac:dyDescent="0.45">
      <c r="A1972" s="1" t="s">
        <v>7595</v>
      </c>
      <c r="B1972" s="1" t="s">
        <v>7596</v>
      </c>
      <c r="C1972" s="1" t="s">
        <v>255</v>
      </c>
      <c r="D1972" s="1" t="s">
        <v>8276</v>
      </c>
      <c r="E1972" s="1" t="s">
        <v>3917</v>
      </c>
      <c r="F1972" s="1" t="s">
        <v>3918</v>
      </c>
      <c r="G1972" s="1" t="s">
        <v>4983</v>
      </c>
    </row>
    <row r="1973" spans="1:7" x14ac:dyDescent="0.45">
      <c r="A1973" s="1" t="s">
        <v>3001</v>
      </c>
      <c r="B1973" s="1" t="s">
        <v>3002</v>
      </c>
      <c r="C1973" s="1" t="s">
        <v>255</v>
      </c>
      <c r="D1973" s="1" t="s">
        <v>3003</v>
      </c>
      <c r="E1973" s="1" t="s">
        <v>3917</v>
      </c>
      <c r="F1973" s="1" t="s">
        <v>3918</v>
      </c>
      <c r="G1973" s="1" t="s">
        <v>4983</v>
      </c>
    </row>
    <row r="1974" spans="1:7" x14ac:dyDescent="0.45">
      <c r="A1974" s="1" t="s">
        <v>10861</v>
      </c>
      <c r="B1974" s="1" t="s">
        <v>10862</v>
      </c>
      <c r="C1974" s="1" t="s">
        <v>255</v>
      </c>
      <c r="D1974" s="1" t="s">
        <v>11648</v>
      </c>
      <c r="E1974" s="1" t="s">
        <v>3917</v>
      </c>
      <c r="F1974" s="1" t="s">
        <v>3918</v>
      </c>
      <c r="G1974" s="1" t="s">
        <v>4983</v>
      </c>
    </row>
    <row r="1975" spans="1:7" x14ac:dyDescent="0.45">
      <c r="A1975" s="1" t="s">
        <v>496</v>
      </c>
      <c r="B1975" s="1" t="s">
        <v>495</v>
      </c>
      <c r="C1975" s="1" t="s">
        <v>255</v>
      </c>
      <c r="D1975" s="1" t="s">
        <v>3004</v>
      </c>
      <c r="E1975" s="1" t="s">
        <v>3917</v>
      </c>
      <c r="F1975" s="1" t="s">
        <v>3918</v>
      </c>
      <c r="G1975" s="1" t="s">
        <v>4983</v>
      </c>
    </row>
    <row r="1976" spans="1:7" x14ac:dyDescent="0.45">
      <c r="A1976" s="1" t="s">
        <v>7597</v>
      </c>
      <c r="B1976" s="1" t="s">
        <v>7598</v>
      </c>
      <c r="C1976" s="1" t="s">
        <v>255</v>
      </c>
      <c r="D1976" s="1" t="s">
        <v>8277</v>
      </c>
      <c r="E1976" s="1" t="s">
        <v>3917</v>
      </c>
      <c r="F1976" s="1" t="s">
        <v>3918</v>
      </c>
      <c r="G1976" s="1" t="s">
        <v>4983</v>
      </c>
    </row>
    <row r="1977" spans="1:7" x14ac:dyDescent="0.45">
      <c r="A1977" s="1" t="s">
        <v>10863</v>
      </c>
      <c r="B1977" s="1" t="s">
        <v>10864</v>
      </c>
      <c r="C1977" s="1" t="s">
        <v>255</v>
      </c>
      <c r="D1977" s="1" t="s">
        <v>11649</v>
      </c>
      <c r="E1977" s="1" t="s">
        <v>3917</v>
      </c>
      <c r="F1977" s="1" t="s">
        <v>3918</v>
      </c>
      <c r="G1977" s="1" t="s">
        <v>4983</v>
      </c>
    </row>
    <row r="1978" spans="1:7" x14ac:dyDescent="0.45">
      <c r="A1978" s="1" t="s">
        <v>494</v>
      </c>
      <c r="B1978" s="1" t="s">
        <v>493</v>
      </c>
      <c r="C1978" s="1" t="s">
        <v>255</v>
      </c>
      <c r="D1978" s="1" t="s">
        <v>3005</v>
      </c>
      <c r="E1978" s="1" t="s">
        <v>3917</v>
      </c>
      <c r="F1978" s="1" t="s">
        <v>3918</v>
      </c>
      <c r="G1978" s="1" t="s">
        <v>4983</v>
      </c>
    </row>
    <row r="1979" spans="1:7" x14ac:dyDescent="0.45">
      <c r="A1979" s="1" t="s">
        <v>10865</v>
      </c>
      <c r="B1979" s="1" t="s">
        <v>10866</v>
      </c>
      <c r="C1979" s="1" t="s">
        <v>255</v>
      </c>
      <c r="D1979" s="1" t="s">
        <v>11650</v>
      </c>
      <c r="E1979" s="1" t="s">
        <v>3917</v>
      </c>
      <c r="F1979" s="1" t="s">
        <v>3918</v>
      </c>
      <c r="G1979" s="1" t="s">
        <v>4983</v>
      </c>
    </row>
    <row r="1980" spans="1:7" x14ac:dyDescent="0.45">
      <c r="A1980" s="1" t="s">
        <v>4427</v>
      </c>
      <c r="B1980" s="1" t="s">
        <v>4428</v>
      </c>
      <c r="C1980" s="1" t="s">
        <v>255</v>
      </c>
      <c r="D1980" s="1" t="s">
        <v>4870</v>
      </c>
      <c r="E1980" s="1" t="s">
        <v>3917</v>
      </c>
      <c r="F1980" s="1" t="s">
        <v>3918</v>
      </c>
      <c r="G1980" s="1" t="s">
        <v>4983</v>
      </c>
    </row>
    <row r="1981" spans="1:7" x14ac:dyDescent="0.45">
      <c r="A1981" s="1" t="s">
        <v>7599</v>
      </c>
      <c r="B1981" s="1" t="s">
        <v>5483</v>
      </c>
      <c r="C1981" s="1" t="s">
        <v>255</v>
      </c>
      <c r="D1981" s="1" t="s">
        <v>5484</v>
      </c>
      <c r="E1981" s="1" t="s">
        <v>3917</v>
      </c>
      <c r="F1981" s="1" t="s">
        <v>3918</v>
      </c>
      <c r="G1981" s="1" t="s">
        <v>4983</v>
      </c>
    </row>
    <row r="1982" spans="1:7" x14ac:dyDescent="0.45">
      <c r="A1982" s="1" t="s">
        <v>7600</v>
      </c>
      <c r="B1982" s="1" t="s">
        <v>7601</v>
      </c>
      <c r="C1982" s="1" t="s">
        <v>255</v>
      </c>
      <c r="D1982" s="1" t="s">
        <v>8278</v>
      </c>
      <c r="E1982" s="1" t="s">
        <v>3917</v>
      </c>
      <c r="F1982" s="1" t="s">
        <v>3918</v>
      </c>
      <c r="G1982" s="1" t="s">
        <v>4983</v>
      </c>
    </row>
    <row r="1983" spans="1:7" x14ac:dyDescent="0.45">
      <c r="A1983" s="1" t="s">
        <v>490</v>
      </c>
      <c r="B1983" s="1" t="s">
        <v>489</v>
      </c>
      <c r="C1983" s="1" t="s">
        <v>255</v>
      </c>
      <c r="D1983" s="1" t="s">
        <v>3007</v>
      </c>
      <c r="E1983" s="1" t="s">
        <v>3919</v>
      </c>
      <c r="F1983" s="1" t="s">
        <v>3918</v>
      </c>
      <c r="G1983" s="1" t="s">
        <v>4983</v>
      </c>
    </row>
    <row r="1984" spans="1:7" x14ac:dyDescent="0.45">
      <c r="A1984" s="1" t="s">
        <v>7602</v>
      </c>
      <c r="B1984" s="1" t="s">
        <v>7603</v>
      </c>
      <c r="C1984" s="1" t="s">
        <v>255</v>
      </c>
      <c r="D1984" s="1" t="s">
        <v>8279</v>
      </c>
      <c r="E1984" s="1" t="s">
        <v>3917</v>
      </c>
      <c r="F1984" s="1" t="s">
        <v>3918</v>
      </c>
      <c r="G1984" s="1" t="s">
        <v>4983</v>
      </c>
    </row>
    <row r="1985" spans="1:7" x14ac:dyDescent="0.45">
      <c r="A1985" s="1" t="s">
        <v>486</v>
      </c>
      <c r="B1985" s="1" t="s">
        <v>485</v>
      </c>
      <c r="C1985" s="1" t="s">
        <v>255</v>
      </c>
      <c r="D1985" s="1" t="s">
        <v>3008</v>
      </c>
      <c r="E1985" s="1" t="s">
        <v>3919</v>
      </c>
      <c r="F1985" s="1" t="s">
        <v>3918</v>
      </c>
      <c r="G1985" s="1" t="s">
        <v>4983</v>
      </c>
    </row>
    <row r="1986" spans="1:7" x14ac:dyDescent="0.45">
      <c r="A1986" s="1" t="s">
        <v>7604</v>
      </c>
      <c r="B1986" s="1" t="s">
        <v>7605</v>
      </c>
      <c r="C1986" s="1" t="s">
        <v>255</v>
      </c>
      <c r="D1986" s="1" t="s">
        <v>8280</v>
      </c>
      <c r="E1986" s="1" t="s">
        <v>3917</v>
      </c>
      <c r="F1986" s="1" t="s">
        <v>3918</v>
      </c>
      <c r="G1986" s="1" t="s">
        <v>4983</v>
      </c>
    </row>
    <row r="1987" spans="1:7" x14ac:dyDescent="0.45">
      <c r="A1987" s="1" t="s">
        <v>484</v>
      </c>
      <c r="B1987" s="1" t="s">
        <v>483</v>
      </c>
      <c r="C1987" s="1" t="s">
        <v>255</v>
      </c>
      <c r="D1987" s="1" t="s">
        <v>3009</v>
      </c>
      <c r="E1987" s="1" t="s">
        <v>3917</v>
      </c>
      <c r="F1987" s="1" t="s">
        <v>3918</v>
      </c>
      <c r="G1987" s="1" t="s">
        <v>4983</v>
      </c>
    </row>
    <row r="1988" spans="1:7" x14ac:dyDescent="0.45">
      <c r="A1988" s="1" t="s">
        <v>4429</v>
      </c>
      <c r="B1988" s="1" t="s">
        <v>4430</v>
      </c>
      <c r="C1988" s="1" t="s">
        <v>255</v>
      </c>
      <c r="D1988" s="1" t="s">
        <v>4871</v>
      </c>
      <c r="E1988" s="1" t="s">
        <v>3917</v>
      </c>
      <c r="F1988" s="1" t="s">
        <v>3918</v>
      </c>
      <c r="G1988" s="1" t="s">
        <v>4983</v>
      </c>
    </row>
    <row r="1989" spans="1:7" x14ac:dyDescent="0.45">
      <c r="A1989" s="1" t="s">
        <v>10867</v>
      </c>
      <c r="B1989" s="1" t="s">
        <v>5360</v>
      </c>
      <c r="C1989" s="1" t="s">
        <v>255</v>
      </c>
      <c r="D1989" s="1" t="s">
        <v>5361</v>
      </c>
      <c r="E1989" s="1" t="s">
        <v>3917</v>
      </c>
      <c r="F1989" s="1" t="s">
        <v>3918</v>
      </c>
      <c r="G1989" s="1" t="s">
        <v>4983</v>
      </c>
    </row>
    <row r="1990" spans="1:7" x14ac:dyDescent="0.45">
      <c r="A1990" s="1" t="s">
        <v>10868</v>
      </c>
      <c r="B1990" s="1" t="s">
        <v>10869</v>
      </c>
      <c r="C1990" s="1" t="s">
        <v>255</v>
      </c>
      <c r="D1990" s="1" t="s">
        <v>11651</v>
      </c>
      <c r="E1990" s="1" t="s">
        <v>3917</v>
      </c>
      <c r="F1990" s="1" t="s">
        <v>3918</v>
      </c>
      <c r="G1990" s="1" t="s">
        <v>4983</v>
      </c>
    </row>
    <row r="1991" spans="1:7" x14ac:dyDescent="0.45">
      <c r="A1991" s="1" t="s">
        <v>3709</v>
      </c>
      <c r="B1991" s="1" t="s">
        <v>3710</v>
      </c>
      <c r="C1991" s="1" t="s">
        <v>255</v>
      </c>
      <c r="D1991" s="1" t="s">
        <v>3711</v>
      </c>
      <c r="E1991" s="1" t="s">
        <v>3917</v>
      </c>
      <c r="F1991" s="1" t="s">
        <v>3918</v>
      </c>
      <c r="G1991" s="1" t="s">
        <v>4983</v>
      </c>
    </row>
    <row r="1992" spans="1:7" x14ac:dyDescent="0.45">
      <c r="A1992" s="1" t="s">
        <v>3011</v>
      </c>
      <c r="B1992" s="1" t="s">
        <v>3012</v>
      </c>
      <c r="C1992" s="1" t="s">
        <v>255</v>
      </c>
      <c r="D1992" s="1" t="s">
        <v>3013</v>
      </c>
      <c r="E1992" s="1" t="s">
        <v>3917</v>
      </c>
      <c r="F1992" s="1" t="s">
        <v>3918</v>
      </c>
      <c r="G1992" s="1" t="s">
        <v>4983</v>
      </c>
    </row>
    <row r="1993" spans="1:7" x14ac:dyDescent="0.45">
      <c r="A1993" s="1" t="s">
        <v>4433</v>
      </c>
      <c r="B1993" s="1" t="s">
        <v>4434</v>
      </c>
      <c r="C1993" s="1" t="s">
        <v>255</v>
      </c>
      <c r="D1993" s="1" t="s">
        <v>4873</v>
      </c>
      <c r="E1993" s="1" t="s">
        <v>3917</v>
      </c>
      <c r="F1993" s="1" t="s">
        <v>3918</v>
      </c>
      <c r="G1993" s="1" t="s">
        <v>4983</v>
      </c>
    </row>
    <row r="1994" spans="1:7" x14ac:dyDescent="0.45">
      <c r="A1994" s="1" t="s">
        <v>4435</v>
      </c>
      <c r="B1994" s="1" t="s">
        <v>3319</v>
      </c>
      <c r="C1994" s="1" t="s">
        <v>255</v>
      </c>
      <c r="D1994" s="1" t="s">
        <v>3320</v>
      </c>
      <c r="E1994" s="1" t="s">
        <v>3917</v>
      </c>
      <c r="F1994" s="1" t="s">
        <v>3918</v>
      </c>
      <c r="G1994" s="1" t="s">
        <v>4983</v>
      </c>
    </row>
    <row r="1995" spans="1:7" x14ac:dyDescent="0.45">
      <c r="A1995" s="1" t="s">
        <v>7606</v>
      </c>
      <c r="B1995" s="1" t="s">
        <v>7607</v>
      </c>
      <c r="C1995" s="1" t="s">
        <v>255</v>
      </c>
      <c r="D1995" s="1" t="s">
        <v>8281</v>
      </c>
      <c r="E1995" s="1" t="s">
        <v>3917</v>
      </c>
      <c r="F1995" s="1" t="s">
        <v>3918</v>
      </c>
      <c r="G1995" s="1" t="s">
        <v>4983</v>
      </c>
    </row>
    <row r="1996" spans="1:7" x14ac:dyDescent="0.45">
      <c r="A1996" s="1" t="s">
        <v>10870</v>
      </c>
      <c r="B1996" s="1" t="s">
        <v>5454</v>
      </c>
      <c r="C1996" s="1" t="s">
        <v>255</v>
      </c>
      <c r="D1996" s="1" t="s">
        <v>5455</v>
      </c>
      <c r="E1996" s="1" t="s">
        <v>3917</v>
      </c>
      <c r="F1996" s="1" t="s">
        <v>3918</v>
      </c>
      <c r="G1996" s="1" t="s">
        <v>4983</v>
      </c>
    </row>
    <row r="1997" spans="1:7" x14ac:dyDescent="0.45">
      <c r="A1997" s="1" t="s">
        <v>3014</v>
      </c>
      <c r="B1997" s="1" t="s">
        <v>3015</v>
      </c>
      <c r="C1997" s="1" t="s">
        <v>255</v>
      </c>
      <c r="D1997" s="1" t="s">
        <v>3016</v>
      </c>
      <c r="E1997" s="1" t="s">
        <v>3917</v>
      </c>
      <c r="F1997" s="1" t="s">
        <v>3918</v>
      </c>
      <c r="G1997" s="1" t="s">
        <v>4983</v>
      </c>
    </row>
    <row r="1998" spans="1:7" x14ac:dyDescent="0.45">
      <c r="A1998" s="1" t="s">
        <v>4436</v>
      </c>
      <c r="B1998" s="1" t="s">
        <v>4437</v>
      </c>
      <c r="C1998" s="1" t="s">
        <v>255</v>
      </c>
      <c r="D1998" s="1" t="s">
        <v>4874</v>
      </c>
      <c r="E1998" s="1" t="s">
        <v>3917</v>
      </c>
      <c r="F1998" s="1" t="s">
        <v>3918</v>
      </c>
      <c r="G1998" s="1" t="s">
        <v>4983</v>
      </c>
    </row>
    <row r="1999" spans="1:7" x14ac:dyDescent="0.45">
      <c r="A1999" s="1" t="s">
        <v>4438</v>
      </c>
      <c r="B1999" s="1" t="s">
        <v>4439</v>
      </c>
      <c r="C1999" s="1" t="s">
        <v>255</v>
      </c>
      <c r="D1999" s="1" t="s">
        <v>4875</v>
      </c>
      <c r="E1999" s="1" t="s">
        <v>3917</v>
      </c>
      <c r="F1999" s="1" t="s">
        <v>3918</v>
      </c>
      <c r="G1999" s="1" t="s">
        <v>4983</v>
      </c>
    </row>
    <row r="2000" spans="1:7" x14ac:dyDescent="0.45">
      <c r="A2000" s="1" t="s">
        <v>10871</v>
      </c>
      <c r="B2000" s="1" t="s">
        <v>10872</v>
      </c>
      <c r="C2000" s="1" t="s">
        <v>255</v>
      </c>
      <c r="D2000" s="1" t="s">
        <v>11652</v>
      </c>
      <c r="E2000" s="1" t="s">
        <v>3917</v>
      </c>
      <c r="F2000" s="1" t="s">
        <v>3918</v>
      </c>
      <c r="G2000" s="1" t="s">
        <v>4983</v>
      </c>
    </row>
    <row r="2001" spans="1:7" x14ac:dyDescent="0.45">
      <c r="A2001" s="1" t="s">
        <v>10873</v>
      </c>
      <c r="B2001" s="1" t="s">
        <v>10874</v>
      </c>
      <c r="C2001" s="1" t="s">
        <v>255</v>
      </c>
      <c r="D2001" s="1" t="s">
        <v>11653</v>
      </c>
      <c r="E2001" s="1" t="s">
        <v>3917</v>
      </c>
      <c r="F2001" s="1" t="s">
        <v>3918</v>
      </c>
      <c r="G2001" s="1" t="s">
        <v>4983</v>
      </c>
    </row>
    <row r="2002" spans="1:7" x14ac:dyDescent="0.45">
      <c r="A2002" s="1" t="s">
        <v>7608</v>
      </c>
      <c r="B2002" s="1" t="s">
        <v>5508</v>
      </c>
      <c r="C2002" s="1" t="s">
        <v>255</v>
      </c>
      <c r="D2002" s="1" t="s">
        <v>5509</v>
      </c>
      <c r="E2002" s="1" t="s">
        <v>3917</v>
      </c>
      <c r="F2002" s="1" t="s">
        <v>3918</v>
      </c>
      <c r="G2002" s="1" t="s">
        <v>4983</v>
      </c>
    </row>
    <row r="2003" spans="1:7" x14ac:dyDescent="0.45">
      <c r="A2003" s="1" t="s">
        <v>10875</v>
      </c>
      <c r="B2003" s="1" t="s">
        <v>10876</v>
      </c>
      <c r="C2003" s="1" t="s">
        <v>255</v>
      </c>
      <c r="D2003" s="1" t="s">
        <v>11654</v>
      </c>
      <c r="E2003" s="1" t="s">
        <v>3917</v>
      </c>
      <c r="F2003" s="1" t="s">
        <v>3918</v>
      </c>
      <c r="G2003" s="1" t="s">
        <v>4983</v>
      </c>
    </row>
    <row r="2004" spans="1:7" x14ac:dyDescent="0.45">
      <c r="A2004" s="1" t="s">
        <v>7609</v>
      </c>
      <c r="B2004" s="1" t="s">
        <v>7610</v>
      </c>
      <c r="C2004" s="1" t="s">
        <v>255</v>
      </c>
      <c r="D2004" s="1" t="s">
        <v>8282</v>
      </c>
      <c r="E2004" s="1" t="s">
        <v>3917</v>
      </c>
      <c r="F2004" s="1" t="s">
        <v>3918</v>
      </c>
      <c r="G2004" s="1" t="s">
        <v>4983</v>
      </c>
    </row>
    <row r="2005" spans="1:7" x14ac:dyDescent="0.45">
      <c r="A2005" s="1" t="s">
        <v>4440</v>
      </c>
      <c r="B2005" s="1" t="s">
        <v>4441</v>
      </c>
      <c r="C2005" s="1" t="s">
        <v>255</v>
      </c>
      <c r="D2005" s="1" t="s">
        <v>4876</v>
      </c>
      <c r="E2005" s="1" t="s">
        <v>3917</v>
      </c>
      <c r="F2005" s="1" t="s">
        <v>3918</v>
      </c>
      <c r="G2005" s="1" t="s">
        <v>4983</v>
      </c>
    </row>
    <row r="2006" spans="1:7" x14ac:dyDescent="0.45">
      <c r="A2006" s="1" t="s">
        <v>4442</v>
      </c>
      <c r="B2006" s="1" t="s">
        <v>4443</v>
      </c>
      <c r="C2006" s="1" t="s">
        <v>255</v>
      </c>
      <c r="D2006" s="1" t="s">
        <v>2463</v>
      </c>
      <c r="E2006" s="1" t="s">
        <v>3917</v>
      </c>
      <c r="F2006" s="1" t="s">
        <v>3918</v>
      </c>
      <c r="G2006" s="1" t="s">
        <v>4983</v>
      </c>
    </row>
    <row r="2007" spans="1:7" x14ac:dyDescent="0.45">
      <c r="A2007" s="1" t="s">
        <v>7611</v>
      </c>
      <c r="B2007" s="1" t="s">
        <v>7612</v>
      </c>
      <c r="C2007" s="1" t="s">
        <v>255</v>
      </c>
      <c r="D2007" s="1" t="s">
        <v>8283</v>
      </c>
      <c r="E2007" s="1" t="s">
        <v>3917</v>
      </c>
      <c r="F2007" s="1" t="s">
        <v>3918</v>
      </c>
      <c r="G2007" s="1" t="s">
        <v>4983</v>
      </c>
    </row>
    <row r="2008" spans="1:7" x14ac:dyDescent="0.45">
      <c r="A2008" s="1" t="s">
        <v>7613</v>
      </c>
      <c r="B2008" s="1" t="s">
        <v>7614</v>
      </c>
      <c r="C2008" s="1" t="s">
        <v>255</v>
      </c>
      <c r="D2008" s="1" t="s">
        <v>8284</v>
      </c>
      <c r="E2008" s="1" t="s">
        <v>3917</v>
      </c>
      <c r="F2008" s="1" t="s">
        <v>3918</v>
      </c>
      <c r="G2008" s="1" t="s">
        <v>4983</v>
      </c>
    </row>
    <row r="2009" spans="1:7" x14ac:dyDescent="0.45">
      <c r="A2009" s="1" t="s">
        <v>4444</v>
      </c>
      <c r="B2009" s="1" t="s">
        <v>3315</v>
      </c>
      <c r="C2009" s="1" t="s">
        <v>255</v>
      </c>
      <c r="D2009" s="1" t="s">
        <v>3316</v>
      </c>
      <c r="E2009" s="1" t="s">
        <v>3917</v>
      </c>
      <c r="F2009" s="1" t="s">
        <v>3918</v>
      </c>
      <c r="G2009" s="1" t="s">
        <v>4983</v>
      </c>
    </row>
    <row r="2010" spans="1:7" x14ac:dyDescent="0.45">
      <c r="A2010" s="1" t="s">
        <v>10877</v>
      </c>
      <c r="B2010" s="1" t="s">
        <v>10878</v>
      </c>
      <c r="C2010" s="1" t="s">
        <v>255</v>
      </c>
      <c r="D2010" s="1" t="s">
        <v>11655</v>
      </c>
      <c r="E2010" s="1" t="s">
        <v>3917</v>
      </c>
      <c r="F2010" s="1" t="s">
        <v>3918</v>
      </c>
      <c r="G2010" s="1" t="s">
        <v>4983</v>
      </c>
    </row>
    <row r="2011" spans="1:7" x14ac:dyDescent="0.45">
      <c r="A2011" s="1" t="s">
        <v>10879</v>
      </c>
      <c r="B2011" s="1" t="s">
        <v>10880</v>
      </c>
      <c r="C2011" s="1" t="s">
        <v>255</v>
      </c>
      <c r="D2011" s="1" t="s">
        <v>11656</v>
      </c>
      <c r="E2011" s="1" t="s">
        <v>3917</v>
      </c>
      <c r="F2011" s="1" t="s">
        <v>3918</v>
      </c>
      <c r="G2011" s="1" t="s">
        <v>4983</v>
      </c>
    </row>
    <row r="2012" spans="1:7" x14ac:dyDescent="0.45">
      <c r="A2012" s="1" t="s">
        <v>4445</v>
      </c>
      <c r="B2012" s="1" t="s">
        <v>4446</v>
      </c>
      <c r="C2012" s="1" t="s">
        <v>255</v>
      </c>
      <c r="D2012" s="1" t="s">
        <v>4877</v>
      </c>
      <c r="E2012" s="1" t="s">
        <v>3917</v>
      </c>
      <c r="F2012" s="1" t="s">
        <v>3918</v>
      </c>
      <c r="G2012" s="1" t="s">
        <v>4983</v>
      </c>
    </row>
    <row r="2013" spans="1:7" x14ac:dyDescent="0.45">
      <c r="A2013" s="1" t="s">
        <v>10881</v>
      </c>
      <c r="B2013" s="1" t="s">
        <v>10882</v>
      </c>
      <c r="C2013" s="1" t="s">
        <v>255</v>
      </c>
      <c r="D2013" s="1" t="s">
        <v>11657</v>
      </c>
      <c r="E2013" s="1" t="s">
        <v>3917</v>
      </c>
      <c r="F2013" s="1" t="s">
        <v>3918</v>
      </c>
      <c r="G2013" s="1" t="s">
        <v>4983</v>
      </c>
    </row>
    <row r="2014" spans="1:7" x14ac:dyDescent="0.45">
      <c r="A2014" s="1" t="s">
        <v>10883</v>
      </c>
      <c r="B2014" s="1" t="s">
        <v>10884</v>
      </c>
      <c r="C2014" s="1" t="s">
        <v>255</v>
      </c>
      <c r="D2014" s="1" t="s">
        <v>11658</v>
      </c>
      <c r="E2014" s="1" t="s">
        <v>3917</v>
      </c>
      <c r="F2014" s="1" t="s">
        <v>3918</v>
      </c>
      <c r="G2014" s="1" t="s">
        <v>4983</v>
      </c>
    </row>
    <row r="2015" spans="1:7" x14ac:dyDescent="0.45">
      <c r="A2015" s="1" t="s">
        <v>7615</v>
      </c>
      <c r="B2015" s="1" t="s">
        <v>5748</v>
      </c>
      <c r="C2015" s="1" t="s">
        <v>255</v>
      </c>
      <c r="D2015" s="1" t="s">
        <v>5749</v>
      </c>
      <c r="E2015" s="1" t="s">
        <v>3917</v>
      </c>
      <c r="F2015" s="1" t="s">
        <v>3918</v>
      </c>
      <c r="G2015" s="1" t="s">
        <v>4983</v>
      </c>
    </row>
    <row r="2016" spans="1:7" x14ac:dyDescent="0.45">
      <c r="A2016" s="1" t="s">
        <v>7616</v>
      </c>
      <c r="B2016" s="1" t="s">
        <v>7617</v>
      </c>
      <c r="C2016" s="1" t="s">
        <v>255</v>
      </c>
      <c r="D2016" s="1" t="s">
        <v>8285</v>
      </c>
      <c r="E2016" s="1" t="s">
        <v>3917</v>
      </c>
      <c r="F2016" s="1" t="s">
        <v>3918</v>
      </c>
      <c r="G2016" s="1" t="s">
        <v>4983</v>
      </c>
    </row>
    <row r="2017" spans="1:7" x14ac:dyDescent="0.45">
      <c r="A2017" s="1" t="s">
        <v>7618</v>
      </c>
      <c r="B2017" s="1" t="s">
        <v>7619</v>
      </c>
      <c r="C2017" s="1" t="s">
        <v>255</v>
      </c>
      <c r="D2017" s="1" t="s">
        <v>8286</v>
      </c>
      <c r="E2017" s="1" t="s">
        <v>3917</v>
      </c>
      <c r="F2017" s="1" t="s">
        <v>3918</v>
      </c>
      <c r="G2017" s="1" t="s">
        <v>4983</v>
      </c>
    </row>
    <row r="2018" spans="1:7" x14ac:dyDescent="0.45">
      <c r="A2018" s="1" t="s">
        <v>3018</v>
      </c>
      <c r="B2018" s="1" t="s">
        <v>3019</v>
      </c>
      <c r="C2018" s="1" t="s">
        <v>255</v>
      </c>
      <c r="D2018" s="1" t="s">
        <v>3020</v>
      </c>
      <c r="E2018" s="1" t="s">
        <v>3917</v>
      </c>
      <c r="F2018" s="1" t="s">
        <v>3918</v>
      </c>
      <c r="G2018" s="1" t="s">
        <v>4983</v>
      </c>
    </row>
    <row r="2019" spans="1:7" x14ac:dyDescent="0.45">
      <c r="A2019" s="1" t="s">
        <v>3715</v>
      </c>
      <c r="B2019" s="1" t="s">
        <v>3716</v>
      </c>
      <c r="C2019" s="1" t="s">
        <v>255</v>
      </c>
      <c r="D2019" s="1" t="s">
        <v>3717</v>
      </c>
      <c r="E2019" s="1" t="s">
        <v>3917</v>
      </c>
      <c r="F2019" s="1" t="s">
        <v>3918</v>
      </c>
      <c r="G2019" s="1" t="s">
        <v>4983</v>
      </c>
    </row>
    <row r="2020" spans="1:7" x14ac:dyDescent="0.45">
      <c r="A2020" s="1" t="s">
        <v>4447</v>
      </c>
      <c r="B2020" s="1" t="s">
        <v>4448</v>
      </c>
      <c r="C2020" s="1" t="s">
        <v>255</v>
      </c>
      <c r="D2020" s="1" t="s">
        <v>4878</v>
      </c>
      <c r="E2020" s="1" t="s">
        <v>3917</v>
      </c>
      <c r="F2020" s="1" t="s">
        <v>3918</v>
      </c>
      <c r="G2020" s="1" t="s">
        <v>4983</v>
      </c>
    </row>
    <row r="2021" spans="1:7" x14ac:dyDescent="0.45">
      <c r="A2021" s="1" t="s">
        <v>10885</v>
      </c>
      <c r="B2021" s="1" t="s">
        <v>10886</v>
      </c>
      <c r="C2021" s="1" t="s">
        <v>255</v>
      </c>
      <c r="D2021" s="1" t="s">
        <v>11659</v>
      </c>
      <c r="E2021" s="1" t="s">
        <v>3917</v>
      </c>
      <c r="F2021" s="1" t="s">
        <v>3918</v>
      </c>
      <c r="G2021" s="1" t="s">
        <v>4983</v>
      </c>
    </row>
    <row r="2022" spans="1:7" x14ac:dyDescent="0.45">
      <c r="A2022" s="1" t="s">
        <v>10887</v>
      </c>
      <c r="B2022" s="1" t="s">
        <v>10888</v>
      </c>
      <c r="C2022" s="1" t="s">
        <v>255</v>
      </c>
      <c r="D2022" s="1" t="s">
        <v>11660</v>
      </c>
      <c r="E2022" s="1" t="s">
        <v>3917</v>
      </c>
      <c r="F2022" s="1" t="s">
        <v>3918</v>
      </c>
      <c r="G2022" s="1" t="s">
        <v>4983</v>
      </c>
    </row>
    <row r="2023" spans="1:7" x14ac:dyDescent="0.45">
      <c r="A2023" s="1" t="s">
        <v>475</v>
      </c>
      <c r="B2023" s="1" t="s">
        <v>474</v>
      </c>
      <c r="C2023" s="1" t="s">
        <v>255</v>
      </c>
      <c r="D2023" s="1" t="s">
        <v>3021</v>
      </c>
      <c r="E2023" s="1" t="s">
        <v>3917</v>
      </c>
      <c r="F2023" s="1" t="s">
        <v>3918</v>
      </c>
      <c r="G2023" s="1" t="s">
        <v>4983</v>
      </c>
    </row>
    <row r="2024" spans="1:7" x14ac:dyDescent="0.45">
      <c r="A2024" s="1" t="s">
        <v>1779</v>
      </c>
      <c r="B2024" s="1" t="s">
        <v>1780</v>
      </c>
      <c r="C2024" s="1" t="s">
        <v>255</v>
      </c>
      <c r="D2024" s="1" t="s">
        <v>3022</v>
      </c>
      <c r="E2024" s="1" t="s">
        <v>3917</v>
      </c>
      <c r="F2024" s="1" t="s">
        <v>3918</v>
      </c>
      <c r="G2024" s="1" t="s">
        <v>4983</v>
      </c>
    </row>
    <row r="2025" spans="1:7" x14ac:dyDescent="0.45">
      <c r="A2025" s="1" t="s">
        <v>10889</v>
      </c>
      <c r="B2025" s="1" t="s">
        <v>10890</v>
      </c>
      <c r="C2025" s="1" t="s">
        <v>255</v>
      </c>
      <c r="D2025" s="1" t="s">
        <v>11661</v>
      </c>
      <c r="E2025" s="1" t="s">
        <v>3917</v>
      </c>
      <c r="F2025" s="1" t="s">
        <v>3918</v>
      </c>
      <c r="G2025" s="1" t="s">
        <v>4983</v>
      </c>
    </row>
    <row r="2026" spans="1:7" x14ac:dyDescent="0.45">
      <c r="A2026" s="1" t="s">
        <v>473</v>
      </c>
      <c r="B2026" s="1" t="s">
        <v>472</v>
      </c>
      <c r="C2026" s="1" t="s">
        <v>255</v>
      </c>
      <c r="D2026" s="1" t="s">
        <v>3026</v>
      </c>
      <c r="E2026" s="1" t="s">
        <v>3917</v>
      </c>
      <c r="F2026" s="1" t="s">
        <v>3918</v>
      </c>
      <c r="G2026" s="1" t="s">
        <v>4983</v>
      </c>
    </row>
    <row r="2027" spans="1:7" x14ac:dyDescent="0.45">
      <c r="A2027" s="1" t="s">
        <v>471</v>
      </c>
      <c r="B2027" s="1" t="s">
        <v>470</v>
      </c>
      <c r="C2027" s="1" t="s">
        <v>255</v>
      </c>
      <c r="D2027" s="1" t="s">
        <v>3027</v>
      </c>
      <c r="E2027" s="1" t="s">
        <v>3919</v>
      </c>
      <c r="F2027" s="1" t="s">
        <v>3918</v>
      </c>
      <c r="G2027" s="1" t="s">
        <v>4983</v>
      </c>
    </row>
    <row r="2028" spans="1:7" x14ac:dyDescent="0.45">
      <c r="A2028" s="1" t="s">
        <v>4449</v>
      </c>
      <c r="B2028" s="1" t="s">
        <v>2114</v>
      </c>
      <c r="C2028" s="1" t="s">
        <v>255</v>
      </c>
      <c r="D2028" s="1" t="s">
        <v>2115</v>
      </c>
      <c r="E2028" s="1" t="s">
        <v>3917</v>
      </c>
      <c r="F2028" s="1" t="s">
        <v>3918</v>
      </c>
      <c r="G2028" s="1" t="s">
        <v>4983</v>
      </c>
    </row>
    <row r="2029" spans="1:7" x14ac:dyDescent="0.45">
      <c r="A2029" s="1" t="s">
        <v>4450</v>
      </c>
      <c r="B2029" s="1" t="s">
        <v>4451</v>
      </c>
      <c r="C2029" s="1" t="s">
        <v>255</v>
      </c>
      <c r="D2029" s="1" t="s">
        <v>4879</v>
      </c>
      <c r="E2029" s="1" t="s">
        <v>3917</v>
      </c>
      <c r="F2029" s="1" t="s">
        <v>3918</v>
      </c>
      <c r="G2029" s="1" t="s">
        <v>4983</v>
      </c>
    </row>
    <row r="2030" spans="1:7" x14ac:dyDescent="0.45">
      <c r="A2030" s="1" t="s">
        <v>4452</v>
      </c>
      <c r="B2030" s="1" t="s">
        <v>3356</v>
      </c>
      <c r="C2030" s="1" t="s">
        <v>255</v>
      </c>
      <c r="D2030" s="1" t="s">
        <v>3357</v>
      </c>
      <c r="E2030" s="1" t="s">
        <v>3917</v>
      </c>
      <c r="F2030" s="1" t="s">
        <v>3918</v>
      </c>
      <c r="G2030" s="1" t="s">
        <v>4983</v>
      </c>
    </row>
    <row r="2031" spans="1:7" x14ac:dyDescent="0.45">
      <c r="A2031" s="1" t="s">
        <v>7620</v>
      </c>
      <c r="B2031" s="1" t="s">
        <v>7621</v>
      </c>
      <c r="C2031" s="1" t="s">
        <v>255</v>
      </c>
      <c r="D2031" s="1" t="s">
        <v>8287</v>
      </c>
      <c r="E2031" s="1" t="s">
        <v>3917</v>
      </c>
      <c r="F2031" s="1" t="s">
        <v>3918</v>
      </c>
      <c r="G2031" s="1" t="s">
        <v>4983</v>
      </c>
    </row>
    <row r="2032" spans="1:7" x14ac:dyDescent="0.45">
      <c r="A2032" s="1" t="s">
        <v>10891</v>
      </c>
      <c r="B2032" s="1" t="s">
        <v>10892</v>
      </c>
      <c r="C2032" s="1" t="s">
        <v>255</v>
      </c>
      <c r="D2032" s="1" t="s">
        <v>11662</v>
      </c>
      <c r="E2032" s="1" t="s">
        <v>3917</v>
      </c>
      <c r="F2032" s="1" t="s">
        <v>3918</v>
      </c>
      <c r="G2032" s="1" t="s">
        <v>4983</v>
      </c>
    </row>
    <row r="2033" spans="1:7" x14ac:dyDescent="0.45">
      <c r="A2033" s="1" t="s">
        <v>10893</v>
      </c>
      <c r="B2033" s="1" t="s">
        <v>6190</v>
      </c>
      <c r="C2033" s="1" t="s">
        <v>255</v>
      </c>
      <c r="D2033" s="1" t="s">
        <v>11663</v>
      </c>
      <c r="E2033" s="1" t="s">
        <v>3917</v>
      </c>
      <c r="F2033" s="1" t="s">
        <v>3918</v>
      </c>
      <c r="G2033" s="1" t="s">
        <v>4983</v>
      </c>
    </row>
    <row r="2034" spans="1:7" x14ac:dyDescent="0.45">
      <c r="A2034" s="1" t="s">
        <v>7622</v>
      </c>
      <c r="B2034" s="1" t="s">
        <v>7623</v>
      </c>
      <c r="C2034" s="1" t="s">
        <v>255</v>
      </c>
      <c r="D2034" s="1" t="s">
        <v>8288</v>
      </c>
      <c r="E2034" s="1" t="s">
        <v>3917</v>
      </c>
      <c r="F2034" s="1" t="s">
        <v>3918</v>
      </c>
      <c r="G2034" s="1" t="s">
        <v>4983</v>
      </c>
    </row>
    <row r="2035" spans="1:7" x14ac:dyDescent="0.45">
      <c r="A2035" s="1" t="s">
        <v>7624</v>
      </c>
      <c r="B2035" s="1" t="s">
        <v>7625</v>
      </c>
      <c r="C2035" s="1" t="s">
        <v>255</v>
      </c>
      <c r="D2035" s="1" t="s">
        <v>8289</v>
      </c>
      <c r="E2035" s="1" t="s">
        <v>3917</v>
      </c>
      <c r="F2035" s="1" t="s">
        <v>3918</v>
      </c>
      <c r="G2035" s="1" t="s">
        <v>4983</v>
      </c>
    </row>
    <row r="2036" spans="1:7" x14ac:dyDescent="0.45">
      <c r="A2036" s="1" t="s">
        <v>10894</v>
      </c>
      <c r="B2036" s="1" t="s">
        <v>10895</v>
      </c>
      <c r="C2036" s="1" t="s">
        <v>255</v>
      </c>
      <c r="D2036" s="1" t="s">
        <v>11664</v>
      </c>
      <c r="E2036" s="1" t="s">
        <v>3917</v>
      </c>
      <c r="F2036" s="1" t="s">
        <v>3918</v>
      </c>
      <c r="G2036" s="1" t="s">
        <v>4983</v>
      </c>
    </row>
    <row r="2037" spans="1:7" x14ac:dyDescent="0.45">
      <c r="A2037" s="1" t="s">
        <v>10896</v>
      </c>
      <c r="B2037" s="1" t="s">
        <v>10897</v>
      </c>
      <c r="C2037" s="1" t="s">
        <v>255</v>
      </c>
      <c r="D2037" s="1" t="s">
        <v>11665</v>
      </c>
      <c r="E2037" s="1" t="s">
        <v>3917</v>
      </c>
      <c r="F2037" s="1" t="s">
        <v>3918</v>
      </c>
      <c r="G2037" s="1" t="s">
        <v>4983</v>
      </c>
    </row>
    <row r="2038" spans="1:7" x14ac:dyDescent="0.45">
      <c r="A2038" s="1" t="s">
        <v>7626</v>
      </c>
      <c r="B2038" s="1" t="s">
        <v>7627</v>
      </c>
      <c r="C2038" s="1" t="s">
        <v>255</v>
      </c>
      <c r="D2038" s="1" t="s">
        <v>8290</v>
      </c>
      <c r="E2038" s="1" t="s">
        <v>3917</v>
      </c>
      <c r="F2038" s="1" t="s">
        <v>3918</v>
      </c>
      <c r="G2038" s="1" t="s">
        <v>4983</v>
      </c>
    </row>
    <row r="2039" spans="1:7" x14ac:dyDescent="0.45">
      <c r="A2039" s="1" t="s">
        <v>10898</v>
      </c>
      <c r="B2039" s="1" t="s">
        <v>6556</v>
      </c>
      <c r="C2039" s="1" t="s">
        <v>255</v>
      </c>
      <c r="D2039" s="1" t="s">
        <v>6557</v>
      </c>
      <c r="E2039" s="1" t="s">
        <v>3917</v>
      </c>
      <c r="F2039" s="1" t="s">
        <v>3918</v>
      </c>
      <c r="G2039" s="1" t="s">
        <v>4983</v>
      </c>
    </row>
    <row r="2040" spans="1:7" x14ac:dyDescent="0.45">
      <c r="A2040" s="1" t="s">
        <v>7628</v>
      </c>
      <c r="B2040" s="1" t="s">
        <v>7629</v>
      </c>
      <c r="C2040" s="1" t="s">
        <v>255</v>
      </c>
      <c r="D2040" s="1" t="s">
        <v>8291</v>
      </c>
      <c r="E2040" s="1" t="s">
        <v>3917</v>
      </c>
      <c r="F2040" s="1" t="s">
        <v>3918</v>
      </c>
      <c r="G2040" s="1" t="s">
        <v>4983</v>
      </c>
    </row>
    <row r="2041" spans="1:7" x14ac:dyDescent="0.45">
      <c r="A2041" s="1" t="s">
        <v>469</v>
      </c>
      <c r="B2041" s="1" t="s">
        <v>468</v>
      </c>
      <c r="C2041" s="1" t="s">
        <v>255</v>
      </c>
      <c r="D2041" s="1" t="s">
        <v>3028</v>
      </c>
      <c r="E2041" s="1" t="s">
        <v>3917</v>
      </c>
      <c r="F2041" s="1" t="s">
        <v>3918</v>
      </c>
      <c r="G2041" s="1" t="s">
        <v>4983</v>
      </c>
    </row>
    <row r="2042" spans="1:7" x14ac:dyDescent="0.45">
      <c r="A2042" s="1" t="s">
        <v>467</v>
      </c>
      <c r="B2042" s="1" t="s">
        <v>466</v>
      </c>
      <c r="C2042" s="1" t="s">
        <v>255</v>
      </c>
      <c r="D2042" s="1" t="s">
        <v>3029</v>
      </c>
      <c r="E2042" s="1" t="s">
        <v>3917</v>
      </c>
      <c r="F2042" s="1" t="s">
        <v>3918</v>
      </c>
      <c r="G2042" s="1" t="s">
        <v>4983</v>
      </c>
    </row>
    <row r="2043" spans="1:7" x14ac:dyDescent="0.45">
      <c r="A2043" s="1" t="s">
        <v>4453</v>
      </c>
      <c r="B2043" s="1" t="s">
        <v>4454</v>
      </c>
      <c r="C2043" s="1" t="s">
        <v>255</v>
      </c>
      <c r="D2043" s="1" t="s">
        <v>4880</v>
      </c>
      <c r="E2043" s="1" t="s">
        <v>3917</v>
      </c>
      <c r="F2043" s="1" t="s">
        <v>3918</v>
      </c>
      <c r="G2043" s="1" t="s">
        <v>4983</v>
      </c>
    </row>
    <row r="2044" spans="1:7" x14ac:dyDescent="0.45">
      <c r="A2044" s="1" t="s">
        <v>7630</v>
      </c>
      <c r="B2044" s="1" t="s">
        <v>5744</v>
      </c>
      <c r="C2044" s="1" t="s">
        <v>255</v>
      </c>
      <c r="D2044" s="1" t="s">
        <v>5745</v>
      </c>
      <c r="E2044" s="1" t="s">
        <v>3917</v>
      </c>
      <c r="F2044" s="1" t="s">
        <v>3918</v>
      </c>
      <c r="G2044" s="1" t="s">
        <v>4983</v>
      </c>
    </row>
    <row r="2045" spans="1:7" x14ac:dyDescent="0.45">
      <c r="A2045" s="1" t="s">
        <v>7631</v>
      </c>
      <c r="B2045" s="1" t="s">
        <v>5308</v>
      </c>
      <c r="C2045" s="1" t="s">
        <v>255</v>
      </c>
      <c r="D2045" s="1" t="s">
        <v>5309</v>
      </c>
      <c r="E2045" s="1" t="s">
        <v>3917</v>
      </c>
      <c r="F2045" s="1" t="s">
        <v>3918</v>
      </c>
      <c r="G2045" s="1" t="s">
        <v>4983</v>
      </c>
    </row>
    <row r="2046" spans="1:7" x14ac:dyDescent="0.45">
      <c r="A2046" s="1" t="s">
        <v>3718</v>
      </c>
      <c r="B2046" s="1" t="s">
        <v>3719</v>
      </c>
      <c r="C2046" s="1" t="s">
        <v>255</v>
      </c>
      <c r="D2046" s="1" t="s">
        <v>3720</v>
      </c>
      <c r="E2046" s="1" t="s">
        <v>3917</v>
      </c>
      <c r="F2046" s="1" t="s">
        <v>3918</v>
      </c>
      <c r="G2046" s="1" t="s">
        <v>4983</v>
      </c>
    </row>
    <row r="2047" spans="1:7" x14ac:dyDescent="0.45">
      <c r="A2047" s="1" t="s">
        <v>7632</v>
      </c>
      <c r="B2047" s="1" t="s">
        <v>7633</v>
      </c>
      <c r="C2047" s="1" t="s">
        <v>255</v>
      </c>
      <c r="D2047" s="1" t="s">
        <v>8292</v>
      </c>
      <c r="E2047" s="1" t="s">
        <v>3917</v>
      </c>
      <c r="F2047" s="1" t="s">
        <v>3918</v>
      </c>
      <c r="G2047" s="1" t="s">
        <v>4983</v>
      </c>
    </row>
    <row r="2048" spans="1:7" x14ac:dyDescent="0.45">
      <c r="A2048" s="1" t="s">
        <v>10899</v>
      </c>
      <c r="B2048" s="1" t="s">
        <v>5278</v>
      </c>
      <c r="C2048" s="1" t="s">
        <v>255</v>
      </c>
      <c r="D2048" s="1" t="s">
        <v>5279</v>
      </c>
      <c r="E2048" s="1" t="s">
        <v>3917</v>
      </c>
      <c r="F2048" s="1" t="s">
        <v>3918</v>
      </c>
      <c r="G2048" s="1" t="s">
        <v>4983</v>
      </c>
    </row>
    <row r="2049" spans="1:7" x14ac:dyDescent="0.45">
      <c r="A2049" s="1" t="s">
        <v>7634</v>
      </c>
      <c r="B2049" s="1" t="s">
        <v>5575</v>
      </c>
      <c r="C2049" s="1" t="s">
        <v>255</v>
      </c>
      <c r="D2049" s="1" t="s">
        <v>5576</v>
      </c>
      <c r="E2049" s="1" t="s">
        <v>3917</v>
      </c>
      <c r="F2049" s="1" t="s">
        <v>3918</v>
      </c>
      <c r="G2049" s="1" t="s">
        <v>4983</v>
      </c>
    </row>
    <row r="2050" spans="1:7" x14ac:dyDescent="0.45">
      <c r="A2050" s="1" t="s">
        <v>10900</v>
      </c>
      <c r="B2050" s="1" t="s">
        <v>5925</v>
      </c>
      <c r="C2050" s="1" t="s">
        <v>255</v>
      </c>
      <c r="D2050" s="1" t="s">
        <v>5926</v>
      </c>
      <c r="E2050" s="1" t="s">
        <v>3917</v>
      </c>
      <c r="F2050" s="1" t="s">
        <v>3918</v>
      </c>
      <c r="G2050" s="1" t="s">
        <v>4983</v>
      </c>
    </row>
    <row r="2051" spans="1:7" x14ac:dyDescent="0.45">
      <c r="A2051" s="1" t="s">
        <v>10901</v>
      </c>
      <c r="B2051" s="1" t="s">
        <v>10902</v>
      </c>
      <c r="C2051" s="1" t="s">
        <v>255</v>
      </c>
      <c r="D2051" s="1" t="s">
        <v>11666</v>
      </c>
      <c r="E2051" s="1" t="s">
        <v>3917</v>
      </c>
      <c r="F2051" s="1" t="s">
        <v>3918</v>
      </c>
      <c r="G2051" s="1" t="s">
        <v>4983</v>
      </c>
    </row>
    <row r="2052" spans="1:7" x14ac:dyDescent="0.45">
      <c r="A2052" s="1" t="s">
        <v>10903</v>
      </c>
      <c r="B2052" s="1" t="s">
        <v>10904</v>
      </c>
      <c r="C2052" s="1" t="s">
        <v>255</v>
      </c>
      <c r="D2052" s="1" t="s">
        <v>11667</v>
      </c>
      <c r="E2052" s="1" t="s">
        <v>3917</v>
      </c>
      <c r="F2052" s="1" t="s">
        <v>3918</v>
      </c>
      <c r="G2052" s="1" t="s">
        <v>4983</v>
      </c>
    </row>
    <row r="2053" spans="1:7" x14ac:dyDescent="0.45">
      <c r="A2053" s="1" t="s">
        <v>4455</v>
      </c>
      <c r="B2053" s="1" t="s">
        <v>4456</v>
      </c>
      <c r="C2053" s="1" t="s">
        <v>255</v>
      </c>
      <c r="D2053" s="1" t="s">
        <v>4881</v>
      </c>
      <c r="E2053" s="1" t="s">
        <v>3917</v>
      </c>
      <c r="F2053" s="1" t="s">
        <v>3918</v>
      </c>
      <c r="G2053" s="1" t="s">
        <v>4983</v>
      </c>
    </row>
    <row r="2054" spans="1:7" x14ac:dyDescent="0.45">
      <c r="A2054" s="1" t="s">
        <v>4457</v>
      </c>
      <c r="B2054" s="1" t="s">
        <v>4458</v>
      </c>
      <c r="C2054" s="1" t="s">
        <v>255</v>
      </c>
      <c r="D2054" s="1" t="s">
        <v>3030</v>
      </c>
      <c r="E2054" s="1" t="s">
        <v>3917</v>
      </c>
      <c r="F2054" s="1" t="s">
        <v>3918</v>
      </c>
      <c r="G2054" s="1" t="s">
        <v>4983</v>
      </c>
    </row>
    <row r="2055" spans="1:7" x14ac:dyDescent="0.45">
      <c r="A2055" s="1" t="s">
        <v>10905</v>
      </c>
      <c r="B2055" s="1" t="s">
        <v>10906</v>
      </c>
      <c r="C2055" s="1" t="s">
        <v>255</v>
      </c>
      <c r="D2055" s="1" t="s">
        <v>11668</v>
      </c>
      <c r="E2055" s="1" t="s">
        <v>3917</v>
      </c>
      <c r="F2055" s="1" t="s">
        <v>3918</v>
      </c>
      <c r="G2055" s="1" t="s">
        <v>4983</v>
      </c>
    </row>
    <row r="2056" spans="1:7" x14ac:dyDescent="0.45">
      <c r="A2056" s="1" t="s">
        <v>3031</v>
      </c>
      <c r="B2056" s="1" t="s">
        <v>3032</v>
      </c>
      <c r="C2056" s="1" t="s">
        <v>255</v>
      </c>
      <c r="D2056" s="1" t="s">
        <v>3033</v>
      </c>
      <c r="E2056" s="1" t="s">
        <v>3917</v>
      </c>
      <c r="F2056" s="1" t="s">
        <v>3918</v>
      </c>
      <c r="G2056" s="1" t="s">
        <v>4983</v>
      </c>
    </row>
    <row r="2057" spans="1:7" x14ac:dyDescent="0.45">
      <c r="A2057" s="1" t="s">
        <v>7635</v>
      </c>
      <c r="B2057" s="1" t="s">
        <v>7636</v>
      </c>
      <c r="C2057" s="1" t="s">
        <v>255</v>
      </c>
      <c r="D2057" s="1" t="s">
        <v>8293</v>
      </c>
      <c r="E2057" s="1" t="s">
        <v>3917</v>
      </c>
      <c r="F2057" s="1" t="s">
        <v>3918</v>
      </c>
      <c r="G2057" s="1" t="s">
        <v>4983</v>
      </c>
    </row>
    <row r="2058" spans="1:7" x14ac:dyDescent="0.45">
      <c r="A2058" s="1" t="s">
        <v>10907</v>
      </c>
      <c r="B2058" s="1" t="s">
        <v>10908</v>
      </c>
      <c r="C2058" s="1" t="s">
        <v>255</v>
      </c>
      <c r="D2058" s="1" t="s">
        <v>11669</v>
      </c>
      <c r="E2058" s="1" t="s">
        <v>3917</v>
      </c>
      <c r="F2058" s="1" t="s">
        <v>3918</v>
      </c>
      <c r="G2058" s="1" t="s">
        <v>4983</v>
      </c>
    </row>
    <row r="2059" spans="1:7" x14ac:dyDescent="0.45">
      <c r="A2059" s="1" t="s">
        <v>7637</v>
      </c>
      <c r="B2059" s="1" t="s">
        <v>7638</v>
      </c>
      <c r="C2059" s="1" t="s">
        <v>255</v>
      </c>
      <c r="D2059" s="1" t="s">
        <v>8294</v>
      </c>
      <c r="E2059" s="1" t="s">
        <v>3917</v>
      </c>
      <c r="F2059" s="1" t="s">
        <v>3918</v>
      </c>
      <c r="G2059" s="1" t="s">
        <v>4983</v>
      </c>
    </row>
    <row r="2060" spans="1:7" x14ac:dyDescent="0.45">
      <c r="A2060" s="1" t="s">
        <v>7639</v>
      </c>
      <c r="B2060" s="1" t="s">
        <v>7640</v>
      </c>
      <c r="C2060" s="1" t="s">
        <v>255</v>
      </c>
      <c r="D2060" s="1" t="s">
        <v>8295</v>
      </c>
      <c r="E2060" s="1" t="s">
        <v>3917</v>
      </c>
      <c r="F2060" s="1" t="s">
        <v>3918</v>
      </c>
      <c r="G2060" s="1" t="s">
        <v>4983</v>
      </c>
    </row>
    <row r="2061" spans="1:7" x14ac:dyDescent="0.45">
      <c r="A2061" s="1" t="s">
        <v>4459</v>
      </c>
      <c r="B2061" s="1" t="s">
        <v>4460</v>
      </c>
      <c r="C2061" s="1" t="s">
        <v>255</v>
      </c>
      <c r="D2061" s="1" t="s">
        <v>4882</v>
      </c>
      <c r="E2061" s="1" t="s">
        <v>3917</v>
      </c>
      <c r="F2061" s="1" t="s">
        <v>3918</v>
      </c>
      <c r="G2061" s="1" t="s">
        <v>4983</v>
      </c>
    </row>
    <row r="2062" spans="1:7" x14ac:dyDescent="0.45">
      <c r="A2062" s="1" t="s">
        <v>4461</v>
      </c>
      <c r="B2062" s="1" t="s">
        <v>3352</v>
      </c>
      <c r="C2062" s="1" t="s">
        <v>255</v>
      </c>
      <c r="D2062" s="1" t="s">
        <v>3353</v>
      </c>
      <c r="E2062" s="1" t="s">
        <v>3917</v>
      </c>
      <c r="F2062" s="1" t="s">
        <v>3918</v>
      </c>
      <c r="G2062" s="1" t="s">
        <v>4983</v>
      </c>
    </row>
    <row r="2063" spans="1:7" x14ac:dyDescent="0.45">
      <c r="A2063" s="1" t="s">
        <v>3035</v>
      </c>
      <c r="B2063" s="1" t="s">
        <v>3036</v>
      </c>
      <c r="C2063" s="1" t="s">
        <v>255</v>
      </c>
      <c r="D2063" s="1" t="s">
        <v>3037</v>
      </c>
      <c r="E2063" s="1" t="s">
        <v>3917</v>
      </c>
      <c r="F2063" s="1" t="s">
        <v>3918</v>
      </c>
      <c r="G2063" s="1" t="s">
        <v>4983</v>
      </c>
    </row>
    <row r="2064" spans="1:7" x14ac:dyDescent="0.45">
      <c r="A2064" s="1" t="s">
        <v>1783</v>
      </c>
      <c r="B2064" s="1" t="s">
        <v>1784</v>
      </c>
      <c r="C2064" s="1" t="s">
        <v>255</v>
      </c>
      <c r="D2064" s="1" t="s">
        <v>3038</v>
      </c>
      <c r="E2064" s="1" t="s">
        <v>3917</v>
      </c>
      <c r="F2064" s="1" t="s">
        <v>3918</v>
      </c>
      <c r="G2064" s="1" t="s">
        <v>4983</v>
      </c>
    </row>
    <row r="2065" spans="1:7" x14ac:dyDescent="0.45">
      <c r="A2065" s="1" t="s">
        <v>10909</v>
      </c>
      <c r="B2065" s="1" t="s">
        <v>10910</v>
      </c>
      <c r="C2065" s="1" t="s">
        <v>255</v>
      </c>
      <c r="D2065" s="1" t="s">
        <v>11670</v>
      </c>
      <c r="E2065" s="1" t="s">
        <v>3917</v>
      </c>
      <c r="F2065" s="1" t="s">
        <v>3918</v>
      </c>
      <c r="G2065" s="1" t="s">
        <v>4983</v>
      </c>
    </row>
    <row r="2066" spans="1:7" x14ac:dyDescent="0.45">
      <c r="A2066" s="1" t="s">
        <v>463</v>
      </c>
      <c r="B2066" s="1" t="s">
        <v>462</v>
      </c>
      <c r="C2066" s="1" t="s">
        <v>255</v>
      </c>
      <c r="D2066" s="1" t="s">
        <v>3039</v>
      </c>
      <c r="E2066" s="1" t="s">
        <v>3917</v>
      </c>
      <c r="F2066" s="1" t="s">
        <v>3918</v>
      </c>
      <c r="G2066" s="1" t="s">
        <v>4983</v>
      </c>
    </row>
    <row r="2067" spans="1:7" x14ac:dyDescent="0.45">
      <c r="A2067" s="1" t="s">
        <v>10911</v>
      </c>
      <c r="B2067" s="1" t="s">
        <v>10912</v>
      </c>
      <c r="C2067" s="1" t="s">
        <v>255</v>
      </c>
      <c r="D2067" s="1" t="s">
        <v>11671</v>
      </c>
      <c r="E2067" s="1" t="s">
        <v>3917</v>
      </c>
      <c r="F2067" s="1" t="s">
        <v>3918</v>
      </c>
      <c r="G2067" s="1" t="s">
        <v>4983</v>
      </c>
    </row>
    <row r="2068" spans="1:7" x14ac:dyDescent="0.45">
      <c r="A2068" s="1" t="s">
        <v>10913</v>
      </c>
      <c r="B2068" s="1" t="s">
        <v>10914</v>
      </c>
      <c r="C2068" s="1" t="s">
        <v>255</v>
      </c>
      <c r="D2068" s="1" t="s">
        <v>5528</v>
      </c>
      <c r="E2068" s="1" t="s">
        <v>3917</v>
      </c>
      <c r="F2068" s="1" t="s">
        <v>3918</v>
      </c>
      <c r="G2068" s="1" t="s">
        <v>4983</v>
      </c>
    </row>
    <row r="2069" spans="1:7" x14ac:dyDescent="0.45">
      <c r="A2069" s="1" t="s">
        <v>3040</v>
      </c>
      <c r="B2069" s="1" t="s">
        <v>3041</v>
      </c>
      <c r="C2069" s="1" t="s">
        <v>255</v>
      </c>
      <c r="D2069" s="1" t="s">
        <v>3042</v>
      </c>
      <c r="E2069" s="1" t="s">
        <v>3917</v>
      </c>
      <c r="F2069" s="1" t="s">
        <v>3918</v>
      </c>
      <c r="G2069" s="1" t="s">
        <v>4983</v>
      </c>
    </row>
    <row r="2070" spans="1:7" x14ac:dyDescent="0.45">
      <c r="A2070" s="1" t="s">
        <v>3721</v>
      </c>
      <c r="B2070" s="1" t="s">
        <v>3722</v>
      </c>
      <c r="C2070" s="1" t="s">
        <v>255</v>
      </c>
      <c r="D2070" s="1" t="s">
        <v>3723</v>
      </c>
      <c r="E2070" s="1" t="s">
        <v>3917</v>
      </c>
      <c r="F2070" s="1" t="s">
        <v>3918</v>
      </c>
      <c r="G2070" s="1" t="s">
        <v>4983</v>
      </c>
    </row>
    <row r="2071" spans="1:7" x14ac:dyDescent="0.45">
      <c r="A2071" s="1" t="s">
        <v>3724</v>
      </c>
      <c r="B2071" s="1" t="s">
        <v>3725</v>
      </c>
      <c r="C2071" s="1" t="s">
        <v>255</v>
      </c>
      <c r="D2071" s="1" t="s">
        <v>3726</v>
      </c>
      <c r="E2071" s="1" t="s">
        <v>3917</v>
      </c>
      <c r="F2071" s="1" t="s">
        <v>3918</v>
      </c>
      <c r="G2071" s="1" t="s">
        <v>4983</v>
      </c>
    </row>
    <row r="2072" spans="1:7" x14ac:dyDescent="0.45">
      <c r="A2072" s="1" t="s">
        <v>10915</v>
      </c>
      <c r="B2072" s="1" t="s">
        <v>10916</v>
      </c>
      <c r="C2072" s="1" t="s">
        <v>255</v>
      </c>
      <c r="D2072" s="1" t="s">
        <v>11672</v>
      </c>
      <c r="E2072" s="1" t="s">
        <v>3917</v>
      </c>
      <c r="F2072" s="1" t="s">
        <v>3918</v>
      </c>
      <c r="G2072" s="1" t="s">
        <v>4983</v>
      </c>
    </row>
    <row r="2073" spans="1:7" x14ac:dyDescent="0.45">
      <c r="A2073" s="1" t="s">
        <v>7641</v>
      </c>
      <c r="B2073" s="1" t="s">
        <v>7642</v>
      </c>
      <c r="C2073" s="1" t="s">
        <v>255</v>
      </c>
      <c r="D2073" s="1" t="s">
        <v>8296</v>
      </c>
      <c r="E2073" s="1" t="s">
        <v>3917</v>
      </c>
      <c r="F2073" s="1" t="s">
        <v>3918</v>
      </c>
      <c r="G2073" s="1" t="s">
        <v>4983</v>
      </c>
    </row>
    <row r="2074" spans="1:7" x14ac:dyDescent="0.45">
      <c r="A2074" s="1" t="s">
        <v>3727</v>
      </c>
      <c r="B2074" s="1" t="s">
        <v>3728</v>
      </c>
      <c r="C2074" s="1" t="s">
        <v>255</v>
      </c>
      <c r="D2074" s="1" t="s">
        <v>3729</v>
      </c>
      <c r="E2074" s="1" t="s">
        <v>3917</v>
      </c>
      <c r="F2074" s="1" t="s">
        <v>3918</v>
      </c>
      <c r="G2074" s="1" t="s">
        <v>4983</v>
      </c>
    </row>
    <row r="2075" spans="1:7" x14ac:dyDescent="0.45">
      <c r="A2075" s="1" t="s">
        <v>461</v>
      </c>
      <c r="B2075" s="1" t="s">
        <v>460</v>
      </c>
      <c r="C2075" s="1" t="s">
        <v>255</v>
      </c>
      <c r="D2075" s="1" t="s">
        <v>3046</v>
      </c>
      <c r="E2075" s="1" t="s">
        <v>3917</v>
      </c>
      <c r="F2075" s="1" t="s">
        <v>3918</v>
      </c>
      <c r="G2075" s="1" t="s">
        <v>4983</v>
      </c>
    </row>
    <row r="2076" spans="1:7" x14ac:dyDescent="0.45">
      <c r="A2076" s="1" t="s">
        <v>10917</v>
      </c>
      <c r="B2076" s="1" t="s">
        <v>459</v>
      </c>
      <c r="C2076" s="1" t="s">
        <v>255</v>
      </c>
      <c r="D2076" s="1" t="s">
        <v>3047</v>
      </c>
      <c r="E2076" s="1" t="s">
        <v>3917</v>
      </c>
      <c r="F2076" s="1" t="s">
        <v>3918</v>
      </c>
      <c r="G2076" s="1" t="s">
        <v>4983</v>
      </c>
    </row>
    <row r="2077" spans="1:7" x14ac:dyDescent="0.45">
      <c r="A2077" s="1" t="s">
        <v>10918</v>
      </c>
      <c r="B2077" s="1" t="s">
        <v>10919</v>
      </c>
      <c r="C2077" s="1" t="s">
        <v>255</v>
      </c>
      <c r="D2077" s="1" t="s">
        <v>11673</v>
      </c>
      <c r="E2077" s="1" t="s">
        <v>3917</v>
      </c>
      <c r="F2077" s="1" t="s">
        <v>3918</v>
      </c>
      <c r="G2077" s="1" t="s">
        <v>4983</v>
      </c>
    </row>
    <row r="2078" spans="1:7" x14ac:dyDescent="0.45">
      <c r="A2078" s="1" t="s">
        <v>10920</v>
      </c>
      <c r="B2078" s="1" t="s">
        <v>10921</v>
      </c>
      <c r="C2078" s="1" t="s">
        <v>255</v>
      </c>
      <c r="D2078" s="1" t="s">
        <v>11674</v>
      </c>
      <c r="E2078" s="1" t="s">
        <v>3917</v>
      </c>
      <c r="F2078" s="1" t="s">
        <v>3918</v>
      </c>
      <c r="G2078" s="1" t="s">
        <v>4983</v>
      </c>
    </row>
    <row r="2079" spans="1:7" x14ac:dyDescent="0.45">
      <c r="A2079" s="1" t="s">
        <v>7643</v>
      </c>
      <c r="B2079" s="1" t="s">
        <v>7644</v>
      </c>
      <c r="C2079" s="1" t="s">
        <v>255</v>
      </c>
      <c r="D2079" s="1" t="s">
        <v>8297</v>
      </c>
      <c r="E2079" s="1" t="s">
        <v>3917</v>
      </c>
      <c r="F2079" s="1" t="s">
        <v>3918</v>
      </c>
      <c r="G2079" s="1" t="s">
        <v>4983</v>
      </c>
    </row>
    <row r="2080" spans="1:7" x14ac:dyDescent="0.45">
      <c r="A2080" s="1" t="s">
        <v>4464</v>
      </c>
      <c r="B2080" s="1" t="s">
        <v>4465</v>
      </c>
      <c r="C2080" s="1" t="s">
        <v>255</v>
      </c>
      <c r="D2080" s="1" t="s">
        <v>4884</v>
      </c>
      <c r="E2080" s="1" t="s">
        <v>3917</v>
      </c>
      <c r="F2080" s="1" t="s">
        <v>3918</v>
      </c>
      <c r="G2080" s="1" t="s">
        <v>4983</v>
      </c>
    </row>
    <row r="2081" spans="1:7" x14ac:dyDescent="0.45">
      <c r="A2081" s="1" t="s">
        <v>10922</v>
      </c>
      <c r="B2081" s="1" t="s">
        <v>10923</v>
      </c>
      <c r="C2081" s="1" t="s">
        <v>255</v>
      </c>
      <c r="D2081" s="1" t="s">
        <v>11675</v>
      </c>
      <c r="E2081" s="1" t="s">
        <v>3917</v>
      </c>
      <c r="F2081" s="1" t="s">
        <v>3918</v>
      </c>
      <c r="G2081" s="1" t="s">
        <v>4983</v>
      </c>
    </row>
    <row r="2082" spans="1:7" x14ac:dyDescent="0.45">
      <c r="A2082" s="1" t="s">
        <v>458</v>
      </c>
      <c r="B2082" s="1" t="s">
        <v>457</v>
      </c>
      <c r="C2082" s="1" t="s">
        <v>255</v>
      </c>
      <c r="D2082" s="1" t="s">
        <v>3048</v>
      </c>
      <c r="E2082" s="1" t="s">
        <v>3917</v>
      </c>
      <c r="F2082" s="1" t="s">
        <v>3918</v>
      </c>
      <c r="G2082" s="1" t="s">
        <v>4983</v>
      </c>
    </row>
    <row r="2083" spans="1:7" x14ac:dyDescent="0.45">
      <c r="A2083" s="1" t="s">
        <v>3049</v>
      </c>
      <c r="B2083" s="1" t="s">
        <v>3730</v>
      </c>
      <c r="C2083" s="1" t="s">
        <v>255</v>
      </c>
      <c r="D2083" s="1" t="s">
        <v>3050</v>
      </c>
      <c r="E2083" s="1" t="s">
        <v>3917</v>
      </c>
      <c r="F2083" s="1" t="s">
        <v>3918</v>
      </c>
      <c r="G2083" s="1" t="s">
        <v>4983</v>
      </c>
    </row>
    <row r="2084" spans="1:7" x14ac:dyDescent="0.45">
      <c r="A2084" s="1" t="s">
        <v>1785</v>
      </c>
      <c r="B2084" s="1" t="s">
        <v>232</v>
      </c>
      <c r="C2084" s="1" t="s">
        <v>255</v>
      </c>
      <c r="D2084" s="1" t="s">
        <v>3051</v>
      </c>
      <c r="E2084" s="1" t="s">
        <v>3917</v>
      </c>
      <c r="F2084" s="1" t="s">
        <v>3918</v>
      </c>
      <c r="G2084" s="1" t="s">
        <v>4983</v>
      </c>
    </row>
    <row r="2085" spans="1:7" x14ac:dyDescent="0.45">
      <c r="A2085" s="1" t="s">
        <v>7645</v>
      </c>
      <c r="B2085" s="1" t="s">
        <v>7646</v>
      </c>
      <c r="C2085" s="1" t="s">
        <v>255</v>
      </c>
      <c r="D2085" s="1" t="s">
        <v>8298</v>
      </c>
      <c r="E2085" s="1" t="s">
        <v>3917</v>
      </c>
      <c r="F2085" s="1" t="s">
        <v>3918</v>
      </c>
      <c r="G2085" s="1" t="s">
        <v>4983</v>
      </c>
    </row>
    <row r="2086" spans="1:7" x14ac:dyDescent="0.45">
      <c r="A2086" s="1" t="s">
        <v>7647</v>
      </c>
      <c r="B2086" s="1" t="s">
        <v>7648</v>
      </c>
      <c r="C2086" s="1" t="s">
        <v>255</v>
      </c>
      <c r="D2086" s="1" t="s">
        <v>8299</v>
      </c>
      <c r="E2086" s="1" t="s">
        <v>3917</v>
      </c>
      <c r="F2086" s="1" t="s">
        <v>3918</v>
      </c>
      <c r="G2086" s="1" t="s">
        <v>4983</v>
      </c>
    </row>
    <row r="2087" spans="1:7" x14ac:dyDescent="0.45">
      <c r="A2087" s="1" t="s">
        <v>7649</v>
      </c>
      <c r="B2087" s="1" t="s">
        <v>7650</v>
      </c>
      <c r="C2087" s="1" t="s">
        <v>255</v>
      </c>
      <c r="D2087" s="1" t="s">
        <v>8300</v>
      </c>
      <c r="E2087" s="1" t="s">
        <v>3917</v>
      </c>
      <c r="F2087" s="1" t="s">
        <v>3918</v>
      </c>
      <c r="G2087" s="1" t="s">
        <v>4983</v>
      </c>
    </row>
    <row r="2088" spans="1:7" x14ac:dyDescent="0.45">
      <c r="A2088" s="1" t="s">
        <v>4466</v>
      </c>
      <c r="B2088" s="1" t="s">
        <v>4467</v>
      </c>
      <c r="C2088" s="1" t="s">
        <v>255</v>
      </c>
      <c r="D2088" s="1" t="s">
        <v>4885</v>
      </c>
      <c r="E2088" s="1" t="s">
        <v>3917</v>
      </c>
      <c r="F2088" s="1" t="s">
        <v>3918</v>
      </c>
      <c r="G2088" s="1" t="s">
        <v>4983</v>
      </c>
    </row>
    <row r="2089" spans="1:7" x14ac:dyDescent="0.45">
      <c r="A2089" s="1" t="s">
        <v>456</v>
      </c>
      <c r="B2089" s="1" t="s">
        <v>455</v>
      </c>
      <c r="C2089" s="1" t="s">
        <v>255</v>
      </c>
      <c r="D2089" s="1" t="s">
        <v>3054</v>
      </c>
      <c r="E2089" s="1" t="s">
        <v>3917</v>
      </c>
      <c r="F2089" s="1" t="s">
        <v>3918</v>
      </c>
      <c r="G2089" s="1" t="s">
        <v>4983</v>
      </c>
    </row>
    <row r="2090" spans="1:7" x14ac:dyDescent="0.45">
      <c r="A2090" s="1" t="s">
        <v>454</v>
      </c>
      <c r="B2090" s="1" t="s">
        <v>279</v>
      </c>
      <c r="C2090" s="1" t="s">
        <v>255</v>
      </c>
      <c r="D2090" s="1" t="s">
        <v>3055</v>
      </c>
      <c r="E2090" s="1" t="s">
        <v>3917</v>
      </c>
      <c r="F2090" s="1" t="s">
        <v>3918</v>
      </c>
      <c r="G2090" s="1" t="s">
        <v>4983</v>
      </c>
    </row>
    <row r="2091" spans="1:7" x14ac:dyDescent="0.45">
      <c r="A2091" s="1" t="s">
        <v>4468</v>
      </c>
      <c r="B2091" s="1" t="s">
        <v>4469</v>
      </c>
      <c r="C2091" s="1" t="s">
        <v>255</v>
      </c>
      <c r="D2091" s="1" t="s">
        <v>4886</v>
      </c>
      <c r="E2091" s="1" t="s">
        <v>3917</v>
      </c>
      <c r="F2091" s="1" t="s">
        <v>3918</v>
      </c>
      <c r="G2091" s="1" t="s">
        <v>4983</v>
      </c>
    </row>
    <row r="2092" spans="1:7" x14ac:dyDescent="0.45">
      <c r="A2092" s="1" t="s">
        <v>7651</v>
      </c>
      <c r="B2092" s="1" t="s">
        <v>5676</v>
      </c>
      <c r="C2092" s="1" t="s">
        <v>255</v>
      </c>
      <c r="D2092" s="1" t="s">
        <v>5677</v>
      </c>
      <c r="E2092" s="1" t="s">
        <v>3917</v>
      </c>
      <c r="F2092" s="1" t="s">
        <v>3918</v>
      </c>
      <c r="G2092" s="1" t="s">
        <v>4983</v>
      </c>
    </row>
    <row r="2093" spans="1:7" x14ac:dyDescent="0.45">
      <c r="A2093" s="1" t="s">
        <v>453</v>
      </c>
      <c r="B2093" s="1" t="s">
        <v>452</v>
      </c>
      <c r="C2093" s="1" t="s">
        <v>255</v>
      </c>
      <c r="D2093" s="1" t="s">
        <v>3056</v>
      </c>
      <c r="E2093" s="1" t="s">
        <v>3917</v>
      </c>
      <c r="F2093" s="1" t="s">
        <v>3918</v>
      </c>
      <c r="G2093" s="1" t="s">
        <v>4983</v>
      </c>
    </row>
    <row r="2094" spans="1:7" x14ac:dyDescent="0.45">
      <c r="A2094" s="1" t="s">
        <v>4472</v>
      </c>
      <c r="B2094" s="1" t="s">
        <v>4473</v>
      </c>
      <c r="C2094" s="1" t="s">
        <v>255</v>
      </c>
      <c r="D2094" s="1" t="s">
        <v>3339</v>
      </c>
      <c r="E2094" s="1" t="s">
        <v>3917</v>
      </c>
      <c r="F2094" s="1" t="s">
        <v>3918</v>
      </c>
      <c r="G2094" s="1" t="s">
        <v>4983</v>
      </c>
    </row>
    <row r="2095" spans="1:7" x14ac:dyDescent="0.45">
      <c r="A2095" s="1" t="s">
        <v>3731</v>
      </c>
      <c r="B2095" s="1" t="s">
        <v>3732</v>
      </c>
      <c r="C2095" s="1" t="s">
        <v>255</v>
      </c>
      <c r="D2095" s="1" t="s">
        <v>3733</v>
      </c>
      <c r="E2095" s="1" t="s">
        <v>3917</v>
      </c>
      <c r="F2095" s="1" t="s">
        <v>3918</v>
      </c>
      <c r="G2095" s="1" t="s">
        <v>4983</v>
      </c>
    </row>
    <row r="2096" spans="1:7" x14ac:dyDescent="0.45">
      <c r="A2096" s="1" t="s">
        <v>10924</v>
      </c>
      <c r="B2096" s="1" t="s">
        <v>10925</v>
      </c>
      <c r="C2096" s="1" t="s">
        <v>255</v>
      </c>
      <c r="D2096" s="1" t="s">
        <v>11676</v>
      </c>
      <c r="E2096" s="1" t="s">
        <v>3917</v>
      </c>
      <c r="F2096" s="1" t="s">
        <v>3918</v>
      </c>
      <c r="G2096" s="1" t="s">
        <v>4983</v>
      </c>
    </row>
    <row r="2097" spans="1:7" x14ac:dyDescent="0.45">
      <c r="A2097" s="1" t="s">
        <v>10926</v>
      </c>
      <c r="B2097" s="1" t="s">
        <v>10927</v>
      </c>
      <c r="C2097" s="1" t="s">
        <v>255</v>
      </c>
      <c r="D2097" s="1" t="s">
        <v>11677</v>
      </c>
      <c r="E2097" s="1" t="s">
        <v>3917</v>
      </c>
      <c r="F2097" s="1" t="s">
        <v>3918</v>
      </c>
      <c r="G2097" s="1" t="s">
        <v>4983</v>
      </c>
    </row>
    <row r="2098" spans="1:7" x14ac:dyDescent="0.45">
      <c r="A2098" s="1" t="s">
        <v>3737</v>
      </c>
      <c r="B2098" s="1" t="s">
        <v>3738</v>
      </c>
      <c r="C2098" s="1" t="s">
        <v>255</v>
      </c>
      <c r="D2098" s="1" t="s">
        <v>3739</v>
      </c>
      <c r="E2098" s="1" t="s">
        <v>3917</v>
      </c>
      <c r="F2098" s="1" t="s">
        <v>3918</v>
      </c>
      <c r="G2098" s="1" t="s">
        <v>4983</v>
      </c>
    </row>
    <row r="2099" spans="1:7" x14ac:dyDescent="0.45">
      <c r="A2099" s="1" t="s">
        <v>447</v>
      </c>
      <c r="B2099" s="1" t="s">
        <v>446</v>
      </c>
      <c r="C2099" s="1" t="s">
        <v>255</v>
      </c>
      <c r="D2099" s="1" t="s">
        <v>3057</v>
      </c>
      <c r="E2099" s="1" t="s">
        <v>3917</v>
      </c>
      <c r="F2099" s="1" t="s">
        <v>3918</v>
      </c>
      <c r="G2099" s="1" t="s">
        <v>4983</v>
      </c>
    </row>
    <row r="2100" spans="1:7" x14ac:dyDescent="0.45">
      <c r="A2100" s="1" t="s">
        <v>7652</v>
      </c>
      <c r="B2100" s="1" t="s">
        <v>7653</v>
      </c>
      <c r="C2100" s="1" t="s">
        <v>255</v>
      </c>
      <c r="D2100" s="1" t="s">
        <v>8301</v>
      </c>
      <c r="E2100" s="1" t="s">
        <v>3917</v>
      </c>
      <c r="F2100" s="1" t="s">
        <v>3918</v>
      </c>
      <c r="G2100" s="1" t="s">
        <v>4983</v>
      </c>
    </row>
    <row r="2101" spans="1:7" x14ac:dyDescent="0.45">
      <c r="A2101" s="1" t="s">
        <v>7654</v>
      </c>
      <c r="B2101" s="1" t="s">
        <v>5111</v>
      </c>
      <c r="C2101" s="1" t="s">
        <v>255</v>
      </c>
      <c r="D2101" s="1" t="s">
        <v>5112</v>
      </c>
      <c r="E2101" s="1" t="s">
        <v>3917</v>
      </c>
      <c r="F2101" s="1" t="s">
        <v>3918</v>
      </c>
      <c r="G2101" s="1" t="s">
        <v>4983</v>
      </c>
    </row>
    <row r="2102" spans="1:7" x14ac:dyDescent="0.45">
      <c r="A2102" s="1" t="s">
        <v>10928</v>
      </c>
      <c r="B2102" s="1" t="s">
        <v>10929</v>
      </c>
      <c r="C2102" s="1" t="s">
        <v>255</v>
      </c>
      <c r="D2102" s="1" t="s">
        <v>11678</v>
      </c>
      <c r="E2102" s="1" t="s">
        <v>3917</v>
      </c>
      <c r="F2102" s="1" t="s">
        <v>3918</v>
      </c>
      <c r="G2102" s="1" t="s">
        <v>4983</v>
      </c>
    </row>
    <row r="2103" spans="1:7" x14ac:dyDescent="0.45">
      <c r="A2103" s="1" t="s">
        <v>3058</v>
      </c>
      <c r="B2103" s="1" t="s">
        <v>3059</v>
      </c>
      <c r="C2103" s="1" t="s">
        <v>255</v>
      </c>
      <c r="D2103" s="1" t="s">
        <v>3060</v>
      </c>
      <c r="E2103" s="1" t="s">
        <v>3917</v>
      </c>
      <c r="F2103" s="1" t="s">
        <v>3918</v>
      </c>
      <c r="G2103" s="1" t="s">
        <v>4983</v>
      </c>
    </row>
    <row r="2104" spans="1:7" x14ac:dyDescent="0.45">
      <c r="A2104" s="1" t="s">
        <v>10930</v>
      </c>
      <c r="B2104" s="1" t="s">
        <v>10931</v>
      </c>
      <c r="C2104" s="1" t="s">
        <v>255</v>
      </c>
      <c r="D2104" s="1" t="s">
        <v>11679</v>
      </c>
      <c r="E2104" s="1" t="s">
        <v>3917</v>
      </c>
      <c r="F2104" s="1" t="s">
        <v>3918</v>
      </c>
      <c r="G2104" s="1" t="s">
        <v>4983</v>
      </c>
    </row>
    <row r="2105" spans="1:7" x14ac:dyDescent="0.45">
      <c r="A2105" s="1" t="s">
        <v>4474</v>
      </c>
      <c r="B2105" s="1" t="s">
        <v>4475</v>
      </c>
      <c r="C2105" s="1" t="s">
        <v>255</v>
      </c>
      <c r="D2105" s="1" t="s">
        <v>4888</v>
      </c>
      <c r="E2105" s="1" t="s">
        <v>3917</v>
      </c>
      <c r="F2105" s="1" t="s">
        <v>3918</v>
      </c>
      <c r="G2105" s="1" t="s">
        <v>4983</v>
      </c>
    </row>
    <row r="2106" spans="1:7" x14ac:dyDescent="0.45">
      <c r="A2106" s="1" t="s">
        <v>10932</v>
      </c>
      <c r="B2106" s="1" t="s">
        <v>10933</v>
      </c>
      <c r="C2106" s="1" t="s">
        <v>255</v>
      </c>
      <c r="D2106" s="1" t="s">
        <v>11680</v>
      </c>
      <c r="E2106" s="1" t="s">
        <v>3917</v>
      </c>
      <c r="F2106" s="1" t="s">
        <v>3918</v>
      </c>
      <c r="G2106" s="1" t="s">
        <v>4983</v>
      </c>
    </row>
    <row r="2107" spans="1:7" x14ac:dyDescent="0.45">
      <c r="A2107" s="1" t="s">
        <v>442</v>
      </c>
      <c r="B2107" s="1" t="s">
        <v>441</v>
      </c>
      <c r="C2107" s="1" t="s">
        <v>255</v>
      </c>
      <c r="D2107" s="1" t="s">
        <v>3061</v>
      </c>
      <c r="E2107" s="1" t="s">
        <v>3917</v>
      </c>
      <c r="F2107" s="1" t="s">
        <v>3918</v>
      </c>
      <c r="G2107" s="1" t="s">
        <v>4983</v>
      </c>
    </row>
    <row r="2108" spans="1:7" x14ac:dyDescent="0.45">
      <c r="A2108" s="1" t="s">
        <v>10934</v>
      </c>
      <c r="B2108" s="1" t="s">
        <v>10935</v>
      </c>
      <c r="C2108" s="1" t="s">
        <v>255</v>
      </c>
      <c r="D2108" s="1" t="s">
        <v>11681</v>
      </c>
      <c r="E2108" s="1" t="s">
        <v>3917</v>
      </c>
      <c r="F2108" s="1" t="s">
        <v>3918</v>
      </c>
      <c r="G2108" s="1" t="s">
        <v>4983</v>
      </c>
    </row>
    <row r="2109" spans="1:7" x14ac:dyDescent="0.45">
      <c r="A2109" s="1" t="s">
        <v>3740</v>
      </c>
      <c r="B2109" s="1" t="s">
        <v>3741</v>
      </c>
      <c r="C2109" s="1" t="s">
        <v>255</v>
      </c>
      <c r="D2109" s="1" t="s">
        <v>3742</v>
      </c>
      <c r="E2109" s="1" t="s">
        <v>3917</v>
      </c>
      <c r="F2109" s="1" t="s">
        <v>3918</v>
      </c>
      <c r="G2109" s="1" t="s">
        <v>4983</v>
      </c>
    </row>
    <row r="2110" spans="1:7" x14ac:dyDescent="0.45">
      <c r="A2110" s="1" t="s">
        <v>4476</v>
      </c>
      <c r="B2110" s="1" t="s">
        <v>4477</v>
      </c>
      <c r="C2110" s="1" t="s">
        <v>255</v>
      </c>
      <c r="D2110" s="1" t="s">
        <v>4889</v>
      </c>
      <c r="E2110" s="1" t="s">
        <v>3917</v>
      </c>
      <c r="F2110" s="1" t="s">
        <v>3918</v>
      </c>
      <c r="G2110" s="1" t="s">
        <v>4983</v>
      </c>
    </row>
    <row r="2111" spans="1:7" x14ac:dyDescent="0.45">
      <c r="A2111" s="1" t="s">
        <v>4478</v>
      </c>
      <c r="B2111" s="1" t="s">
        <v>4479</v>
      </c>
      <c r="C2111" s="1" t="s">
        <v>255</v>
      </c>
      <c r="D2111" s="1" t="s">
        <v>4890</v>
      </c>
      <c r="E2111" s="1" t="s">
        <v>3917</v>
      </c>
      <c r="F2111" s="1" t="s">
        <v>3918</v>
      </c>
      <c r="G2111" s="1" t="s">
        <v>4983</v>
      </c>
    </row>
    <row r="2112" spans="1:7" x14ac:dyDescent="0.45">
      <c r="A2112" s="1" t="s">
        <v>10936</v>
      </c>
      <c r="B2112" s="1" t="s">
        <v>10937</v>
      </c>
      <c r="C2112" s="1" t="s">
        <v>255</v>
      </c>
      <c r="D2112" s="1" t="s">
        <v>11682</v>
      </c>
      <c r="E2112" s="1" t="s">
        <v>3917</v>
      </c>
      <c r="F2112" s="1" t="s">
        <v>3918</v>
      </c>
      <c r="G2112" s="1" t="s">
        <v>4983</v>
      </c>
    </row>
    <row r="2113" spans="1:7" x14ac:dyDescent="0.45">
      <c r="A2113" s="1" t="s">
        <v>3743</v>
      </c>
      <c r="B2113" s="1" t="s">
        <v>3744</v>
      </c>
      <c r="C2113" s="1" t="s">
        <v>255</v>
      </c>
      <c r="D2113" s="1" t="s">
        <v>3745</v>
      </c>
      <c r="E2113" s="1" t="s">
        <v>3917</v>
      </c>
      <c r="F2113" s="1" t="s">
        <v>3918</v>
      </c>
      <c r="G2113" s="1" t="s">
        <v>4983</v>
      </c>
    </row>
    <row r="2114" spans="1:7" x14ac:dyDescent="0.45">
      <c r="A2114" s="1" t="s">
        <v>7655</v>
      </c>
      <c r="B2114" s="1" t="s">
        <v>7656</v>
      </c>
      <c r="C2114" s="1" t="s">
        <v>255</v>
      </c>
      <c r="D2114" s="1" t="s">
        <v>8302</v>
      </c>
      <c r="E2114" s="1" t="s">
        <v>3917</v>
      </c>
      <c r="F2114" s="1" t="s">
        <v>3918</v>
      </c>
      <c r="G2114" s="1" t="s">
        <v>4983</v>
      </c>
    </row>
    <row r="2115" spans="1:7" x14ac:dyDescent="0.45">
      <c r="A2115" s="1" t="s">
        <v>10938</v>
      </c>
      <c r="B2115" s="1" t="s">
        <v>10939</v>
      </c>
      <c r="C2115" s="1" t="s">
        <v>255</v>
      </c>
      <c r="D2115" s="1" t="s">
        <v>11683</v>
      </c>
      <c r="E2115" s="1" t="s">
        <v>3917</v>
      </c>
      <c r="F2115" s="1" t="s">
        <v>3918</v>
      </c>
      <c r="G2115" s="1" t="s">
        <v>4983</v>
      </c>
    </row>
    <row r="2116" spans="1:7" x14ac:dyDescent="0.45">
      <c r="A2116" s="1" t="s">
        <v>440</v>
      </c>
      <c r="B2116" s="1" t="s">
        <v>439</v>
      </c>
      <c r="C2116" s="1" t="s">
        <v>255</v>
      </c>
      <c r="D2116" s="1" t="s">
        <v>3062</v>
      </c>
      <c r="E2116" s="1" t="s">
        <v>3917</v>
      </c>
      <c r="F2116" s="1" t="s">
        <v>3918</v>
      </c>
      <c r="G2116" s="1" t="s">
        <v>4983</v>
      </c>
    </row>
    <row r="2117" spans="1:7" x14ac:dyDescent="0.45">
      <c r="A2117" s="1" t="s">
        <v>4480</v>
      </c>
      <c r="B2117" s="1" t="s">
        <v>4481</v>
      </c>
      <c r="C2117" s="1" t="s">
        <v>255</v>
      </c>
      <c r="D2117" s="1" t="s">
        <v>4891</v>
      </c>
      <c r="E2117" s="1" t="s">
        <v>3917</v>
      </c>
      <c r="F2117" s="1" t="s">
        <v>3918</v>
      </c>
      <c r="G2117" s="1" t="s">
        <v>4983</v>
      </c>
    </row>
    <row r="2118" spans="1:7" x14ac:dyDescent="0.45">
      <c r="A2118" s="1" t="s">
        <v>3746</v>
      </c>
      <c r="B2118" s="1" t="s">
        <v>3747</v>
      </c>
      <c r="C2118" s="1" t="s">
        <v>255</v>
      </c>
      <c r="D2118" s="1" t="s">
        <v>3748</v>
      </c>
      <c r="E2118" s="1" t="s">
        <v>3919</v>
      </c>
      <c r="F2118" s="1" t="s">
        <v>3918</v>
      </c>
      <c r="G2118" s="1" t="s">
        <v>4983</v>
      </c>
    </row>
    <row r="2119" spans="1:7" x14ac:dyDescent="0.45">
      <c r="A2119" s="1" t="s">
        <v>4482</v>
      </c>
      <c r="B2119" s="1" t="s">
        <v>4483</v>
      </c>
      <c r="C2119" s="1" t="s">
        <v>255</v>
      </c>
      <c r="D2119" s="1" t="s">
        <v>4892</v>
      </c>
      <c r="E2119" s="1" t="s">
        <v>3917</v>
      </c>
      <c r="F2119" s="1" t="s">
        <v>3918</v>
      </c>
      <c r="G2119" s="1" t="s">
        <v>4983</v>
      </c>
    </row>
    <row r="2120" spans="1:7" x14ac:dyDescent="0.45">
      <c r="A2120" s="1" t="s">
        <v>7657</v>
      </c>
      <c r="B2120" s="1" t="s">
        <v>7658</v>
      </c>
      <c r="C2120" s="1" t="s">
        <v>255</v>
      </c>
      <c r="D2120" s="1" t="s">
        <v>8303</v>
      </c>
      <c r="E2120" s="1" t="s">
        <v>3917</v>
      </c>
      <c r="F2120" s="1" t="s">
        <v>3918</v>
      </c>
      <c r="G2120" s="1" t="s">
        <v>4983</v>
      </c>
    </row>
    <row r="2121" spans="1:7" x14ac:dyDescent="0.45">
      <c r="A2121" s="1" t="s">
        <v>7659</v>
      </c>
      <c r="B2121" s="1" t="s">
        <v>7660</v>
      </c>
      <c r="C2121" s="1" t="s">
        <v>255</v>
      </c>
      <c r="D2121" s="1" t="s">
        <v>8304</v>
      </c>
      <c r="E2121" s="1" t="s">
        <v>3917</v>
      </c>
      <c r="F2121" s="1" t="s">
        <v>3918</v>
      </c>
      <c r="G2121" s="1" t="s">
        <v>4983</v>
      </c>
    </row>
    <row r="2122" spans="1:7" x14ac:dyDescent="0.45">
      <c r="A2122" s="1" t="s">
        <v>7661</v>
      </c>
      <c r="B2122" s="1" t="s">
        <v>5348</v>
      </c>
      <c r="C2122" s="1" t="s">
        <v>255</v>
      </c>
      <c r="D2122" s="1" t="s">
        <v>5349</v>
      </c>
      <c r="E2122" s="1" t="s">
        <v>3917</v>
      </c>
      <c r="F2122" s="1" t="s">
        <v>3918</v>
      </c>
      <c r="G2122" s="1" t="s">
        <v>4983</v>
      </c>
    </row>
    <row r="2123" spans="1:7" x14ac:dyDescent="0.45">
      <c r="A2123" s="1" t="s">
        <v>438</v>
      </c>
      <c r="B2123" s="1" t="s">
        <v>437</v>
      </c>
      <c r="C2123" s="1" t="s">
        <v>255</v>
      </c>
      <c r="D2123" s="1" t="s">
        <v>3063</v>
      </c>
      <c r="E2123" s="1" t="s">
        <v>3917</v>
      </c>
      <c r="F2123" s="1" t="s">
        <v>3918</v>
      </c>
      <c r="G2123" s="1" t="s">
        <v>4983</v>
      </c>
    </row>
    <row r="2124" spans="1:7" x14ac:dyDescent="0.45">
      <c r="A2124" s="1" t="s">
        <v>3752</v>
      </c>
      <c r="B2124" s="1" t="s">
        <v>3753</v>
      </c>
      <c r="C2124" s="1" t="s">
        <v>255</v>
      </c>
      <c r="D2124" s="1" t="s">
        <v>3754</v>
      </c>
      <c r="E2124" s="1" t="s">
        <v>3917</v>
      </c>
      <c r="F2124" s="1" t="s">
        <v>3918</v>
      </c>
      <c r="G2124" s="1" t="s">
        <v>4983</v>
      </c>
    </row>
    <row r="2125" spans="1:7" x14ac:dyDescent="0.45">
      <c r="A2125" s="1" t="s">
        <v>10940</v>
      </c>
      <c r="B2125" s="1" t="s">
        <v>10941</v>
      </c>
      <c r="C2125" s="1" t="s">
        <v>255</v>
      </c>
      <c r="D2125" s="1" t="s">
        <v>11684</v>
      </c>
      <c r="E2125" s="1" t="s">
        <v>3917</v>
      </c>
      <c r="F2125" s="1" t="s">
        <v>3918</v>
      </c>
      <c r="G2125" s="1" t="s">
        <v>4983</v>
      </c>
    </row>
    <row r="2126" spans="1:7" x14ac:dyDescent="0.45">
      <c r="A2126" s="1" t="s">
        <v>1791</v>
      </c>
      <c r="B2126" s="1" t="s">
        <v>1792</v>
      </c>
      <c r="C2126" s="1" t="s">
        <v>255</v>
      </c>
      <c r="D2126" s="1" t="s">
        <v>3064</v>
      </c>
      <c r="E2126" s="1" t="s">
        <v>3917</v>
      </c>
      <c r="F2126" s="1" t="s">
        <v>3918</v>
      </c>
      <c r="G2126" s="1" t="s">
        <v>4983</v>
      </c>
    </row>
    <row r="2127" spans="1:7" x14ac:dyDescent="0.45">
      <c r="A2127" s="1" t="s">
        <v>436</v>
      </c>
      <c r="B2127" s="1" t="s">
        <v>435</v>
      </c>
      <c r="C2127" s="1" t="s">
        <v>255</v>
      </c>
      <c r="D2127" s="1" t="s">
        <v>3065</v>
      </c>
      <c r="E2127" s="1" t="s">
        <v>3917</v>
      </c>
      <c r="F2127" s="1" t="s">
        <v>3918</v>
      </c>
      <c r="G2127" s="1" t="s">
        <v>4983</v>
      </c>
    </row>
    <row r="2128" spans="1:7" x14ac:dyDescent="0.45">
      <c r="A2128" s="1" t="s">
        <v>10942</v>
      </c>
      <c r="B2128" s="1" t="s">
        <v>10943</v>
      </c>
      <c r="C2128" s="1" t="s">
        <v>255</v>
      </c>
      <c r="D2128" s="1" t="s">
        <v>11685</v>
      </c>
      <c r="E2128" s="1" t="s">
        <v>3917</v>
      </c>
      <c r="F2128" s="1" t="s">
        <v>3918</v>
      </c>
      <c r="G2128" s="1" t="s">
        <v>4983</v>
      </c>
    </row>
    <row r="2129" spans="1:7" x14ac:dyDescent="0.45">
      <c r="A2129" s="1" t="s">
        <v>10944</v>
      </c>
      <c r="B2129" s="1" t="s">
        <v>10945</v>
      </c>
      <c r="C2129" s="1" t="s">
        <v>255</v>
      </c>
      <c r="D2129" s="1" t="s">
        <v>11686</v>
      </c>
      <c r="E2129" s="1" t="s">
        <v>3917</v>
      </c>
      <c r="F2129" s="1" t="s">
        <v>3918</v>
      </c>
      <c r="G2129" s="1" t="s">
        <v>4983</v>
      </c>
    </row>
    <row r="2130" spans="1:7" x14ac:dyDescent="0.45">
      <c r="A2130" s="1" t="s">
        <v>10946</v>
      </c>
      <c r="B2130" s="1" t="s">
        <v>10947</v>
      </c>
      <c r="C2130" s="1" t="s">
        <v>255</v>
      </c>
      <c r="D2130" s="1" t="s">
        <v>11687</v>
      </c>
      <c r="E2130" s="1" t="s">
        <v>3917</v>
      </c>
      <c r="F2130" s="1" t="s">
        <v>3918</v>
      </c>
      <c r="G2130" s="1" t="s">
        <v>4983</v>
      </c>
    </row>
    <row r="2131" spans="1:7" x14ac:dyDescent="0.45">
      <c r="A2131" s="1" t="s">
        <v>10948</v>
      </c>
      <c r="B2131" s="1" t="s">
        <v>10949</v>
      </c>
      <c r="C2131" s="1" t="s">
        <v>255</v>
      </c>
      <c r="D2131" s="1" t="s">
        <v>11688</v>
      </c>
      <c r="E2131" s="1" t="s">
        <v>3917</v>
      </c>
      <c r="F2131" s="1" t="s">
        <v>3918</v>
      </c>
      <c r="G2131" s="1" t="s">
        <v>4983</v>
      </c>
    </row>
    <row r="2132" spans="1:7" x14ac:dyDescent="0.45">
      <c r="A2132" s="1" t="s">
        <v>3755</v>
      </c>
      <c r="B2132" s="1" t="s">
        <v>3756</v>
      </c>
      <c r="C2132" s="1" t="s">
        <v>255</v>
      </c>
      <c r="D2132" s="1" t="s">
        <v>3757</v>
      </c>
      <c r="E2132" s="1" t="s">
        <v>3917</v>
      </c>
      <c r="F2132" s="1" t="s">
        <v>3918</v>
      </c>
      <c r="G2132" s="1" t="s">
        <v>4983</v>
      </c>
    </row>
    <row r="2133" spans="1:7" x14ac:dyDescent="0.45">
      <c r="A2133" s="1" t="s">
        <v>7662</v>
      </c>
      <c r="B2133" s="1" t="s">
        <v>7663</v>
      </c>
      <c r="C2133" s="1" t="s">
        <v>255</v>
      </c>
      <c r="D2133" s="1" t="s">
        <v>8305</v>
      </c>
      <c r="E2133" s="1" t="s">
        <v>3917</v>
      </c>
      <c r="F2133" s="1" t="s">
        <v>3918</v>
      </c>
      <c r="G2133" s="1" t="s">
        <v>4983</v>
      </c>
    </row>
    <row r="2134" spans="1:7" x14ac:dyDescent="0.45">
      <c r="A2134" s="1" t="s">
        <v>434</v>
      </c>
      <c r="B2134" s="1" t="s">
        <v>433</v>
      </c>
      <c r="C2134" s="1" t="s">
        <v>255</v>
      </c>
      <c r="D2134" s="1" t="s">
        <v>3066</v>
      </c>
      <c r="E2134" s="1" t="s">
        <v>3917</v>
      </c>
      <c r="F2134" s="1" t="s">
        <v>3918</v>
      </c>
      <c r="G2134" s="1" t="s">
        <v>4983</v>
      </c>
    </row>
    <row r="2135" spans="1:7" x14ac:dyDescent="0.45">
      <c r="A2135" s="1" t="s">
        <v>430</v>
      </c>
      <c r="B2135" s="1" t="s">
        <v>429</v>
      </c>
      <c r="C2135" s="1" t="s">
        <v>255</v>
      </c>
      <c r="D2135" s="1" t="s">
        <v>3068</v>
      </c>
      <c r="E2135" s="1" t="s">
        <v>3917</v>
      </c>
      <c r="F2135" s="1" t="s">
        <v>3918</v>
      </c>
      <c r="G2135" s="1" t="s">
        <v>4983</v>
      </c>
    </row>
    <row r="2136" spans="1:7" x14ac:dyDescent="0.45">
      <c r="A2136" s="1" t="s">
        <v>10950</v>
      </c>
      <c r="B2136" s="1" t="s">
        <v>10951</v>
      </c>
      <c r="C2136" s="1" t="s">
        <v>255</v>
      </c>
      <c r="D2136" s="1" t="s">
        <v>11689</v>
      </c>
      <c r="E2136" s="1" t="s">
        <v>3917</v>
      </c>
      <c r="F2136" s="1" t="s">
        <v>3918</v>
      </c>
      <c r="G2136" s="1" t="s">
        <v>4983</v>
      </c>
    </row>
    <row r="2137" spans="1:7" x14ac:dyDescent="0.45">
      <c r="A2137" s="1" t="s">
        <v>10952</v>
      </c>
      <c r="B2137" s="1" t="s">
        <v>10953</v>
      </c>
      <c r="C2137" s="1" t="s">
        <v>255</v>
      </c>
      <c r="D2137" s="1" t="s">
        <v>11690</v>
      </c>
      <c r="E2137" s="1" t="s">
        <v>3917</v>
      </c>
      <c r="F2137" s="1" t="s">
        <v>3918</v>
      </c>
      <c r="G2137" s="1" t="s">
        <v>4983</v>
      </c>
    </row>
    <row r="2138" spans="1:7" x14ac:dyDescent="0.45">
      <c r="A2138" s="1" t="s">
        <v>10954</v>
      </c>
      <c r="B2138" s="1" t="s">
        <v>10955</v>
      </c>
      <c r="C2138" s="1" t="s">
        <v>255</v>
      </c>
      <c r="D2138" s="1" t="s">
        <v>11691</v>
      </c>
      <c r="E2138" s="1" t="s">
        <v>3917</v>
      </c>
      <c r="F2138" s="1" t="s">
        <v>3918</v>
      </c>
      <c r="G2138" s="1" t="s">
        <v>4983</v>
      </c>
    </row>
    <row r="2139" spans="1:7" x14ac:dyDescent="0.45">
      <c r="A2139" s="1" t="s">
        <v>7664</v>
      </c>
      <c r="B2139" s="1" t="s">
        <v>7665</v>
      </c>
      <c r="C2139" s="1" t="s">
        <v>255</v>
      </c>
      <c r="D2139" s="1" t="s">
        <v>8306</v>
      </c>
      <c r="E2139" s="1" t="s">
        <v>3917</v>
      </c>
      <c r="F2139" s="1" t="s">
        <v>3918</v>
      </c>
      <c r="G2139" s="1" t="s">
        <v>4983</v>
      </c>
    </row>
    <row r="2140" spans="1:7" x14ac:dyDescent="0.45">
      <c r="A2140" s="1" t="s">
        <v>10956</v>
      </c>
      <c r="B2140" s="1" t="s">
        <v>10957</v>
      </c>
      <c r="C2140" s="1" t="s">
        <v>255</v>
      </c>
      <c r="D2140" s="1" t="s">
        <v>11692</v>
      </c>
      <c r="E2140" s="1" t="s">
        <v>3917</v>
      </c>
      <c r="F2140" s="1" t="s">
        <v>3918</v>
      </c>
      <c r="G2140" s="1" t="s">
        <v>4983</v>
      </c>
    </row>
    <row r="2141" spans="1:7" x14ac:dyDescent="0.45">
      <c r="A2141" s="1" t="s">
        <v>7666</v>
      </c>
      <c r="B2141" s="1" t="s">
        <v>7667</v>
      </c>
      <c r="C2141" s="1" t="s">
        <v>255</v>
      </c>
      <c r="D2141" s="1" t="s">
        <v>8307</v>
      </c>
      <c r="E2141" s="1" t="s">
        <v>3917</v>
      </c>
      <c r="F2141" s="1" t="s">
        <v>3918</v>
      </c>
      <c r="G2141" s="1" t="s">
        <v>4983</v>
      </c>
    </row>
    <row r="2142" spans="1:7" x14ac:dyDescent="0.45">
      <c r="A2142" s="1" t="s">
        <v>3069</v>
      </c>
      <c r="B2142" s="1" t="s">
        <v>3070</v>
      </c>
      <c r="C2142" s="1" t="s">
        <v>255</v>
      </c>
      <c r="D2142" s="1" t="s">
        <v>3071</v>
      </c>
      <c r="E2142" s="1" t="s">
        <v>3917</v>
      </c>
      <c r="F2142" s="1" t="s">
        <v>3918</v>
      </c>
      <c r="G2142" s="1" t="s">
        <v>4983</v>
      </c>
    </row>
    <row r="2143" spans="1:7" x14ac:dyDescent="0.45">
      <c r="A2143" s="1" t="s">
        <v>7668</v>
      </c>
      <c r="B2143" s="1" t="s">
        <v>7669</v>
      </c>
      <c r="C2143" s="1" t="s">
        <v>255</v>
      </c>
      <c r="D2143" s="1" t="s">
        <v>8308</v>
      </c>
      <c r="E2143" s="1" t="s">
        <v>3917</v>
      </c>
      <c r="F2143" s="1" t="s">
        <v>3918</v>
      </c>
      <c r="G2143" s="1" t="s">
        <v>4983</v>
      </c>
    </row>
    <row r="2144" spans="1:7" x14ac:dyDescent="0.45">
      <c r="A2144" s="1" t="s">
        <v>1793</v>
      </c>
      <c r="B2144" s="1" t="s">
        <v>1794</v>
      </c>
      <c r="C2144" s="1" t="s">
        <v>255</v>
      </c>
      <c r="D2144" s="1" t="s">
        <v>3072</v>
      </c>
      <c r="E2144" s="1" t="s">
        <v>3917</v>
      </c>
      <c r="F2144" s="1" t="s">
        <v>3918</v>
      </c>
      <c r="G2144" s="1" t="s">
        <v>4983</v>
      </c>
    </row>
    <row r="2145" spans="1:7" x14ac:dyDescent="0.45">
      <c r="A2145" s="1" t="s">
        <v>10958</v>
      </c>
      <c r="B2145" s="1" t="s">
        <v>10959</v>
      </c>
      <c r="C2145" s="1" t="s">
        <v>255</v>
      </c>
      <c r="D2145" s="1" t="s">
        <v>11693</v>
      </c>
      <c r="E2145" s="1" t="s">
        <v>3917</v>
      </c>
      <c r="F2145" s="1" t="s">
        <v>3918</v>
      </c>
      <c r="G2145" s="1" t="s">
        <v>4983</v>
      </c>
    </row>
    <row r="2146" spans="1:7" x14ac:dyDescent="0.45">
      <c r="A2146" s="1" t="s">
        <v>10960</v>
      </c>
      <c r="B2146" s="1" t="s">
        <v>10961</v>
      </c>
      <c r="C2146" s="1" t="s">
        <v>255</v>
      </c>
      <c r="D2146" s="1" t="s">
        <v>11694</v>
      </c>
      <c r="E2146" s="1" t="s">
        <v>3917</v>
      </c>
      <c r="F2146" s="1" t="s">
        <v>3918</v>
      </c>
      <c r="G2146" s="1" t="s">
        <v>4983</v>
      </c>
    </row>
    <row r="2147" spans="1:7" x14ac:dyDescent="0.45">
      <c r="A2147" s="1" t="s">
        <v>10962</v>
      </c>
      <c r="B2147" s="1" t="s">
        <v>10963</v>
      </c>
      <c r="C2147" s="1" t="s">
        <v>255</v>
      </c>
      <c r="D2147" s="1" t="s">
        <v>11695</v>
      </c>
      <c r="E2147" s="1" t="s">
        <v>3917</v>
      </c>
      <c r="F2147" s="1" t="s">
        <v>3918</v>
      </c>
      <c r="G2147" s="1" t="s">
        <v>4983</v>
      </c>
    </row>
    <row r="2148" spans="1:7" x14ac:dyDescent="0.45">
      <c r="A2148" s="1" t="s">
        <v>4484</v>
      </c>
      <c r="B2148" s="1" t="s">
        <v>4485</v>
      </c>
      <c r="C2148" s="1" t="s">
        <v>255</v>
      </c>
      <c r="D2148" s="1" t="s">
        <v>4893</v>
      </c>
      <c r="E2148" s="1" t="s">
        <v>3917</v>
      </c>
      <c r="F2148" s="1" t="s">
        <v>3918</v>
      </c>
      <c r="G2148" s="1" t="s">
        <v>4983</v>
      </c>
    </row>
    <row r="2149" spans="1:7" x14ac:dyDescent="0.45">
      <c r="A2149" s="1" t="s">
        <v>426</v>
      </c>
      <c r="B2149" s="1" t="s">
        <v>425</v>
      </c>
      <c r="C2149" s="1" t="s">
        <v>255</v>
      </c>
      <c r="D2149" s="1" t="s">
        <v>3074</v>
      </c>
      <c r="E2149" s="1" t="s">
        <v>3917</v>
      </c>
      <c r="F2149" s="1" t="s">
        <v>3918</v>
      </c>
      <c r="G2149" s="1" t="s">
        <v>4983</v>
      </c>
    </row>
    <row r="2150" spans="1:7" x14ac:dyDescent="0.45">
      <c r="A2150" s="1" t="s">
        <v>7670</v>
      </c>
      <c r="B2150" s="1" t="s">
        <v>7671</v>
      </c>
      <c r="C2150" s="1" t="s">
        <v>255</v>
      </c>
      <c r="D2150" s="1" t="s">
        <v>8309</v>
      </c>
      <c r="E2150" s="1" t="s">
        <v>3917</v>
      </c>
      <c r="F2150" s="1" t="s">
        <v>3918</v>
      </c>
      <c r="G2150" s="1" t="s">
        <v>4983</v>
      </c>
    </row>
    <row r="2151" spans="1:7" x14ac:dyDescent="0.45">
      <c r="A2151" s="1" t="s">
        <v>7672</v>
      </c>
      <c r="B2151" s="1" t="s">
        <v>7673</v>
      </c>
      <c r="C2151" s="1" t="s">
        <v>255</v>
      </c>
      <c r="D2151" s="1" t="s">
        <v>8310</v>
      </c>
      <c r="E2151" s="1" t="s">
        <v>3917</v>
      </c>
      <c r="F2151" s="1" t="s">
        <v>3918</v>
      </c>
      <c r="G2151" s="1" t="s">
        <v>4983</v>
      </c>
    </row>
    <row r="2152" spans="1:7" x14ac:dyDescent="0.45">
      <c r="A2152" s="1" t="s">
        <v>7674</v>
      </c>
      <c r="B2152" s="1" t="s">
        <v>7675</v>
      </c>
      <c r="C2152" s="1" t="s">
        <v>255</v>
      </c>
      <c r="D2152" s="1" t="s">
        <v>8311</v>
      </c>
      <c r="E2152" s="1" t="s">
        <v>3917</v>
      </c>
      <c r="F2152" s="1" t="s">
        <v>3918</v>
      </c>
      <c r="G2152" s="1" t="s">
        <v>4983</v>
      </c>
    </row>
    <row r="2153" spans="1:7" x14ac:dyDescent="0.45">
      <c r="A2153" s="1" t="s">
        <v>3758</v>
      </c>
      <c r="B2153" s="1" t="s">
        <v>3759</v>
      </c>
      <c r="C2153" s="1" t="s">
        <v>255</v>
      </c>
      <c r="D2153" s="1" t="s">
        <v>3760</v>
      </c>
      <c r="E2153" s="1" t="s">
        <v>3917</v>
      </c>
      <c r="F2153" s="1" t="s">
        <v>3918</v>
      </c>
      <c r="G2153" s="1" t="s">
        <v>4983</v>
      </c>
    </row>
    <row r="2154" spans="1:7" x14ac:dyDescent="0.45">
      <c r="A2154" s="1" t="s">
        <v>7676</v>
      </c>
      <c r="B2154" s="1" t="s">
        <v>7677</v>
      </c>
      <c r="C2154" s="1" t="s">
        <v>255</v>
      </c>
      <c r="D2154" s="1" t="s">
        <v>3329</v>
      </c>
      <c r="E2154" s="1" t="s">
        <v>3917</v>
      </c>
      <c r="F2154" s="1" t="s">
        <v>3918</v>
      </c>
      <c r="G2154" s="1" t="s">
        <v>4983</v>
      </c>
    </row>
    <row r="2155" spans="1:7" x14ac:dyDescent="0.45">
      <c r="A2155" s="1" t="s">
        <v>7678</v>
      </c>
      <c r="B2155" s="1" t="s">
        <v>7679</v>
      </c>
      <c r="C2155" s="1" t="s">
        <v>255</v>
      </c>
      <c r="D2155" s="1" t="s">
        <v>8312</v>
      </c>
      <c r="E2155" s="1" t="s">
        <v>3919</v>
      </c>
      <c r="F2155" s="1" t="s">
        <v>3918</v>
      </c>
      <c r="G2155" s="1" t="s">
        <v>4983</v>
      </c>
    </row>
    <row r="2156" spans="1:7" x14ac:dyDescent="0.45">
      <c r="A2156" s="1" t="s">
        <v>7680</v>
      </c>
      <c r="B2156" s="1" t="s">
        <v>7681</v>
      </c>
      <c r="C2156" s="1" t="s">
        <v>255</v>
      </c>
      <c r="D2156" s="1" t="s">
        <v>8313</v>
      </c>
      <c r="E2156" s="1" t="s">
        <v>3917</v>
      </c>
      <c r="F2156" s="1" t="s">
        <v>3918</v>
      </c>
      <c r="G2156" s="1" t="s">
        <v>4983</v>
      </c>
    </row>
    <row r="2157" spans="1:7" x14ac:dyDescent="0.45">
      <c r="A2157" s="1" t="s">
        <v>10964</v>
      </c>
      <c r="B2157" s="1" t="s">
        <v>10965</v>
      </c>
      <c r="C2157" s="1" t="s">
        <v>255</v>
      </c>
      <c r="D2157" s="1" t="s">
        <v>11696</v>
      </c>
      <c r="E2157" s="1" t="s">
        <v>3917</v>
      </c>
      <c r="F2157" s="1" t="s">
        <v>3918</v>
      </c>
      <c r="G2157" s="1" t="s">
        <v>4983</v>
      </c>
    </row>
    <row r="2158" spans="1:7" x14ac:dyDescent="0.45">
      <c r="A2158" s="1" t="s">
        <v>4486</v>
      </c>
      <c r="B2158" s="1" t="s">
        <v>4487</v>
      </c>
      <c r="C2158" s="1" t="s">
        <v>255</v>
      </c>
      <c r="D2158" s="1" t="s">
        <v>4894</v>
      </c>
      <c r="E2158" s="1" t="s">
        <v>3917</v>
      </c>
      <c r="F2158" s="1" t="s">
        <v>3918</v>
      </c>
      <c r="G2158" s="1" t="s">
        <v>4983</v>
      </c>
    </row>
    <row r="2159" spans="1:7" x14ac:dyDescent="0.45">
      <c r="A2159" s="1" t="s">
        <v>4488</v>
      </c>
      <c r="B2159" s="1" t="s">
        <v>4489</v>
      </c>
      <c r="C2159" s="1" t="s">
        <v>255</v>
      </c>
      <c r="D2159" s="1" t="s">
        <v>4895</v>
      </c>
      <c r="E2159" s="1" t="s">
        <v>3917</v>
      </c>
      <c r="F2159" s="1" t="s">
        <v>3918</v>
      </c>
      <c r="G2159" s="1" t="s">
        <v>4983</v>
      </c>
    </row>
    <row r="2160" spans="1:7" x14ac:dyDescent="0.45">
      <c r="A2160" s="1" t="s">
        <v>10966</v>
      </c>
      <c r="B2160" s="1" t="s">
        <v>10967</v>
      </c>
      <c r="C2160" s="1" t="s">
        <v>255</v>
      </c>
      <c r="D2160" s="1" t="s">
        <v>11697</v>
      </c>
      <c r="E2160" s="1" t="s">
        <v>3917</v>
      </c>
      <c r="F2160" s="1" t="s">
        <v>3918</v>
      </c>
      <c r="G2160" s="1" t="s">
        <v>4983</v>
      </c>
    </row>
    <row r="2161" spans="1:7" x14ac:dyDescent="0.45">
      <c r="A2161" s="1" t="s">
        <v>7682</v>
      </c>
      <c r="B2161" s="1" t="s">
        <v>7683</v>
      </c>
      <c r="C2161" s="1" t="s">
        <v>255</v>
      </c>
      <c r="D2161" s="1" t="s">
        <v>8314</v>
      </c>
      <c r="E2161" s="1" t="s">
        <v>3917</v>
      </c>
      <c r="F2161" s="1" t="s">
        <v>3918</v>
      </c>
      <c r="G2161" s="1" t="s">
        <v>4983</v>
      </c>
    </row>
    <row r="2162" spans="1:7" x14ac:dyDescent="0.45">
      <c r="A2162" s="1" t="s">
        <v>7684</v>
      </c>
      <c r="B2162" s="1" t="s">
        <v>7685</v>
      </c>
      <c r="C2162" s="1" t="s">
        <v>255</v>
      </c>
      <c r="D2162" s="1" t="s">
        <v>8315</v>
      </c>
      <c r="E2162" s="1" t="s">
        <v>3917</v>
      </c>
      <c r="F2162" s="1" t="s">
        <v>3918</v>
      </c>
      <c r="G2162" s="1" t="s">
        <v>4983</v>
      </c>
    </row>
    <row r="2163" spans="1:7" x14ac:dyDescent="0.45">
      <c r="A2163" s="1" t="s">
        <v>3761</v>
      </c>
      <c r="B2163" s="1" t="s">
        <v>3762</v>
      </c>
      <c r="C2163" s="1" t="s">
        <v>255</v>
      </c>
      <c r="D2163" s="1" t="s">
        <v>3763</v>
      </c>
      <c r="E2163" s="1" t="s">
        <v>3917</v>
      </c>
      <c r="F2163" s="1" t="s">
        <v>3918</v>
      </c>
      <c r="G2163" s="1" t="s">
        <v>4983</v>
      </c>
    </row>
    <row r="2164" spans="1:7" x14ac:dyDescent="0.45">
      <c r="A2164" s="1" t="s">
        <v>10968</v>
      </c>
      <c r="B2164" s="1" t="s">
        <v>10969</v>
      </c>
      <c r="C2164" s="1" t="s">
        <v>255</v>
      </c>
      <c r="D2164" s="1" t="s">
        <v>11698</v>
      </c>
      <c r="E2164" s="1" t="s">
        <v>3917</v>
      </c>
      <c r="F2164" s="1" t="s">
        <v>3918</v>
      </c>
      <c r="G2164" s="1" t="s">
        <v>4983</v>
      </c>
    </row>
    <row r="2165" spans="1:7" x14ac:dyDescent="0.45">
      <c r="A2165" s="1" t="s">
        <v>4490</v>
      </c>
      <c r="B2165" s="1" t="s">
        <v>4491</v>
      </c>
      <c r="C2165" s="1" t="s">
        <v>255</v>
      </c>
      <c r="D2165" s="1" t="s">
        <v>4896</v>
      </c>
      <c r="E2165" s="1" t="s">
        <v>3917</v>
      </c>
      <c r="F2165" s="1" t="s">
        <v>3918</v>
      </c>
      <c r="G2165" s="1" t="s">
        <v>4983</v>
      </c>
    </row>
    <row r="2166" spans="1:7" x14ac:dyDescent="0.45">
      <c r="A2166" s="1" t="s">
        <v>10970</v>
      </c>
      <c r="B2166" s="1" t="s">
        <v>10971</v>
      </c>
      <c r="C2166" s="1" t="s">
        <v>255</v>
      </c>
      <c r="D2166" s="1" t="s">
        <v>11699</v>
      </c>
      <c r="E2166" s="1" t="s">
        <v>3917</v>
      </c>
      <c r="F2166" s="1" t="s">
        <v>3918</v>
      </c>
      <c r="G2166" s="1" t="s">
        <v>4983</v>
      </c>
    </row>
    <row r="2167" spans="1:7" x14ac:dyDescent="0.45">
      <c r="A2167" s="1" t="s">
        <v>4492</v>
      </c>
      <c r="B2167" s="1" t="s">
        <v>4493</v>
      </c>
      <c r="C2167" s="1" t="s">
        <v>255</v>
      </c>
      <c r="D2167" s="1" t="s">
        <v>4897</v>
      </c>
      <c r="E2167" s="1" t="s">
        <v>3917</v>
      </c>
      <c r="F2167" s="1" t="s">
        <v>3918</v>
      </c>
      <c r="G2167" s="1" t="s">
        <v>4983</v>
      </c>
    </row>
    <row r="2168" spans="1:7" x14ac:dyDescent="0.45">
      <c r="A2168" s="1" t="s">
        <v>10972</v>
      </c>
      <c r="B2168" s="1" t="s">
        <v>6219</v>
      </c>
      <c r="C2168" s="1" t="s">
        <v>255</v>
      </c>
      <c r="D2168" s="1" t="s">
        <v>6220</v>
      </c>
      <c r="E2168" s="1" t="s">
        <v>3917</v>
      </c>
      <c r="F2168" s="1" t="s">
        <v>3918</v>
      </c>
      <c r="G2168" s="1" t="s">
        <v>4983</v>
      </c>
    </row>
    <row r="2169" spans="1:7" x14ac:dyDescent="0.45">
      <c r="A2169" s="1" t="s">
        <v>10973</v>
      </c>
      <c r="B2169" s="1" t="s">
        <v>10974</v>
      </c>
      <c r="C2169" s="1" t="s">
        <v>255</v>
      </c>
      <c r="D2169" s="1" t="s">
        <v>11700</v>
      </c>
      <c r="E2169" s="1" t="s">
        <v>3917</v>
      </c>
      <c r="F2169" s="1" t="s">
        <v>3918</v>
      </c>
      <c r="G2169" s="1" t="s">
        <v>4983</v>
      </c>
    </row>
    <row r="2170" spans="1:7" x14ac:dyDescent="0.45">
      <c r="A2170" s="1" t="s">
        <v>7688</v>
      </c>
      <c r="B2170" s="1" t="s">
        <v>7689</v>
      </c>
      <c r="C2170" s="1" t="s">
        <v>255</v>
      </c>
      <c r="D2170" s="1" t="s">
        <v>8317</v>
      </c>
      <c r="E2170" s="1" t="s">
        <v>3917</v>
      </c>
      <c r="F2170" s="1" t="s">
        <v>3918</v>
      </c>
      <c r="G2170" s="1" t="s">
        <v>4983</v>
      </c>
    </row>
    <row r="2171" spans="1:7" x14ac:dyDescent="0.45">
      <c r="A2171" s="1" t="s">
        <v>10975</v>
      </c>
      <c r="B2171" s="1" t="s">
        <v>10976</v>
      </c>
      <c r="C2171" s="1" t="s">
        <v>255</v>
      </c>
      <c r="D2171" s="1" t="s">
        <v>11701</v>
      </c>
      <c r="E2171" s="1" t="s">
        <v>3917</v>
      </c>
      <c r="F2171" s="1" t="s">
        <v>3918</v>
      </c>
      <c r="G2171" s="1" t="s">
        <v>4983</v>
      </c>
    </row>
    <row r="2172" spans="1:7" x14ac:dyDescent="0.45">
      <c r="A2172" s="1" t="s">
        <v>7690</v>
      </c>
      <c r="B2172" s="1" t="s">
        <v>7691</v>
      </c>
      <c r="C2172" s="1" t="s">
        <v>255</v>
      </c>
      <c r="D2172" s="1" t="s">
        <v>8318</v>
      </c>
      <c r="E2172" s="1" t="s">
        <v>3917</v>
      </c>
      <c r="F2172" s="1" t="s">
        <v>3918</v>
      </c>
      <c r="G2172" s="1" t="s">
        <v>4983</v>
      </c>
    </row>
    <row r="2173" spans="1:7" x14ac:dyDescent="0.45">
      <c r="A2173" s="1" t="s">
        <v>7692</v>
      </c>
      <c r="B2173" s="1" t="s">
        <v>7693</v>
      </c>
      <c r="C2173" s="1" t="s">
        <v>255</v>
      </c>
      <c r="D2173" s="1" t="s">
        <v>8319</v>
      </c>
      <c r="E2173" s="1" t="s">
        <v>3917</v>
      </c>
      <c r="F2173" s="1" t="s">
        <v>3918</v>
      </c>
      <c r="G2173" s="1" t="s">
        <v>4983</v>
      </c>
    </row>
    <row r="2174" spans="1:7" x14ac:dyDescent="0.45">
      <c r="A2174" s="1" t="s">
        <v>1795</v>
      </c>
      <c r="B2174" s="1" t="s">
        <v>1796</v>
      </c>
      <c r="C2174" s="1" t="s">
        <v>255</v>
      </c>
      <c r="D2174" s="1" t="s">
        <v>3075</v>
      </c>
      <c r="E2174" s="1" t="s">
        <v>3917</v>
      </c>
      <c r="F2174" s="1" t="s">
        <v>3918</v>
      </c>
      <c r="G2174" s="1" t="s">
        <v>4983</v>
      </c>
    </row>
    <row r="2175" spans="1:7" x14ac:dyDescent="0.45">
      <c r="A2175" s="1" t="s">
        <v>7694</v>
      </c>
      <c r="B2175" s="1" t="s">
        <v>7695</v>
      </c>
      <c r="C2175" s="1" t="s">
        <v>255</v>
      </c>
      <c r="D2175" s="1" t="s">
        <v>8320</v>
      </c>
      <c r="E2175" s="1" t="s">
        <v>3917</v>
      </c>
      <c r="F2175" s="1" t="s">
        <v>3918</v>
      </c>
      <c r="G2175" s="1" t="s">
        <v>4983</v>
      </c>
    </row>
    <row r="2176" spans="1:7" x14ac:dyDescent="0.45">
      <c r="A2176" s="1" t="s">
        <v>3077</v>
      </c>
      <c r="B2176" s="1" t="s">
        <v>3078</v>
      </c>
      <c r="C2176" s="1" t="s">
        <v>255</v>
      </c>
      <c r="D2176" s="1" t="s">
        <v>3079</v>
      </c>
      <c r="E2176" s="1" t="s">
        <v>3917</v>
      </c>
      <c r="F2176" s="1" t="s">
        <v>3918</v>
      </c>
      <c r="G2176" s="1" t="s">
        <v>4983</v>
      </c>
    </row>
    <row r="2177" spans="1:7" x14ac:dyDescent="0.45">
      <c r="A2177" s="1" t="s">
        <v>4496</v>
      </c>
      <c r="B2177" s="1" t="s">
        <v>4497</v>
      </c>
      <c r="C2177" s="1" t="s">
        <v>255</v>
      </c>
      <c r="D2177" s="1" t="s">
        <v>4899</v>
      </c>
      <c r="E2177" s="1" t="s">
        <v>3917</v>
      </c>
      <c r="F2177" s="1" t="s">
        <v>3918</v>
      </c>
      <c r="G2177" s="1" t="s">
        <v>4983</v>
      </c>
    </row>
    <row r="2178" spans="1:7" x14ac:dyDescent="0.45">
      <c r="A2178" s="1" t="s">
        <v>422</v>
      </c>
      <c r="B2178" s="1" t="s">
        <v>421</v>
      </c>
      <c r="C2178" s="1" t="s">
        <v>255</v>
      </c>
      <c r="D2178" s="1" t="s">
        <v>3080</v>
      </c>
      <c r="E2178" s="1" t="s">
        <v>3917</v>
      </c>
      <c r="F2178" s="1" t="s">
        <v>3918</v>
      </c>
      <c r="G2178" s="1" t="s">
        <v>4983</v>
      </c>
    </row>
    <row r="2179" spans="1:7" x14ac:dyDescent="0.45">
      <c r="A2179" s="1" t="s">
        <v>420</v>
      </c>
      <c r="B2179" s="1" t="s">
        <v>419</v>
      </c>
      <c r="C2179" s="1" t="s">
        <v>255</v>
      </c>
      <c r="D2179" s="1" t="s">
        <v>3081</v>
      </c>
      <c r="E2179" s="1" t="s">
        <v>3917</v>
      </c>
      <c r="F2179" s="1" t="s">
        <v>3918</v>
      </c>
      <c r="G2179" s="1" t="s">
        <v>4983</v>
      </c>
    </row>
    <row r="2180" spans="1:7" x14ac:dyDescent="0.45">
      <c r="A2180" s="1" t="s">
        <v>3767</v>
      </c>
      <c r="B2180" s="1" t="s">
        <v>3768</v>
      </c>
      <c r="C2180" s="1" t="s">
        <v>255</v>
      </c>
      <c r="D2180" s="1" t="s">
        <v>3769</v>
      </c>
      <c r="E2180" s="1" t="s">
        <v>3917</v>
      </c>
      <c r="F2180" s="1" t="s">
        <v>3918</v>
      </c>
      <c r="G2180" s="1" t="s">
        <v>4983</v>
      </c>
    </row>
    <row r="2181" spans="1:7" x14ac:dyDescent="0.45">
      <c r="A2181" s="1" t="s">
        <v>10977</v>
      </c>
      <c r="B2181" s="1" t="s">
        <v>10978</v>
      </c>
      <c r="C2181" s="1" t="s">
        <v>255</v>
      </c>
      <c r="D2181" s="1" t="s">
        <v>11702</v>
      </c>
      <c r="E2181" s="1" t="s">
        <v>3917</v>
      </c>
      <c r="F2181" s="1" t="s">
        <v>3918</v>
      </c>
      <c r="G2181" s="1" t="s">
        <v>4983</v>
      </c>
    </row>
    <row r="2182" spans="1:7" x14ac:dyDescent="0.45">
      <c r="A2182" s="1" t="s">
        <v>10979</v>
      </c>
      <c r="B2182" s="1" t="s">
        <v>10980</v>
      </c>
      <c r="C2182" s="1" t="s">
        <v>255</v>
      </c>
      <c r="D2182" s="1" t="s">
        <v>11703</v>
      </c>
      <c r="E2182" s="1" t="s">
        <v>3917</v>
      </c>
      <c r="F2182" s="1" t="s">
        <v>3918</v>
      </c>
      <c r="G2182" s="1" t="s">
        <v>4983</v>
      </c>
    </row>
    <row r="2183" spans="1:7" x14ac:dyDescent="0.45">
      <c r="A2183" s="1" t="s">
        <v>4498</v>
      </c>
      <c r="B2183" s="1" t="s">
        <v>4499</v>
      </c>
      <c r="C2183" s="1" t="s">
        <v>255</v>
      </c>
      <c r="D2183" s="1" t="s">
        <v>4900</v>
      </c>
      <c r="E2183" s="1" t="s">
        <v>3917</v>
      </c>
      <c r="F2183" s="1" t="s">
        <v>3918</v>
      </c>
      <c r="G2183" s="1" t="s">
        <v>4983</v>
      </c>
    </row>
    <row r="2184" spans="1:7" x14ac:dyDescent="0.45">
      <c r="A2184" s="1" t="s">
        <v>10981</v>
      </c>
      <c r="B2184" s="1" t="s">
        <v>10982</v>
      </c>
      <c r="C2184" s="1" t="s">
        <v>255</v>
      </c>
      <c r="D2184" s="1" t="s">
        <v>11704</v>
      </c>
      <c r="E2184" s="1" t="s">
        <v>3917</v>
      </c>
      <c r="F2184" s="1" t="s">
        <v>3918</v>
      </c>
      <c r="G2184" s="1" t="s">
        <v>4983</v>
      </c>
    </row>
    <row r="2185" spans="1:7" x14ac:dyDescent="0.45">
      <c r="A2185" s="1" t="s">
        <v>7696</v>
      </c>
      <c r="B2185" s="1" t="s">
        <v>5174</v>
      </c>
      <c r="C2185" s="1" t="s">
        <v>255</v>
      </c>
      <c r="D2185" s="1" t="s">
        <v>5175</v>
      </c>
      <c r="E2185" s="1" t="s">
        <v>3917</v>
      </c>
      <c r="F2185" s="1" t="s">
        <v>3918</v>
      </c>
      <c r="G2185" s="1" t="s">
        <v>4983</v>
      </c>
    </row>
    <row r="2186" spans="1:7" x14ac:dyDescent="0.45">
      <c r="A2186" s="1" t="s">
        <v>3770</v>
      </c>
      <c r="B2186" s="1" t="s">
        <v>3771</v>
      </c>
      <c r="C2186" s="1" t="s">
        <v>255</v>
      </c>
      <c r="D2186" s="1" t="s">
        <v>3772</v>
      </c>
      <c r="E2186" s="1" t="s">
        <v>3917</v>
      </c>
      <c r="F2186" s="1" t="s">
        <v>3918</v>
      </c>
      <c r="G2186" s="1" t="s">
        <v>4983</v>
      </c>
    </row>
    <row r="2187" spans="1:7" x14ac:dyDescent="0.45">
      <c r="A2187" s="1" t="s">
        <v>7697</v>
      </c>
      <c r="B2187" s="1" t="s">
        <v>5268</v>
      </c>
      <c r="C2187" s="1" t="s">
        <v>255</v>
      </c>
      <c r="D2187" s="1" t="s">
        <v>5269</v>
      </c>
      <c r="E2187" s="1" t="s">
        <v>3917</v>
      </c>
      <c r="F2187" s="1" t="s">
        <v>3918</v>
      </c>
      <c r="G2187" s="1" t="s">
        <v>4983</v>
      </c>
    </row>
    <row r="2188" spans="1:7" x14ac:dyDescent="0.45">
      <c r="A2188" s="1" t="s">
        <v>7698</v>
      </c>
      <c r="B2188" s="1" t="s">
        <v>7699</v>
      </c>
      <c r="C2188" s="1" t="s">
        <v>255</v>
      </c>
      <c r="D2188" s="1" t="s">
        <v>11705</v>
      </c>
      <c r="E2188" s="1" t="s">
        <v>3917</v>
      </c>
      <c r="F2188" s="1" t="s">
        <v>3918</v>
      </c>
      <c r="G2188" s="1" t="s">
        <v>4983</v>
      </c>
    </row>
    <row r="2189" spans="1:7" x14ac:dyDescent="0.45">
      <c r="A2189" s="1" t="s">
        <v>7700</v>
      </c>
      <c r="B2189" s="1" t="s">
        <v>7701</v>
      </c>
      <c r="C2189" s="1" t="s">
        <v>255</v>
      </c>
      <c r="D2189" s="1" t="s">
        <v>8321</v>
      </c>
      <c r="E2189" s="1" t="s">
        <v>3917</v>
      </c>
      <c r="F2189" s="1" t="s">
        <v>3918</v>
      </c>
      <c r="G2189" s="1" t="s">
        <v>4983</v>
      </c>
    </row>
    <row r="2190" spans="1:7" x14ac:dyDescent="0.45">
      <c r="A2190" s="1" t="s">
        <v>7702</v>
      </c>
      <c r="B2190" s="1" t="s">
        <v>7703</v>
      </c>
      <c r="C2190" s="1" t="s">
        <v>255</v>
      </c>
      <c r="D2190" s="1" t="s">
        <v>8322</v>
      </c>
      <c r="E2190" s="1" t="s">
        <v>3917</v>
      </c>
      <c r="F2190" s="1" t="s">
        <v>3918</v>
      </c>
      <c r="G2190" s="1" t="s">
        <v>4983</v>
      </c>
    </row>
    <row r="2191" spans="1:7" x14ac:dyDescent="0.45">
      <c r="A2191" s="1" t="s">
        <v>10983</v>
      </c>
      <c r="B2191" s="1" t="s">
        <v>5536</v>
      </c>
      <c r="C2191" s="1" t="s">
        <v>255</v>
      </c>
      <c r="D2191" s="1" t="s">
        <v>5537</v>
      </c>
      <c r="E2191" s="1" t="s">
        <v>3919</v>
      </c>
      <c r="F2191" s="1" t="s">
        <v>3918</v>
      </c>
      <c r="G2191" s="1" t="s">
        <v>4983</v>
      </c>
    </row>
    <row r="2192" spans="1:7" x14ac:dyDescent="0.45">
      <c r="A2192" s="1" t="s">
        <v>7704</v>
      </c>
      <c r="B2192" s="1" t="s">
        <v>7705</v>
      </c>
      <c r="C2192" s="1" t="s">
        <v>255</v>
      </c>
      <c r="D2192" s="1" t="s">
        <v>8323</v>
      </c>
      <c r="E2192" s="1" t="s">
        <v>3917</v>
      </c>
      <c r="F2192" s="1" t="s">
        <v>3918</v>
      </c>
      <c r="G2192" s="1" t="s">
        <v>4983</v>
      </c>
    </row>
    <row r="2193" spans="1:7" x14ac:dyDescent="0.45">
      <c r="A2193" s="1" t="s">
        <v>7706</v>
      </c>
      <c r="B2193" s="1" t="s">
        <v>7707</v>
      </c>
      <c r="C2193" s="1" t="s">
        <v>255</v>
      </c>
      <c r="D2193" s="1" t="s">
        <v>8324</v>
      </c>
      <c r="E2193" s="1" t="s">
        <v>3917</v>
      </c>
      <c r="F2193" s="1" t="s">
        <v>3918</v>
      </c>
      <c r="G2193" s="1" t="s">
        <v>4983</v>
      </c>
    </row>
    <row r="2194" spans="1:7" x14ac:dyDescent="0.45">
      <c r="A2194" s="1" t="s">
        <v>10984</v>
      </c>
      <c r="B2194" s="1" t="s">
        <v>10985</v>
      </c>
      <c r="C2194" s="1" t="s">
        <v>255</v>
      </c>
      <c r="D2194" s="1" t="s">
        <v>11706</v>
      </c>
      <c r="E2194" s="1" t="s">
        <v>3917</v>
      </c>
      <c r="F2194" s="1" t="s">
        <v>3918</v>
      </c>
      <c r="G2194" s="1" t="s">
        <v>4983</v>
      </c>
    </row>
    <row r="2195" spans="1:7" x14ac:dyDescent="0.45">
      <c r="A2195" s="1" t="s">
        <v>10986</v>
      </c>
      <c r="B2195" s="1" t="s">
        <v>10987</v>
      </c>
      <c r="C2195" s="1" t="s">
        <v>255</v>
      </c>
      <c r="D2195" s="1" t="s">
        <v>11707</v>
      </c>
      <c r="E2195" s="1" t="s">
        <v>3917</v>
      </c>
      <c r="F2195" s="1" t="s">
        <v>3918</v>
      </c>
      <c r="G2195" s="1" t="s">
        <v>4983</v>
      </c>
    </row>
    <row r="2196" spans="1:7" x14ac:dyDescent="0.45">
      <c r="A2196" s="1" t="s">
        <v>4500</v>
      </c>
      <c r="B2196" s="1" t="s">
        <v>4501</v>
      </c>
      <c r="C2196" s="1" t="s">
        <v>255</v>
      </c>
      <c r="D2196" s="1" t="s">
        <v>4901</v>
      </c>
      <c r="E2196" s="1" t="s">
        <v>3917</v>
      </c>
      <c r="F2196" s="1" t="s">
        <v>3918</v>
      </c>
      <c r="G2196" s="1" t="s">
        <v>4983</v>
      </c>
    </row>
    <row r="2197" spans="1:7" x14ac:dyDescent="0.45">
      <c r="A2197" s="1" t="s">
        <v>416</v>
      </c>
      <c r="B2197" s="1" t="s">
        <v>415</v>
      </c>
      <c r="C2197" s="1" t="s">
        <v>255</v>
      </c>
      <c r="D2197" s="1" t="s">
        <v>3084</v>
      </c>
      <c r="E2197" s="1" t="s">
        <v>3917</v>
      </c>
      <c r="F2197" s="1" t="s">
        <v>3918</v>
      </c>
      <c r="G2197" s="1" t="s">
        <v>4983</v>
      </c>
    </row>
    <row r="2198" spans="1:7" x14ac:dyDescent="0.45">
      <c r="A2198" s="1" t="s">
        <v>3773</v>
      </c>
      <c r="B2198" s="1" t="s">
        <v>3774</v>
      </c>
      <c r="C2198" s="1" t="s">
        <v>255</v>
      </c>
      <c r="D2198" s="1" t="s">
        <v>3775</v>
      </c>
      <c r="E2198" s="1" t="s">
        <v>3917</v>
      </c>
      <c r="F2198" s="1" t="s">
        <v>3918</v>
      </c>
      <c r="G2198" s="1" t="s">
        <v>4983</v>
      </c>
    </row>
    <row r="2199" spans="1:7" x14ac:dyDescent="0.45">
      <c r="A2199" s="1" t="s">
        <v>10988</v>
      </c>
      <c r="B2199" s="1" t="s">
        <v>10989</v>
      </c>
      <c r="C2199" s="1" t="s">
        <v>255</v>
      </c>
      <c r="D2199" s="1" t="s">
        <v>11708</v>
      </c>
      <c r="E2199" s="1" t="s">
        <v>3917</v>
      </c>
      <c r="F2199" s="1" t="s">
        <v>3918</v>
      </c>
      <c r="G2199" s="1" t="s">
        <v>4983</v>
      </c>
    </row>
    <row r="2200" spans="1:7" x14ac:dyDescent="0.45">
      <c r="A2200" s="1" t="s">
        <v>1799</v>
      </c>
      <c r="B2200" s="1" t="s">
        <v>1800</v>
      </c>
      <c r="C2200" s="1" t="s">
        <v>255</v>
      </c>
      <c r="D2200" s="1" t="s">
        <v>3085</v>
      </c>
      <c r="E2200" s="1" t="s">
        <v>3917</v>
      </c>
      <c r="F2200" s="1" t="s">
        <v>3918</v>
      </c>
      <c r="G2200" s="1" t="s">
        <v>4983</v>
      </c>
    </row>
    <row r="2201" spans="1:7" x14ac:dyDescent="0.45">
      <c r="A2201" s="1" t="s">
        <v>3776</v>
      </c>
      <c r="B2201" s="1" t="s">
        <v>3777</v>
      </c>
      <c r="C2201" s="1" t="s">
        <v>255</v>
      </c>
      <c r="D2201" s="1" t="s">
        <v>3778</v>
      </c>
      <c r="E2201" s="1" t="s">
        <v>3917</v>
      </c>
      <c r="F2201" s="1" t="s">
        <v>3918</v>
      </c>
      <c r="G2201" s="1" t="s">
        <v>4983</v>
      </c>
    </row>
    <row r="2202" spans="1:7" x14ac:dyDescent="0.45">
      <c r="A2202" s="1" t="s">
        <v>414</v>
      </c>
      <c r="B2202" s="1" t="s">
        <v>413</v>
      </c>
      <c r="C2202" s="1" t="s">
        <v>255</v>
      </c>
      <c r="D2202" s="1" t="s">
        <v>3086</v>
      </c>
      <c r="E2202" s="1" t="s">
        <v>3917</v>
      </c>
      <c r="F2202" s="1" t="s">
        <v>3918</v>
      </c>
      <c r="G2202" s="1" t="s">
        <v>4983</v>
      </c>
    </row>
    <row r="2203" spans="1:7" x14ac:dyDescent="0.45">
      <c r="A2203" s="1" t="s">
        <v>412</v>
      </c>
      <c r="B2203" s="1" t="s">
        <v>411</v>
      </c>
      <c r="C2203" s="1" t="s">
        <v>255</v>
      </c>
      <c r="D2203" s="1" t="s">
        <v>3087</v>
      </c>
      <c r="E2203" s="1" t="s">
        <v>3917</v>
      </c>
      <c r="F2203" s="1" t="s">
        <v>3918</v>
      </c>
      <c r="G2203" s="1" t="s">
        <v>4983</v>
      </c>
    </row>
    <row r="2204" spans="1:7" x14ac:dyDescent="0.45">
      <c r="A2204" s="1" t="s">
        <v>10990</v>
      </c>
      <c r="B2204" s="1" t="s">
        <v>10991</v>
      </c>
      <c r="C2204" s="1" t="s">
        <v>255</v>
      </c>
      <c r="D2204" s="1" t="s">
        <v>11709</v>
      </c>
      <c r="E2204" s="1" t="s">
        <v>3917</v>
      </c>
      <c r="F2204" s="1" t="s">
        <v>3918</v>
      </c>
      <c r="G2204" s="1" t="s">
        <v>4983</v>
      </c>
    </row>
    <row r="2205" spans="1:7" x14ac:dyDescent="0.45">
      <c r="A2205" s="1" t="s">
        <v>4502</v>
      </c>
      <c r="B2205" s="1" t="s">
        <v>4503</v>
      </c>
      <c r="C2205" s="1" t="s">
        <v>255</v>
      </c>
      <c r="D2205" s="1" t="s">
        <v>4902</v>
      </c>
      <c r="E2205" s="1" t="s">
        <v>3917</v>
      </c>
      <c r="F2205" s="1" t="s">
        <v>3918</v>
      </c>
      <c r="G2205" s="1" t="s">
        <v>4983</v>
      </c>
    </row>
    <row r="2206" spans="1:7" x14ac:dyDescent="0.45">
      <c r="A2206" s="1" t="s">
        <v>10992</v>
      </c>
      <c r="B2206" s="1" t="s">
        <v>10993</v>
      </c>
      <c r="C2206" s="1" t="s">
        <v>255</v>
      </c>
      <c r="D2206" s="1" t="s">
        <v>11710</v>
      </c>
      <c r="E2206" s="1" t="s">
        <v>3917</v>
      </c>
      <c r="F2206" s="1" t="s">
        <v>3918</v>
      </c>
      <c r="G2206" s="1" t="s">
        <v>4983</v>
      </c>
    </row>
    <row r="2207" spans="1:7" x14ac:dyDescent="0.45">
      <c r="A2207" s="1" t="s">
        <v>4504</v>
      </c>
      <c r="B2207" s="1" t="s">
        <v>4505</v>
      </c>
      <c r="C2207" s="1" t="s">
        <v>255</v>
      </c>
      <c r="D2207" s="1" t="s">
        <v>4903</v>
      </c>
      <c r="E2207" s="1" t="s">
        <v>3917</v>
      </c>
      <c r="F2207" s="1" t="s">
        <v>3918</v>
      </c>
      <c r="G2207" s="1" t="s">
        <v>4983</v>
      </c>
    </row>
    <row r="2208" spans="1:7" x14ac:dyDescent="0.45">
      <c r="A2208" s="1" t="s">
        <v>10994</v>
      </c>
      <c r="B2208" s="1" t="s">
        <v>6703</v>
      </c>
      <c r="C2208" s="1" t="s">
        <v>255</v>
      </c>
      <c r="D2208" s="1" t="s">
        <v>4903</v>
      </c>
      <c r="E2208" s="1" t="s">
        <v>3917</v>
      </c>
      <c r="F2208" s="1" t="s">
        <v>3918</v>
      </c>
      <c r="G2208" s="1" t="s">
        <v>4983</v>
      </c>
    </row>
    <row r="2209" spans="1:7" x14ac:dyDescent="0.45">
      <c r="A2209" s="1" t="s">
        <v>10995</v>
      </c>
      <c r="B2209" s="1" t="s">
        <v>10996</v>
      </c>
      <c r="C2209" s="1" t="s">
        <v>255</v>
      </c>
      <c r="D2209" s="1" t="s">
        <v>11711</v>
      </c>
      <c r="E2209" s="1" t="s">
        <v>3919</v>
      </c>
      <c r="F2209" s="1" t="s">
        <v>3918</v>
      </c>
      <c r="G2209" s="1" t="s">
        <v>4983</v>
      </c>
    </row>
    <row r="2210" spans="1:7" x14ac:dyDescent="0.45">
      <c r="A2210" s="1" t="s">
        <v>7708</v>
      </c>
      <c r="B2210" s="1" t="s">
        <v>7709</v>
      </c>
      <c r="C2210" s="1" t="s">
        <v>255</v>
      </c>
      <c r="D2210" s="1" t="s">
        <v>8325</v>
      </c>
      <c r="E2210" s="1" t="s">
        <v>3917</v>
      </c>
      <c r="F2210" s="1" t="s">
        <v>3918</v>
      </c>
      <c r="G2210" s="1" t="s">
        <v>4983</v>
      </c>
    </row>
    <row r="2211" spans="1:7" x14ac:dyDescent="0.45">
      <c r="A2211" s="1" t="s">
        <v>10997</v>
      </c>
      <c r="B2211" s="1" t="s">
        <v>10998</v>
      </c>
      <c r="C2211" s="1" t="s">
        <v>255</v>
      </c>
      <c r="D2211" s="1" t="s">
        <v>11712</v>
      </c>
      <c r="E2211" s="1" t="s">
        <v>3917</v>
      </c>
      <c r="F2211" s="1" t="s">
        <v>3918</v>
      </c>
      <c r="G2211" s="1" t="s">
        <v>4983</v>
      </c>
    </row>
    <row r="2212" spans="1:7" x14ac:dyDescent="0.45">
      <c r="A2212" s="1" t="s">
        <v>10999</v>
      </c>
      <c r="B2212" s="1" t="s">
        <v>11000</v>
      </c>
      <c r="C2212" s="1" t="s">
        <v>255</v>
      </c>
      <c r="D2212" s="1" t="s">
        <v>11713</v>
      </c>
      <c r="E2212" s="1" t="s">
        <v>3917</v>
      </c>
      <c r="F2212" s="1" t="s">
        <v>3918</v>
      </c>
      <c r="G2212" s="1" t="s">
        <v>4983</v>
      </c>
    </row>
    <row r="2213" spans="1:7" x14ac:dyDescent="0.45">
      <c r="A2213" s="1" t="s">
        <v>7710</v>
      </c>
      <c r="B2213" s="1" t="s">
        <v>7711</v>
      </c>
      <c r="C2213" s="1" t="s">
        <v>255</v>
      </c>
      <c r="D2213" s="1" t="s">
        <v>8326</v>
      </c>
      <c r="E2213" s="1" t="s">
        <v>3917</v>
      </c>
      <c r="F2213" s="1" t="s">
        <v>3918</v>
      </c>
      <c r="G2213" s="1" t="s">
        <v>4983</v>
      </c>
    </row>
    <row r="2214" spans="1:7" x14ac:dyDescent="0.45">
      <c r="A2214" s="1" t="s">
        <v>11001</v>
      </c>
      <c r="B2214" s="1" t="s">
        <v>11002</v>
      </c>
      <c r="C2214" s="1" t="s">
        <v>255</v>
      </c>
      <c r="D2214" s="1" t="s">
        <v>11714</v>
      </c>
      <c r="E2214" s="1" t="s">
        <v>3917</v>
      </c>
      <c r="F2214" s="1" t="s">
        <v>3918</v>
      </c>
      <c r="G2214" s="1" t="s">
        <v>4983</v>
      </c>
    </row>
    <row r="2215" spans="1:7" x14ac:dyDescent="0.45">
      <c r="A2215" s="1" t="s">
        <v>11003</v>
      </c>
      <c r="B2215" s="1" t="s">
        <v>5236</v>
      </c>
      <c r="C2215" s="1" t="s">
        <v>255</v>
      </c>
      <c r="D2215" s="1" t="s">
        <v>5237</v>
      </c>
      <c r="E2215" s="1" t="s">
        <v>3917</v>
      </c>
      <c r="F2215" s="1" t="s">
        <v>3918</v>
      </c>
      <c r="G2215" s="1" t="s">
        <v>4983</v>
      </c>
    </row>
    <row r="2216" spans="1:7" x14ac:dyDescent="0.45">
      <c r="A2216" s="1" t="s">
        <v>410</v>
      </c>
      <c r="B2216" s="1" t="s">
        <v>409</v>
      </c>
      <c r="C2216" s="1" t="s">
        <v>255</v>
      </c>
      <c r="D2216" s="1" t="s">
        <v>3088</v>
      </c>
      <c r="E2216" s="1" t="s">
        <v>3917</v>
      </c>
      <c r="F2216" s="1" t="s">
        <v>3918</v>
      </c>
      <c r="G2216" s="1" t="s">
        <v>4983</v>
      </c>
    </row>
    <row r="2217" spans="1:7" x14ac:dyDescent="0.45">
      <c r="A2217" s="1" t="s">
        <v>408</v>
      </c>
      <c r="B2217" s="1" t="s">
        <v>407</v>
      </c>
      <c r="C2217" s="1" t="s">
        <v>255</v>
      </c>
      <c r="D2217" s="1" t="s">
        <v>3089</v>
      </c>
      <c r="E2217" s="1" t="s">
        <v>3917</v>
      </c>
      <c r="F2217" s="1" t="s">
        <v>3918</v>
      </c>
      <c r="G2217" s="1" t="s">
        <v>4983</v>
      </c>
    </row>
    <row r="2218" spans="1:7" x14ac:dyDescent="0.45">
      <c r="A2218" s="1" t="s">
        <v>7712</v>
      </c>
      <c r="B2218" s="1" t="s">
        <v>2099</v>
      </c>
      <c r="C2218" s="1" t="s">
        <v>255</v>
      </c>
      <c r="D2218" s="1" t="s">
        <v>2100</v>
      </c>
      <c r="E2218" s="1" t="s">
        <v>3917</v>
      </c>
      <c r="F2218" s="1" t="s">
        <v>3918</v>
      </c>
      <c r="G2218" s="1" t="s">
        <v>4983</v>
      </c>
    </row>
    <row r="2219" spans="1:7" x14ac:dyDescent="0.45">
      <c r="A2219" s="1" t="s">
        <v>11004</v>
      </c>
      <c r="B2219" s="1" t="s">
        <v>11005</v>
      </c>
      <c r="C2219" s="1" t="s">
        <v>255</v>
      </c>
      <c r="D2219" s="1" t="s">
        <v>11715</v>
      </c>
      <c r="E2219" s="1" t="s">
        <v>3917</v>
      </c>
      <c r="F2219" s="1" t="s">
        <v>3918</v>
      </c>
      <c r="G2219" s="1" t="s">
        <v>4983</v>
      </c>
    </row>
    <row r="2220" spans="1:7" x14ac:dyDescent="0.45">
      <c r="A2220" s="1" t="s">
        <v>11006</v>
      </c>
      <c r="B2220" s="1" t="s">
        <v>11007</v>
      </c>
      <c r="C2220" s="1" t="s">
        <v>255</v>
      </c>
      <c r="D2220" s="1" t="s">
        <v>11716</v>
      </c>
      <c r="E2220" s="1" t="s">
        <v>3917</v>
      </c>
      <c r="F2220" s="1" t="s">
        <v>3918</v>
      </c>
      <c r="G2220" s="1" t="s">
        <v>4983</v>
      </c>
    </row>
    <row r="2221" spans="1:7" x14ac:dyDescent="0.45">
      <c r="A2221" s="1" t="s">
        <v>7713</v>
      </c>
      <c r="B2221" s="1" t="s">
        <v>7714</v>
      </c>
      <c r="C2221" s="1" t="s">
        <v>255</v>
      </c>
      <c r="D2221" s="1" t="s">
        <v>8327</v>
      </c>
      <c r="E2221" s="1" t="s">
        <v>3917</v>
      </c>
      <c r="F2221" s="1" t="s">
        <v>3918</v>
      </c>
      <c r="G2221" s="1" t="s">
        <v>4983</v>
      </c>
    </row>
    <row r="2222" spans="1:7" x14ac:dyDescent="0.45">
      <c r="A2222" s="1" t="s">
        <v>7715</v>
      </c>
      <c r="B2222" s="1" t="s">
        <v>7716</v>
      </c>
      <c r="C2222" s="1" t="s">
        <v>255</v>
      </c>
      <c r="D2222" s="1" t="s">
        <v>8328</v>
      </c>
      <c r="E2222" s="1" t="s">
        <v>3917</v>
      </c>
      <c r="F2222" s="1" t="s">
        <v>3918</v>
      </c>
      <c r="G2222" s="1" t="s">
        <v>4983</v>
      </c>
    </row>
    <row r="2223" spans="1:7" x14ac:dyDescent="0.45">
      <c r="A2223" s="1" t="s">
        <v>4508</v>
      </c>
      <c r="B2223" s="1" t="s">
        <v>4509</v>
      </c>
      <c r="C2223" s="1" t="s">
        <v>255</v>
      </c>
      <c r="D2223" s="1" t="s">
        <v>4905</v>
      </c>
      <c r="E2223" s="1" t="s">
        <v>3917</v>
      </c>
      <c r="F2223" s="1" t="s">
        <v>3918</v>
      </c>
      <c r="G2223" s="1" t="s">
        <v>4983</v>
      </c>
    </row>
    <row r="2224" spans="1:7" x14ac:dyDescent="0.45">
      <c r="A2224" s="1" t="s">
        <v>11008</v>
      </c>
      <c r="B2224" s="1" t="s">
        <v>5559</v>
      </c>
      <c r="C2224" s="1" t="s">
        <v>255</v>
      </c>
      <c r="D2224" s="1" t="s">
        <v>5560</v>
      </c>
      <c r="E2224" s="1" t="s">
        <v>3917</v>
      </c>
      <c r="F2224" s="1" t="s">
        <v>3918</v>
      </c>
      <c r="G2224" s="1" t="s">
        <v>4983</v>
      </c>
    </row>
    <row r="2225" spans="1:7" x14ac:dyDescent="0.45">
      <c r="A2225" s="1" t="s">
        <v>11009</v>
      </c>
      <c r="B2225" s="1" t="s">
        <v>5170</v>
      </c>
      <c r="C2225" s="1" t="s">
        <v>255</v>
      </c>
      <c r="D2225" s="1" t="s">
        <v>5171</v>
      </c>
      <c r="E2225" s="1" t="s">
        <v>3917</v>
      </c>
      <c r="F2225" s="1" t="s">
        <v>3918</v>
      </c>
      <c r="G2225" s="1" t="s">
        <v>4983</v>
      </c>
    </row>
    <row r="2226" spans="1:7" x14ac:dyDescent="0.45">
      <c r="A2226" s="1" t="s">
        <v>4510</v>
      </c>
      <c r="B2226" s="1" t="s">
        <v>4511</v>
      </c>
      <c r="C2226" s="1" t="s">
        <v>255</v>
      </c>
      <c r="D2226" s="1" t="s">
        <v>4906</v>
      </c>
      <c r="E2226" s="1" t="s">
        <v>3917</v>
      </c>
      <c r="F2226" s="1" t="s">
        <v>3918</v>
      </c>
      <c r="G2226" s="1" t="s">
        <v>4983</v>
      </c>
    </row>
    <row r="2227" spans="1:7" x14ac:dyDescent="0.45">
      <c r="A2227" s="1" t="s">
        <v>7717</v>
      </c>
      <c r="B2227" s="1" t="s">
        <v>7718</v>
      </c>
      <c r="C2227" s="1" t="s">
        <v>255</v>
      </c>
      <c r="D2227" s="1" t="s">
        <v>8329</v>
      </c>
      <c r="E2227" s="1" t="s">
        <v>3917</v>
      </c>
      <c r="F2227" s="1" t="s">
        <v>3918</v>
      </c>
      <c r="G2227" s="1" t="s">
        <v>4983</v>
      </c>
    </row>
    <row r="2228" spans="1:7" x14ac:dyDescent="0.45">
      <c r="A2228" s="1" t="s">
        <v>1801</v>
      </c>
      <c r="B2228" s="1" t="s">
        <v>1802</v>
      </c>
      <c r="C2228" s="1" t="s">
        <v>255</v>
      </c>
      <c r="D2228" s="1" t="s">
        <v>3090</v>
      </c>
      <c r="E2228" s="1" t="s">
        <v>3917</v>
      </c>
      <c r="F2228" s="1" t="s">
        <v>3918</v>
      </c>
      <c r="G2228" s="1" t="s">
        <v>4983</v>
      </c>
    </row>
    <row r="2229" spans="1:7" x14ac:dyDescent="0.45">
      <c r="A2229" s="1" t="s">
        <v>11010</v>
      </c>
      <c r="B2229" s="1" t="s">
        <v>11011</v>
      </c>
      <c r="C2229" s="1" t="s">
        <v>255</v>
      </c>
      <c r="D2229" s="1" t="s">
        <v>11717</v>
      </c>
      <c r="E2229" s="1" t="s">
        <v>3919</v>
      </c>
      <c r="F2229" s="1" t="s">
        <v>3918</v>
      </c>
      <c r="G2229" s="1" t="s">
        <v>4983</v>
      </c>
    </row>
    <row r="2230" spans="1:7" x14ac:dyDescent="0.45">
      <c r="A2230" s="1" t="s">
        <v>7719</v>
      </c>
      <c r="B2230" s="1" t="s">
        <v>5746</v>
      </c>
      <c r="C2230" s="1" t="s">
        <v>255</v>
      </c>
      <c r="D2230" s="1" t="s">
        <v>5747</v>
      </c>
      <c r="E2230" s="1" t="s">
        <v>3917</v>
      </c>
      <c r="F2230" s="1" t="s">
        <v>3918</v>
      </c>
      <c r="G2230" s="1" t="s">
        <v>4983</v>
      </c>
    </row>
    <row r="2231" spans="1:7" x14ac:dyDescent="0.45">
      <c r="A2231" s="1" t="s">
        <v>3782</v>
      </c>
      <c r="B2231" s="1" t="s">
        <v>1803</v>
      </c>
      <c r="C2231" s="1" t="s">
        <v>255</v>
      </c>
      <c r="D2231" s="1" t="s">
        <v>3091</v>
      </c>
      <c r="E2231" s="1" t="s">
        <v>3919</v>
      </c>
      <c r="F2231" s="1" t="s">
        <v>3918</v>
      </c>
      <c r="G2231" s="1" t="s">
        <v>4983</v>
      </c>
    </row>
    <row r="2232" spans="1:7" x14ac:dyDescent="0.45">
      <c r="A2232" s="1" t="s">
        <v>11012</v>
      </c>
      <c r="B2232" s="1" t="s">
        <v>11013</v>
      </c>
      <c r="C2232" s="1" t="s">
        <v>255</v>
      </c>
      <c r="D2232" s="1" t="s">
        <v>11718</v>
      </c>
      <c r="E2232" s="1" t="s">
        <v>3917</v>
      </c>
      <c r="F2232" s="1" t="s">
        <v>3918</v>
      </c>
      <c r="G2232" s="1" t="s">
        <v>4983</v>
      </c>
    </row>
    <row r="2233" spans="1:7" x14ac:dyDescent="0.45">
      <c r="A2233" s="1" t="s">
        <v>4514</v>
      </c>
      <c r="B2233" s="1" t="s">
        <v>4515</v>
      </c>
      <c r="C2233" s="1" t="s">
        <v>255</v>
      </c>
      <c r="D2233" s="1" t="s">
        <v>4908</v>
      </c>
      <c r="E2233" s="1" t="s">
        <v>3917</v>
      </c>
      <c r="F2233" s="1" t="s">
        <v>3918</v>
      </c>
      <c r="G2233" s="1" t="s">
        <v>4983</v>
      </c>
    </row>
    <row r="2234" spans="1:7" x14ac:dyDescent="0.45">
      <c r="A2234" s="1" t="s">
        <v>7720</v>
      </c>
      <c r="B2234" s="1" t="s">
        <v>5127</v>
      </c>
      <c r="C2234" s="1" t="s">
        <v>255</v>
      </c>
      <c r="D2234" s="1" t="s">
        <v>5128</v>
      </c>
      <c r="E2234" s="1" t="s">
        <v>3919</v>
      </c>
      <c r="F2234" s="1" t="s">
        <v>3918</v>
      </c>
      <c r="G2234" s="1" t="s">
        <v>4983</v>
      </c>
    </row>
    <row r="2235" spans="1:7" x14ac:dyDescent="0.45">
      <c r="A2235" s="1" t="s">
        <v>7721</v>
      </c>
      <c r="B2235" s="1" t="s">
        <v>5351</v>
      </c>
      <c r="C2235" s="1" t="s">
        <v>255</v>
      </c>
      <c r="D2235" s="1" t="s">
        <v>5352</v>
      </c>
      <c r="E2235" s="1" t="s">
        <v>3917</v>
      </c>
      <c r="F2235" s="1" t="s">
        <v>3918</v>
      </c>
      <c r="G2235" s="1" t="s">
        <v>4983</v>
      </c>
    </row>
    <row r="2236" spans="1:7" x14ac:dyDescent="0.45">
      <c r="A2236" s="1" t="s">
        <v>3092</v>
      </c>
      <c r="B2236" s="1" t="s">
        <v>3093</v>
      </c>
      <c r="C2236" s="1" t="s">
        <v>255</v>
      </c>
      <c r="D2236" s="1" t="s">
        <v>3094</v>
      </c>
      <c r="E2236" s="1" t="s">
        <v>3917</v>
      </c>
      <c r="F2236" s="1" t="s">
        <v>3918</v>
      </c>
      <c r="G2236" s="1" t="s">
        <v>4983</v>
      </c>
    </row>
    <row r="2237" spans="1:7" x14ac:dyDescent="0.45">
      <c r="A2237" s="1" t="s">
        <v>11014</v>
      </c>
      <c r="B2237" s="1" t="s">
        <v>6334</v>
      </c>
      <c r="C2237" s="1" t="s">
        <v>255</v>
      </c>
      <c r="D2237" s="1" t="s">
        <v>6335</v>
      </c>
      <c r="E2237" s="1" t="s">
        <v>3917</v>
      </c>
      <c r="F2237" s="1" t="s">
        <v>3918</v>
      </c>
      <c r="G2237" s="1" t="s">
        <v>4983</v>
      </c>
    </row>
    <row r="2238" spans="1:7" x14ac:dyDescent="0.45">
      <c r="A2238" s="1" t="s">
        <v>4518</v>
      </c>
      <c r="B2238" s="1" t="s">
        <v>4519</v>
      </c>
      <c r="C2238" s="1" t="s">
        <v>255</v>
      </c>
      <c r="D2238" s="1" t="s">
        <v>4910</v>
      </c>
      <c r="E2238" s="1" t="s">
        <v>3917</v>
      </c>
      <c r="F2238" s="1" t="s">
        <v>3918</v>
      </c>
      <c r="G2238" s="1" t="s">
        <v>4983</v>
      </c>
    </row>
    <row r="2239" spans="1:7" x14ac:dyDescent="0.45">
      <c r="A2239" s="1" t="s">
        <v>7722</v>
      </c>
      <c r="B2239" s="1" t="s">
        <v>7723</v>
      </c>
      <c r="C2239" s="1" t="s">
        <v>255</v>
      </c>
      <c r="D2239" s="1" t="s">
        <v>8330</v>
      </c>
      <c r="E2239" s="1" t="s">
        <v>3917</v>
      </c>
      <c r="F2239" s="1" t="s">
        <v>3918</v>
      </c>
      <c r="G2239" s="1" t="s">
        <v>4983</v>
      </c>
    </row>
    <row r="2240" spans="1:7" x14ac:dyDescent="0.45">
      <c r="A2240" s="1" t="s">
        <v>11015</v>
      </c>
      <c r="B2240" s="1" t="s">
        <v>11016</v>
      </c>
      <c r="C2240" s="1" t="s">
        <v>255</v>
      </c>
      <c r="D2240" s="1" t="s">
        <v>11719</v>
      </c>
      <c r="E2240" s="1" t="s">
        <v>3917</v>
      </c>
      <c r="F2240" s="1" t="s">
        <v>3918</v>
      </c>
      <c r="G2240" s="1" t="s">
        <v>4983</v>
      </c>
    </row>
    <row r="2241" spans="1:7" x14ac:dyDescent="0.45">
      <c r="A2241" s="1" t="s">
        <v>7724</v>
      </c>
      <c r="B2241" s="1" t="s">
        <v>5614</v>
      </c>
      <c r="C2241" s="1" t="s">
        <v>255</v>
      </c>
      <c r="D2241" s="1" t="s">
        <v>5615</v>
      </c>
      <c r="E2241" s="1" t="s">
        <v>3917</v>
      </c>
      <c r="F2241" s="1" t="s">
        <v>3918</v>
      </c>
      <c r="G2241" s="1" t="s">
        <v>4983</v>
      </c>
    </row>
    <row r="2242" spans="1:7" x14ac:dyDescent="0.45">
      <c r="A2242" s="1" t="s">
        <v>11017</v>
      </c>
      <c r="B2242" s="1" t="s">
        <v>11018</v>
      </c>
      <c r="C2242" s="1" t="s">
        <v>255</v>
      </c>
      <c r="D2242" s="1" t="s">
        <v>11720</v>
      </c>
      <c r="E2242" s="1" t="s">
        <v>3917</v>
      </c>
      <c r="F2242" s="1" t="s">
        <v>3918</v>
      </c>
      <c r="G2242" s="1" t="s">
        <v>4983</v>
      </c>
    </row>
    <row r="2243" spans="1:7" x14ac:dyDescent="0.45">
      <c r="A2243" s="1" t="s">
        <v>1806</v>
      </c>
      <c r="B2243" s="1" t="s">
        <v>1807</v>
      </c>
      <c r="C2243" s="1" t="s">
        <v>255</v>
      </c>
      <c r="D2243" s="1" t="s">
        <v>3096</v>
      </c>
      <c r="E2243" s="1" t="s">
        <v>3917</v>
      </c>
      <c r="F2243" s="1" t="s">
        <v>3918</v>
      </c>
      <c r="G2243" s="1" t="s">
        <v>4983</v>
      </c>
    </row>
    <row r="2244" spans="1:7" x14ac:dyDescent="0.45">
      <c r="A2244" s="1" t="s">
        <v>7725</v>
      </c>
      <c r="B2244" s="1" t="s">
        <v>7726</v>
      </c>
      <c r="C2244" s="1" t="s">
        <v>255</v>
      </c>
      <c r="D2244" s="1" t="s">
        <v>8331</v>
      </c>
      <c r="E2244" s="1" t="s">
        <v>3917</v>
      </c>
      <c r="F2244" s="1" t="s">
        <v>3918</v>
      </c>
      <c r="G2244" s="1" t="s">
        <v>4983</v>
      </c>
    </row>
    <row r="2245" spans="1:7" x14ac:dyDescent="0.45">
      <c r="A2245" s="1" t="s">
        <v>7727</v>
      </c>
      <c r="B2245" s="1" t="s">
        <v>7728</v>
      </c>
      <c r="C2245" s="1" t="s">
        <v>255</v>
      </c>
      <c r="D2245" s="1" t="s">
        <v>8332</v>
      </c>
      <c r="E2245" s="1" t="s">
        <v>3917</v>
      </c>
      <c r="F2245" s="1" t="s">
        <v>3918</v>
      </c>
      <c r="G2245" s="1" t="s">
        <v>4983</v>
      </c>
    </row>
    <row r="2246" spans="1:7" x14ac:dyDescent="0.45">
      <c r="A2246" s="1" t="s">
        <v>406</v>
      </c>
      <c r="B2246" s="1" t="s">
        <v>405</v>
      </c>
      <c r="C2246" s="1" t="s">
        <v>255</v>
      </c>
      <c r="D2246" s="1" t="s">
        <v>3097</v>
      </c>
      <c r="E2246" s="1" t="s">
        <v>3917</v>
      </c>
      <c r="F2246" s="1" t="s">
        <v>3918</v>
      </c>
      <c r="G2246" s="1" t="s">
        <v>4983</v>
      </c>
    </row>
    <row r="2247" spans="1:7" x14ac:dyDescent="0.45">
      <c r="A2247" s="1" t="s">
        <v>3786</v>
      </c>
      <c r="B2247" s="1" t="s">
        <v>3787</v>
      </c>
      <c r="C2247" s="1" t="s">
        <v>255</v>
      </c>
      <c r="D2247" s="1" t="s">
        <v>3788</v>
      </c>
      <c r="E2247" s="1" t="s">
        <v>3917</v>
      </c>
      <c r="F2247" s="1" t="s">
        <v>3918</v>
      </c>
      <c r="G2247" s="1" t="s">
        <v>4983</v>
      </c>
    </row>
    <row r="2248" spans="1:7" x14ac:dyDescent="0.45">
      <c r="A2248" s="1" t="s">
        <v>11019</v>
      </c>
      <c r="B2248" s="1" t="s">
        <v>11020</v>
      </c>
      <c r="C2248" s="1" t="s">
        <v>255</v>
      </c>
      <c r="D2248" s="1" t="s">
        <v>11721</v>
      </c>
      <c r="E2248" s="1" t="s">
        <v>3917</v>
      </c>
      <c r="F2248" s="1" t="s">
        <v>3918</v>
      </c>
      <c r="G2248" s="1" t="s">
        <v>4983</v>
      </c>
    </row>
    <row r="2249" spans="1:7" x14ac:dyDescent="0.45">
      <c r="A2249" s="1" t="s">
        <v>11021</v>
      </c>
      <c r="B2249" s="1" t="s">
        <v>11022</v>
      </c>
      <c r="C2249" s="1" t="s">
        <v>255</v>
      </c>
      <c r="D2249" s="1" t="s">
        <v>11722</v>
      </c>
      <c r="E2249" s="1" t="s">
        <v>3917</v>
      </c>
      <c r="F2249" s="1" t="s">
        <v>3918</v>
      </c>
      <c r="G2249" s="1" t="s">
        <v>4983</v>
      </c>
    </row>
    <row r="2250" spans="1:7" x14ac:dyDescent="0.45">
      <c r="A2250" s="1" t="s">
        <v>11023</v>
      </c>
      <c r="B2250" s="1" t="s">
        <v>5668</v>
      </c>
      <c r="C2250" s="1" t="s">
        <v>255</v>
      </c>
      <c r="D2250" s="1" t="s">
        <v>5669</v>
      </c>
      <c r="E2250" s="1" t="s">
        <v>3917</v>
      </c>
      <c r="F2250" s="1" t="s">
        <v>3918</v>
      </c>
      <c r="G2250" s="1" t="s">
        <v>4983</v>
      </c>
    </row>
    <row r="2251" spans="1:7" x14ac:dyDescent="0.45">
      <c r="A2251" s="1" t="s">
        <v>3789</v>
      </c>
      <c r="B2251" s="1" t="s">
        <v>3790</v>
      </c>
      <c r="C2251" s="1" t="s">
        <v>255</v>
      </c>
      <c r="D2251" s="1" t="s">
        <v>3791</v>
      </c>
      <c r="E2251" s="1" t="s">
        <v>3917</v>
      </c>
      <c r="F2251" s="1" t="s">
        <v>3918</v>
      </c>
      <c r="G2251" s="1" t="s">
        <v>4983</v>
      </c>
    </row>
    <row r="2252" spans="1:7" x14ac:dyDescent="0.45">
      <c r="A2252" s="1" t="s">
        <v>4520</v>
      </c>
      <c r="B2252" s="1" t="s">
        <v>4521</v>
      </c>
      <c r="C2252" s="1" t="s">
        <v>255</v>
      </c>
      <c r="D2252" s="1" t="s">
        <v>4911</v>
      </c>
      <c r="E2252" s="1" t="s">
        <v>3917</v>
      </c>
      <c r="F2252" s="1" t="s">
        <v>3918</v>
      </c>
      <c r="G2252" s="1" t="s">
        <v>4983</v>
      </c>
    </row>
    <row r="2253" spans="1:7" x14ac:dyDescent="0.45">
      <c r="A2253" s="1" t="s">
        <v>7729</v>
      </c>
      <c r="B2253" s="1" t="s">
        <v>5581</v>
      </c>
      <c r="C2253" s="1" t="s">
        <v>255</v>
      </c>
      <c r="D2253" s="1" t="s">
        <v>4911</v>
      </c>
      <c r="E2253" s="1" t="s">
        <v>3917</v>
      </c>
      <c r="F2253" s="1" t="s">
        <v>3918</v>
      </c>
      <c r="G2253" s="1" t="s">
        <v>4983</v>
      </c>
    </row>
    <row r="2254" spans="1:7" x14ac:dyDescent="0.45">
      <c r="A2254" s="1" t="s">
        <v>7730</v>
      </c>
      <c r="B2254" s="1" t="s">
        <v>7731</v>
      </c>
      <c r="C2254" s="1" t="s">
        <v>255</v>
      </c>
      <c r="D2254" s="1" t="s">
        <v>8333</v>
      </c>
      <c r="E2254" s="1" t="s">
        <v>3917</v>
      </c>
      <c r="F2254" s="1" t="s">
        <v>3918</v>
      </c>
      <c r="G2254" s="1" t="s">
        <v>4983</v>
      </c>
    </row>
    <row r="2255" spans="1:7" x14ac:dyDescent="0.45">
      <c r="A2255" s="1" t="s">
        <v>4522</v>
      </c>
      <c r="B2255" s="1" t="s">
        <v>4523</v>
      </c>
      <c r="C2255" s="1" t="s">
        <v>255</v>
      </c>
      <c r="D2255" s="1" t="s">
        <v>4912</v>
      </c>
      <c r="E2255" s="1" t="s">
        <v>3917</v>
      </c>
      <c r="F2255" s="1" t="s">
        <v>3918</v>
      </c>
      <c r="G2255" s="1" t="s">
        <v>4983</v>
      </c>
    </row>
    <row r="2256" spans="1:7" x14ac:dyDescent="0.45">
      <c r="A2256" s="1" t="s">
        <v>11024</v>
      </c>
      <c r="B2256" s="1" t="s">
        <v>11025</v>
      </c>
      <c r="C2256" s="1" t="s">
        <v>255</v>
      </c>
      <c r="D2256" s="1" t="s">
        <v>11723</v>
      </c>
      <c r="E2256" s="1" t="s">
        <v>3917</v>
      </c>
      <c r="F2256" s="1" t="s">
        <v>3918</v>
      </c>
      <c r="G2256" s="1" t="s">
        <v>4983</v>
      </c>
    </row>
    <row r="2257" spans="1:7" x14ac:dyDescent="0.45">
      <c r="A2257" s="1" t="s">
        <v>7732</v>
      </c>
      <c r="B2257" s="1" t="s">
        <v>7733</v>
      </c>
      <c r="C2257" s="1" t="s">
        <v>255</v>
      </c>
      <c r="D2257" s="1" t="s">
        <v>8334</v>
      </c>
      <c r="E2257" s="1" t="s">
        <v>3917</v>
      </c>
      <c r="F2257" s="1" t="s">
        <v>3918</v>
      </c>
      <c r="G2257" s="1" t="s">
        <v>4983</v>
      </c>
    </row>
    <row r="2258" spans="1:7" x14ac:dyDescent="0.45">
      <c r="A2258" s="1" t="s">
        <v>402</v>
      </c>
      <c r="B2258" s="1" t="s">
        <v>401</v>
      </c>
      <c r="C2258" s="1" t="s">
        <v>255</v>
      </c>
      <c r="D2258" s="1" t="s">
        <v>3098</v>
      </c>
      <c r="E2258" s="1" t="s">
        <v>3917</v>
      </c>
      <c r="F2258" s="1" t="s">
        <v>3918</v>
      </c>
      <c r="G2258" s="1" t="s">
        <v>4983</v>
      </c>
    </row>
    <row r="2259" spans="1:7" x14ac:dyDescent="0.45">
      <c r="A2259" s="1" t="s">
        <v>3792</v>
      </c>
      <c r="B2259" s="1" t="s">
        <v>3793</v>
      </c>
      <c r="C2259" s="1" t="s">
        <v>255</v>
      </c>
      <c r="D2259" s="1" t="s">
        <v>3794</v>
      </c>
      <c r="E2259" s="1" t="s">
        <v>3917</v>
      </c>
      <c r="F2259" s="1" t="s">
        <v>3918</v>
      </c>
      <c r="G2259" s="1" t="s">
        <v>4983</v>
      </c>
    </row>
    <row r="2260" spans="1:7" x14ac:dyDescent="0.45">
      <c r="A2260" s="1" t="s">
        <v>3795</v>
      </c>
      <c r="B2260" s="1" t="s">
        <v>3796</v>
      </c>
      <c r="C2260" s="1" t="s">
        <v>255</v>
      </c>
      <c r="D2260" s="1" t="s">
        <v>3797</v>
      </c>
      <c r="E2260" s="1" t="s">
        <v>3917</v>
      </c>
      <c r="F2260" s="1" t="s">
        <v>3918</v>
      </c>
      <c r="G2260" s="1" t="s">
        <v>4983</v>
      </c>
    </row>
    <row r="2261" spans="1:7" x14ac:dyDescent="0.45">
      <c r="A2261" s="1" t="s">
        <v>400</v>
      </c>
      <c r="B2261" s="1" t="s">
        <v>399</v>
      </c>
      <c r="C2261" s="1" t="s">
        <v>255</v>
      </c>
      <c r="D2261" s="1" t="s">
        <v>3099</v>
      </c>
      <c r="E2261" s="1" t="s">
        <v>3917</v>
      </c>
      <c r="F2261" s="1" t="s">
        <v>3918</v>
      </c>
      <c r="G2261" s="1" t="s">
        <v>4983</v>
      </c>
    </row>
    <row r="2262" spans="1:7" x14ac:dyDescent="0.45">
      <c r="A2262" s="1" t="s">
        <v>3798</v>
      </c>
      <c r="B2262" s="1" t="s">
        <v>3799</v>
      </c>
      <c r="C2262" s="1" t="s">
        <v>255</v>
      </c>
      <c r="D2262" s="1" t="s">
        <v>3800</v>
      </c>
      <c r="E2262" s="1" t="s">
        <v>3917</v>
      </c>
      <c r="F2262" s="1" t="s">
        <v>3918</v>
      </c>
      <c r="G2262" s="1" t="s">
        <v>4983</v>
      </c>
    </row>
    <row r="2263" spans="1:7" x14ac:dyDescent="0.45">
      <c r="A2263" s="1" t="s">
        <v>398</v>
      </c>
      <c r="B2263" s="1" t="s">
        <v>397</v>
      </c>
      <c r="C2263" s="1" t="s">
        <v>255</v>
      </c>
      <c r="D2263" s="1" t="s">
        <v>3100</v>
      </c>
      <c r="E2263" s="1" t="s">
        <v>3917</v>
      </c>
      <c r="F2263" s="1" t="s">
        <v>3918</v>
      </c>
      <c r="G2263" s="1" t="s">
        <v>4983</v>
      </c>
    </row>
    <row r="2264" spans="1:7" x14ac:dyDescent="0.45">
      <c r="A2264" s="1" t="s">
        <v>1808</v>
      </c>
      <c r="B2264" s="1" t="s">
        <v>1809</v>
      </c>
      <c r="C2264" s="1" t="s">
        <v>255</v>
      </c>
      <c r="D2264" s="1" t="s">
        <v>3101</v>
      </c>
      <c r="E2264" s="1" t="s">
        <v>3917</v>
      </c>
      <c r="F2264" s="1" t="s">
        <v>3918</v>
      </c>
      <c r="G2264" s="1" t="s">
        <v>4983</v>
      </c>
    </row>
    <row r="2265" spans="1:7" x14ac:dyDescent="0.45">
      <c r="A2265" s="1" t="s">
        <v>7734</v>
      </c>
      <c r="B2265" s="1" t="s">
        <v>7735</v>
      </c>
      <c r="C2265" s="1" t="s">
        <v>255</v>
      </c>
      <c r="D2265" s="1" t="s">
        <v>8335</v>
      </c>
      <c r="E2265" s="1" t="s">
        <v>3917</v>
      </c>
      <c r="F2265" s="1" t="s">
        <v>3918</v>
      </c>
      <c r="G2265" s="1" t="s">
        <v>4983</v>
      </c>
    </row>
    <row r="2266" spans="1:7" x14ac:dyDescent="0.45">
      <c r="A2266" s="1" t="s">
        <v>3102</v>
      </c>
      <c r="B2266" s="1" t="s">
        <v>3103</v>
      </c>
      <c r="C2266" s="1" t="s">
        <v>255</v>
      </c>
      <c r="D2266" s="1" t="s">
        <v>3104</v>
      </c>
      <c r="E2266" s="1" t="s">
        <v>3917</v>
      </c>
      <c r="F2266" s="1" t="s">
        <v>3918</v>
      </c>
      <c r="G2266" s="1" t="s">
        <v>4983</v>
      </c>
    </row>
    <row r="2267" spans="1:7" x14ac:dyDescent="0.45">
      <c r="A2267" s="1" t="s">
        <v>7736</v>
      </c>
      <c r="B2267" s="1" t="s">
        <v>5304</v>
      </c>
      <c r="C2267" s="1" t="s">
        <v>255</v>
      </c>
      <c r="D2267" s="1" t="s">
        <v>5305</v>
      </c>
      <c r="E2267" s="1" t="s">
        <v>3917</v>
      </c>
      <c r="F2267" s="1" t="s">
        <v>3918</v>
      </c>
      <c r="G2267" s="1" t="s">
        <v>4983</v>
      </c>
    </row>
    <row r="2268" spans="1:7" x14ac:dyDescent="0.45">
      <c r="A2268" s="1" t="s">
        <v>7737</v>
      </c>
      <c r="B2268" s="1" t="s">
        <v>7738</v>
      </c>
      <c r="C2268" s="1" t="s">
        <v>255</v>
      </c>
      <c r="D2268" s="1" t="s">
        <v>8336</v>
      </c>
      <c r="E2268" s="1" t="s">
        <v>3917</v>
      </c>
      <c r="F2268" s="1" t="s">
        <v>3918</v>
      </c>
      <c r="G2268" s="1" t="s">
        <v>4983</v>
      </c>
    </row>
    <row r="2269" spans="1:7" x14ac:dyDescent="0.45">
      <c r="A2269" s="1" t="s">
        <v>3801</v>
      </c>
      <c r="B2269" s="1" t="s">
        <v>3802</v>
      </c>
      <c r="C2269" s="1" t="s">
        <v>255</v>
      </c>
      <c r="D2269" s="1" t="s">
        <v>3803</v>
      </c>
      <c r="E2269" s="1" t="s">
        <v>3917</v>
      </c>
      <c r="F2269" s="1" t="s">
        <v>3918</v>
      </c>
      <c r="G2269" s="1" t="s">
        <v>4983</v>
      </c>
    </row>
    <row r="2270" spans="1:7" x14ac:dyDescent="0.45">
      <c r="A2270" s="1" t="s">
        <v>11026</v>
      </c>
      <c r="B2270" s="1" t="s">
        <v>11027</v>
      </c>
      <c r="C2270" s="1" t="s">
        <v>255</v>
      </c>
      <c r="D2270" s="1" t="s">
        <v>11724</v>
      </c>
      <c r="E2270" s="1" t="s">
        <v>3917</v>
      </c>
      <c r="F2270" s="1" t="s">
        <v>3918</v>
      </c>
      <c r="G2270" s="1" t="s">
        <v>4983</v>
      </c>
    </row>
    <row r="2271" spans="1:7" x14ac:dyDescent="0.45">
      <c r="A2271" s="1" t="s">
        <v>4524</v>
      </c>
      <c r="B2271" s="1" t="s">
        <v>4525</v>
      </c>
      <c r="C2271" s="1" t="s">
        <v>255</v>
      </c>
      <c r="D2271" s="1" t="s">
        <v>4913</v>
      </c>
      <c r="E2271" s="1" t="s">
        <v>3917</v>
      </c>
      <c r="F2271" s="1" t="s">
        <v>3918</v>
      </c>
      <c r="G2271" s="1" t="s">
        <v>4983</v>
      </c>
    </row>
    <row r="2272" spans="1:7" x14ac:dyDescent="0.45">
      <c r="A2272" s="1" t="s">
        <v>11028</v>
      </c>
      <c r="B2272" s="1" t="s">
        <v>11029</v>
      </c>
      <c r="C2272" s="1" t="s">
        <v>255</v>
      </c>
      <c r="D2272" s="1" t="s">
        <v>11725</v>
      </c>
      <c r="E2272" s="1" t="s">
        <v>3917</v>
      </c>
      <c r="F2272" s="1" t="s">
        <v>3918</v>
      </c>
      <c r="G2272" s="1" t="s">
        <v>4983</v>
      </c>
    </row>
    <row r="2273" spans="1:7" x14ac:dyDescent="0.45">
      <c r="A2273" s="1" t="s">
        <v>396</v>
      </c>
      <c r="B2273" s="1" t="s">
        <v>395</v>
      </c>
      <c r="C2273" s="1" t="s">
        <v>255</v>
      </c>
      <c r="D2273" s="1" t="s">
        <v>3105</v>
      </c>
      <c r="E2273" s="1" t="s">
        <v>3919</v>
      </c>
      <c r="F2273" s="1" t="s">
        <v>3918</v>
      </c>
      <c r="G2273" s="1" t="s">
        <v>4983</v>
      </c>
    </row>
    <row r="2274" spans="1:7" x14ac:dyDescent="0.45">
      <c r="A2274" s="1" t="s">
        <v>2741</v>
      </c>
      <c r="B2274" s="1" t="s">
        <v>4526</v>
      </c>
      <c r="C2274" s="1" t="s">
        <v>255</v>
      </c>
      <c r="D2274" s="1" t="s">
        <v>4914</v>
      </c>
      <c r="E2274" s="1" t="s">
        <v>3919</v>
      </c>
      <c r="F2274" s="1" t="s">
        <v>3918</v>
      </c>
      <c r="G2274" s="1" t="s">
        <v>4983</v>
      </c>
    </row>
    <row r="2275" spans="1:7" x14ac:dyDescent="0.45">
      <c r="A2275" s="1" t="s">
        <v>11030</v>
      </c>
      <c r="B2275" s="1" t="s">
        <v>5215</v>
      </c>
      <c r="C2275" s="1" t="s">
        <v>255</v>
      </c>
      <c r="D2275" s="1" t="s">
        <v>5216</v>
      </c>
      <c r="E2275" s="1" t="s">
        <v>3917</v>
      </c>
      <c r="F2275" s="1" t="s">
        <v>3918</v>
      </c>
      <c r="G2275" s="1" t="s">
        <v>4983</v>
      </c>
    </row>
    <row r="2276" spans="1:7" x14ac:dyDescent="0.45">
      <c r="A2276" s="1" t="s">
        <v>7739</v>
      </c>
      <c r="B2276" s="1" t="s">
        <v>7740</v>
      </c>
      <c r="C2276" s="1" t="s">
        <v>255</v>
      </c>
      <c r="D2276" s="1" t="s">
        <v>8337</v>
      </c>
      <c r="E2276" s="1" t="s">
        <v>3919</v>
      </c>
      <c r="F2276" s="1" t="s">
        <v>3918</v>
      </c>
      <c r="G2276" s="1" t="s">
        <v>4983</v>
      </c>
    </row>
    <row r="2277" spans="1:7" x14ac:dyDescent="0.45">
      <c r="A2277" s="1" t="s">
        <v>11031</v>
      </c>
      <c r="B2277" s="1" t="s">
        <v>11032</v>
      </c>
      <c r="C2277" s="1" t="s">
        <v>255</v>
      </c>
      <c r="D2277" s="1" t="s">
        <v>11726</v>
      </c>
      <c r="E2277" s="1" t="s">
        <v>3917</v>
      </c>
      <c r="F2277" s="1" t="s">
        <v>3918</v>
      </c>
      <c r="G2277" s="1" t="s">
        <v>4983</v>
      </c>
    </row>
    <row r="2278" spans="1:7" x14ac:dyDescent="0.45">
      <c r="A2278" s="1" t="s">
        <v>7741</v>
      </c>
      <c r="B2278" s="1" t="s">
        <v>7742</v>
      </c>
      <c r="C2278" s="1" t="s">
        <v>255</v>
      </c>
      <c r="D2278" s="1" t="s">
        <v>8338</v>
      </c>
      <c r="E2278" s="1" t="s">
        <v>3917</v>
      </c>
      <c r="F2278" s="1" t="s">
        <v>3918</v>
      </c>
      <c r="G2278" s="1" t="s">
        <v>4983</v>
      </c>
    </row>
    <row r="2279" spans="1:7" x14ac:dyDescent="0.45">
      <c r="A2279" s="1" t="s">
        <v>11033</v>
      </c>
      <c r="B2279" s="1" t="s">
        <v>11034</v>
      </c>
      <c r="C2279" s="1" t="s">
        <v>255</v>
      </c>
      <c r="D2279" s="1" t="s">
        <v>11727</v>
      </c>
      <c r="E2279" s="1" t="s">
        <v>3917</v>
      </c>
      <c r="F2279" s="1" t="s">
        <v>3918</v>
      </c>
      <c r="G2279" s="1" t="s">
        <v>4983</v>
      </c>
    </row>
    <row r="2280" spans="1:7" x14ac:dyDescent="0.45">
      <c r="A2280" s="1" t="s">
        <v>4527</v>
      </c>
      <c r="B2280" s="1" t="s">
        <v>4528</v>
      </c>
      <c r="C2280" s="1" t="s">
        <v>255</v>
      </c>
      <c r="D2280" s="1" t="s">
        <v>4915</v>
      </c>
      <c r="E2280" s="1" t="s">
        <v>3917</v>
      </c>
      <c r="F2280" s="1" t="s">
        <v>3918</v>
      </c>
      <c r="G2280" s="1" t="s">
        <v>4983</v>
      </c>
    </row>
    <row r="2281" spans="1:7" x14ac:dyDescent="0.45">
      <c r="A2281" s="1" t="s">
        <v>7743</v>
      </c>
      <c r="B2281" s="1" t="s">
        <v>7744</v>
      </c>
      <c r="C2281" s="1" t="s">
        <v>255</v>
      </c>
      <c r="D2281" s="1" t="s">
        <v>8339</v>
      </c>
      <c r="E2281" s="1" t="s">
        <v>3917</v>
      </c>
      <c r="F2281" s="1" t="s">
        <v>3918</v>
      </c>
      <c r="G2281" s="1" t="s">
        <v>4983</v>
      </c>
    </row>
    <row r="2282" spans="1:7" x14ac:dyDescent="0.45">
      <c r="A2282" s="1" t="s">
        <v>7745</v>
      </c>
      <c r="B2282" s="1" t="s">
        <v>7746</v>
      </c>
      <c r="C2282" s="1" t="s">
        <v>255</v>
      </c>
      <c r="D2282" s="1" t="s">
        <v>8340</v>
      </c>
      <c r="E2282" s="1" t="s">
        <v>3917</v>
      </c>
      <c r="F2282" s="1" t="s">
        <v>3918</v>
      </c>
      <c r="G2282" s="1" t="s">
        <v>4983</v>
      </c>
    </row>
    <row r="2283" spans="1:7" x14ac:dyDescent="0.45">
      <c r="A2283" s="1" t="s">
        <v>4530</v>
      </c>
      <c r="B2283" s="1" t="s">
        <v>4531</v>
      </c>
      <c r="C2283" s="1" t="s">
        <v>255</v>
      </c>
      <c r="D2283" s="1" t="s">
        <v>4916</v>
      </c>
      <c r="E2283" s="1" t="s">
        <v>3917</v>
      </c>
      <c r="F2283" s="1" t="s">
        <v>3918</v>
      </c>
      <c r="G2283" s="1" t="s">
        <v>4983</v>
      </c>
    </row>
    <row r="2284" spans="1:7" x14ac:dyDescent="0.45">
      <c r="A2284" s="1" t="s">
        <v>4532</v>
      </c>
      <c r="B2284" s="1" t="s">
        <v>4533</v>
      </c>
      <c r="C2284" s="1" t="s">
        <v>255</v>
      </c>
      <c r="D2284" s="1" t="s">
        <v>4917</v>
      </c>
      <c r="E2284" s="1" t="s">
        <v>3917</v>
      </c>
      <c r="F2284" s="1" t="s">
        <v>3918</v>
      </c>
      <c r="G2284" s="1" t="s">
        <v>4983</v>
      </c>
    </row>
    <row r="2285" spans="1:7" x14ac:dyDescent="0.45">
      <c r="A2285" s="1" t="s">
        <v>11035</v>
      </c>
      <c r="B2285" s="1" t="s">
        <v>5620</v>
      </c>
      <c r="C2285" s="1" t="s">
        <v>255</v>
      </c>
      <c r="D2285" s="1" t="s">
        <v>5621</v>
      </c>
      <c r="E2285" s="1" t="s">
        <v>3917</v>
      </c>
      <c r="F2285" s="1" t="s">
        <v>3918</v>
      </c>
      <c r="G2285" s="1" t="s">
        <v>4983</v>
      </c>
    </row>
    <row r="2286" spans="1:7" x14ac:dyDescent="0.45">
      <c r="A2286" s="1" t="s">
        <v>392</v>
      </c>
      <c r="B2286" s="1" t="s">
        <v>259</v>
      </c>
      <c r="C2286" s="1" t="s">
        <v>255</v>
      </c>
      <c r="D2286" s="1" t="s">
        <v>3106</v>
      </c>
      <c r="E2286" s="1" t="s">
        <v>3917</v>
      </c>
      <c r="F2286" s="1" t="s">
        <v>3918</v>
      </c>
      <c r="G2286" s="1" t="s">
        <v>4983</v>
      </c>
    </row>
    <row r="2287" spans="1:7" x14ac:dyDescent="0.45">
      <c r="A2287" s="1" t="s">
        <v>7747</v>
      </c>
      <c r="B2287" s="1" t="s">
        <v>7748</v>
      </c>
      <c r="C2287" s="1" t="s">
        <v>255</v>
      </c>
      <c r="D2287" s="1" t="s">
        <v>8341</v>
      </c>
      <c r="E2287" s="1" t="s">
        <v>3917</v>
      </c>
      <c r="F2287" s="1" t="s">
        <v>3918</v>
      </c>
      <c r="G2287" s="1" t="s">
        <v>4983</v>
      </c>
    </row>
    <row r="2288" spans="1:7" x14ac:dyDescent="0.45">
      <c r="A2288" s="1" t="s">
        <v>11036</v>
      </c>
      <c r="B2288" s="1" t="s">
        <v>11037</v>
      </c>
      <c r="C2288" s="1" t="s">
        <v>255</v>
      </c>
      <c r="D2288" s="1" t="s">
        <v>11728</v>
      </c>
      <c r="E2288" s="1" t="s">
        <v>3917</v>
      </c>
      <c r="F2288" s="1" t="s">
        <v>3918</v>
      </c>
      <c r="G2288" s="1" t="s">
        <v>4983</v>
      </c>
    </row>
    <row r="2289" spans="1:7" x14ac:dyDescent="0.45">
      <c r="A2289" s="1" t="s">
        <v>391</v>
      </c>
      <c r="B2289" s="1" t="s">
        <v>390</v>
      </c>
      <c r="C2289" s="1" t="s">
        <v>255</v>
      </c>
      <c r="D2289" s="1" t="s">
        <v>3107</v>
      </c>
      <c r="E2289" s="1" t="s">
        <v>3917</v>
      </c>
      <c r="F2289" s="1" t="s">
        <v>3918</v>
      </c>
      <c r="G2289" s="1" t="s">
        <v>4983</v>
      </c>
    </row>
    <row r="2290" spans="1:7" x14ac:dyDescent="0.45">
      <c r="A2290" s="1" t="s">
        <v>11038</v>
      </c>
      <c r="B2290" s="1" t="s">
        <v>6638</v>
      </c>
      <c r="C2290" s="1" t="s">
        <v>255</v>
      </c>
      <c r="D2290" s="1" t="s">
        <v>6639</v>
      </c>
      <c r="E2290" s="1" t="s">
        <v>3917</v>
      </c>
      <c r="F2290" s="1" t="s">
        <v>3918</v>
      </c>
      <c r="G2290" s="1" t="s">
        <v>4983</v>
      </c>
    </row>
    <row r="2291" spans="1:7" x14ac:dyDescent="0.45">
      <c r="A2291" s="1" t="s">
        <v>7749</v>
      </c>
      <c r="B2291" s="1" t="s">
        <v>7750</v>
      </c>
      <c r="C2291" s="1" t="s">
        <v>255</v>
      </c>
      <c r="D2291" s="1" t="s">
        <v>8342</v>
      </c>
      <c r="E2291" s="1" t="s">
        <v>3917</v>
      </c>
      <c r="F2291" s="1" t="s">
        <v>3918</v>
      </c>
      <c r="G2291" s="1" t="s">
        <v>4983</v>
      </c>
    </row>
    <row r="2292" spans="1:7" x14ac:dyDescent="0.45">
      <c r="A2292" s="1" t="s">
        <v>7751</v>
      </c>
      <c r="B2292" s="1" t="s">
        <v>7752</v>
      </c>
      <c r="C2292" s="1" t="s">
        <v>255</v>
      </c>
      <c r="D2292" s="1" t="s">
        <v>8343</v>
      </c>
      <c r="E2292" s="1" t="s">
        <v>3919</v>
      </c>
      <c r="F2292" s="1" t="s">
        <v>3918</v>
      </c>
      <c r="G2292" s="1" t="s">
        <v>4983</v>
      </c>
    </row>
    <row r="2293" spans="1:7" x14ac:dyDescent="0.45">
      <c r="A2293" s="1" t="s">
        <v>11039</v>
      </c>
      <c r="B2293" s="1" t="s">
        <v>5065</v>
      </c>
      <c r="C2293" s="1" t="s">
        <v>255</v>
      </c>
      <c r="D2293" s="1" t="s">
        <v>5066</v>
      </c>
      <c r="E2293" s="1" t="s">
        <v>3917</v>
      </c>
      <c r="F2293" s="1" t="s">
        <v>3918</v>
      </c>
      <c r="G2293" s="1" t="s">
        <v>4983</v>
      </c>
    </row>
    <row r="2294" spans="1:7" x14ac:dyDescent="0.45">
      <c r="A2294" s="1" t="s">
        <v>3806</v>
      </c>
      <c r="B2294" s="1" t="s">
        <v>3807</v>
      </c>
      <c r="C2294" s="1" t="s">
        <v>255</v>
      </c>
      <c r="D2294" s="1" t="s">
        <v>3808</v>
      </c>
      <c r="E2294" s="1" t="s">
        <v>3917</v>
      </c>
      <c r="F2294" s="1" t="s">
        <v>3918</v>
      </c>
      <c r="G2294" s="1" t="s">
        <v>4983</v>
      </c>
    </row>
    <row r="2295" spans="1:7" x14ac:dyDescent="0.45">
      <c r="A2295" s="1" t="s">
        <v>4534</v>
      </c>
      <c r="B2295" s="1" t="s">
        <v>4535</v>
      </c>
      <c r="C2295" s="1" t="s">
        <v>255</v>
      </c>
      <c r="D2295" s="1" t="s">
        <v>4918</v>
      </c>
      <c r="E2295" s="1" t="s">
        <v>3917</v>
      </c>
      <c r="F2295" s="1" t="s">
        <v>3918</v>
      </c>
      <c r="G2295" s="1" t="s">
        <v>4983</v>
      </c>
    </row>
    <row r="2296" spans="1:7" x14ac:dyDescent="0.45">
      <c r="A2296" s="1" t="s">
        <v>7753</v>
      </c>
      <c r="B2296" s="1" t="s">
        <v>7754</v>
      </c>
      <c r="C2296" s="1" t="s">
        <v>255</v>
      </c>
      <c r="D2296" s="1" t="s">
        <v>8344</v>
      </c>
      <c r="E2296" s="1" t="s">
        <v>3917</v>
      </c>
      <c r="F2296" s="1" t="s">
        <v>3918</v>
      </c>
      <c r="G2296" s="1" t="s">
        <v>4983</v>
      </c>
    </row>
    <row r="2297" spans="1:7" x14ac:dyDescent="0.45">
      <c r="A2297" s="1" t="s">
        <v>7755</v>
      </c>
      <c r="B2297" s="1" t="s">
        <v>7756</v>
      </c>
      <c r="C2297" s="1" t="s">
        <v>255</v>
      </c>
      <c r="D2297" s="1" t="s">
        <v>8345</v>
      </c>
      <c r="E2297" s="1" t="s">
        <v>3917</v>
      </c>
      <c r="F2297" s="1" t="s">
        <v>3918</v>
      </c>
      <c r="G2297" s="1" t="s">
        <v>4983</v>
      </c>
    </row>
    <row r="2298" spans="1:7" x14ac:dyDescent="0.45">
      <c r="A2298" s="1" t="s">
        <v>11040</v>
      </c>
      <c r="B2298" s="1" t="s">
        <v>11041</v>
      </c>
      <c r="C2298" s="1" t="s">
        <v>255</v>
      </c>
      <c r="D2298" s="1" t="s">
        <v>11729</v>
      </c>
      <c r="E2298" s="1" t="s">
        <v>3917</v>
      </c>
      <c r="F2298" s="1" t="s">
        <v>3918</v>
      </c>
      <c r="G2298" s="1" t="s">
        <v>4983</v>
      </c>
    </row>
    <row r="2299" spans="1:7" x14ac:dyDescent="0.45">
      <c r="A2299" s="1" t="s">
        <v>387</v>
      </c>
      <c r="B2299" s="1" t="s">
        <v>386</v>
      </c>
      <c r="C2299" s="1" t="s">
        <v>255</v>
      </c>
      <c r="D2299" s="1" t="s">
        <v>3109</v>
      </c>
      <c r="E2299" s="1" t="s">
        <v>3917</v>
      </c>
      <c r="F2299" s="1" t="s">
        <v>3918</v>
      </c>
      <c r="G2299" s="1" t="s">
        <v>4983</v>
      </c>
    </row>
    <row r="2300" spans="1:7" x14ac:dyDescent="0.45">
      <c r="A2300" s="1" t="s">
        <v>7757</v>
      </c>
      <c r="B2300" s="1" t="s">
        <v>5453</v>
      </c>
      <c r="C2300" s="1" t="s">
        <v>255</v>
      </c>
      <c r="D2300" s="1" t="s">
        <v>8346</v>
      </c>
      <c r="E2300" s="1" t="s">
        <v>3917</v>
      </c>
      <c r="F2300" s="1" t="s">
        <v>3918</v>
      </c>
      <c r="G2300" s="1" t="s">
        <v>4983</v>
      </c>
    </row>
    <row r="2301" spans="1:7" x14ac:dyDescent="0.45">
      <c r="A2301" s="1" t="s">
        <v>11042</v>
      </c>
      <c r="B2301" s="1" t="s">
        <v>11043</v>
      </c>
      <c r="C2301" s="1" t="s">
        <v>255</v>
      </c>
      <c r="D2301" s="1" t="s">
        <v>11730</v>
      </c>
      <c r="E2301" s="1" t="s">
        <v>3917</v>
      </c>
      <c r="F2301" s="1" t="s">
        <v>3918</v>
      </c>
      <c r="G2301" s="1" t="s">
        <v>4983</v>
      </c>
    </row>
    <row r="2302" spans="1:7" x14ac:dyDescent="0.45">
      <c r="A2302" s="1" t="s">
        <v>11044</v>
      </c>
      <c r="B2302" s="1" t="s">
        <v>11045</v>
      </c>
      <c r="C2302" s="1" t="s">
        <v>255</v>
      </c>
      <c r="D2302" s="1" t="s">
        <v>11731</v>
      </c>
      <c r="E2302" s="1" t="s">
        <v>3919</v>
      </c>
      <c r="F2302" s="1" t="s">
        <v>3918</v>
      </c>
      <c r="G2302" s="1" t="s">
        <v>4983</v>
      </c>
    </row>
    <row r="2303" spans="1:7" x14ac:dyDescent="0.45">
      <c r="A2303" s="1" t="s">
        <v>11046</v>
      </c>
      <c r="B2303" s="1" t="s">
        <v>11047</v>
      </c>
      <c r="C2303" s="1" t="s">
        <v>255</v>
      </c>
      <c r="D2303" s="1" t="s">
        <v>11732</v>
      </c>
      <c r="E2303" s="1" t="s">
        <v>3917</v>
      </c>
      <c r="F2303" s="1" t="s">
        <v>3918</v>
      </c>
      <c r="G2303" s="1" t="s">
        <v>4983</v>
      </c>
    </row>
    <row r="2304" spans="1:7" x14ac:dyDescent="0.45">
      <c r="A2304" s="1" t="s">
        <v>7758</v>
      </c>
      <c r="B2304" s="1" t="s">
        <v>5722</v>
      </c>
      <c r="C2304" s="1" t="s">
        <v>255</v>
      </c>
      <c r="D2304" s="1" t="s">
        <v>5723</v>
      </c>
      <c r="E2304" s="1" t="s">
        <v>3917</v>
      </c>
      <c r="F2304" s="1" t="s">
        <v>3918</v>
      </c>
      <c r="G2304" s="1" t="s">
        <v>4983</v>
      </c>
    </row>
    <row r="2305" spans="1:7" x14ac:dyDescent="0.45">
      <c r="A2305" s="1" t="s">
        <v>4536</v>
      </c>
      <c r="B2305" s="1" t="s">
        <v>4537</v>
      </c>
      <c r="C2305" s="1" t="s">
        <v>255</v>
      </c>
      <c r="D2305" s="1" t="s">
        <v>4919</v>
      </c>
      <c r="E2305" s="1" t="s">
        <v>3917</v>
      </c>
      <c r="F2305" s="1" t="s">
        <v>3918</v>
      </c>
      <c r="G2305" s="1" t="s">
        <v>4983</v>
      </c>
    </row>
    <row r="2306" spans="1:7" x14ac:dyDescent="0.45">
      <c r="A2306" s="1" t="s">
        <v>11048</v>
      </c>
      <c r="B2306" s="1" t="s">
        <v>11049</v>
      </c>
      <c r="C2306" s="1" t="s">
        <v>255</v>
      </c>
      <c r="D2306" s="1" t="s">
        <v>11733</v>
      </c>
      <c r="E2306" s="1" t="s">
        <v>3917</v>
      </c>
      <c r="F2306" s="1" t="s">
        <v>3918</v>
      </c>
      <c r="G2306" s="1" t="s">
        <v>4983</v>
      </c>
    </row>
    <row r="2307" spans="1:7" x14ac:dyDescent="0.45">
      <c r="A2307" s="1" t="s">
        <v>7759</v>
      </c>
      <c r="B2307" s="1" t="s">
        <v>7760</v>
      </c>
      <c r="C2307" s="1" t="s">
        <v>255</v>
      </c>
      <c r="D2307" s="1" t="s">
        <v>8347</v>
      </c>
      <c r="E2307" s="1" t="s">
        <v>3917</v>
      </c>
      <c r="F2307" s="1" t="s">
        <v>3918</v>
      </c>
      <c r="G2307" s="1" t="s">
        <v>4983</v>
      </c>
    </row>
    <row r="2308" spans="1:7" x14ac:dyDescent="0.45">
      <c r="A2308" s="1" t="s">
        <v>7761</v>
      </c>
      <c r="B2308" s="1" t="s">
        <v>7762</v>
      </c>
      <c r="C2308" s="1" t="s">
        <v>255</v>
      </c>
      <c r="D2308" s="1" t="s">
        <v>8348</v>
      </c>
      <c r="E2308" s="1" t="s">
        <v>3917</v>
      </c>
      <c r="F2308" s="1" t="s">
        <v>3918</v>
      </c>
      <c r="G2308" s="1" t="s">
        <v>4983</v>
      </c>
    </row>
    <row r="2309" spans="1:7" x14ac:dyDescent="0.45">
      <c r="A2309" s="1" t="s">
        <v>11050</v>
      </c>
      <c r="B2309" s="1" t="s">
        <v>5699</v>
      </c>
      <c r="C2309" s="1" t="s">
        <v>255</v>
      </c>
      <c r="D2309" s="1" t="s">
        <v>5700</v>
      </c>
      <c r="E2309" s="1" t="s">
        <v>3917</v>
      </c>
      <c r="F2309" s="1" t="s">
        <v>3918</v>
      </c>
      <c r="G2309" s="1" t="s">
        <v>4983</v>
      </c>
    </row>
    <row r="2310" spans="1:7" x14ac:dyDescent="0.45">
      <c r="A2310" s="1" t="s">
        <v>4538</v>
      </c>
      <c r="B2310" s="1" t="s">
        <v>4539</v>
      </c>
      <c r="C2310" s="1" t="s">
        <v>255</v>
      </c>
      <c r="D2310" s="1" t="s">
        <v>4920</v>
      </c>
      <c r="E2310" s="1" t="s">
        <v>3917</v>
      </c>
      <c r="F2310" s="1" t="s">
        <v>3918</v>
      </c>
      <c r="G2310" s="1" t="s">
        <v>4983</v>
      </c>
    </row>
    <row r="2311" spans="1:7" x14ac:dyDescent="0.45">
      <c r="A2311" s="1" t="s">
        <v>3809</v>
      </c>
      <c r="B2311" s="1" t="s">
        <v>3810</v>
      </c>
      <c r="C2311" s="1" t="s">
        <v>255</v>
      </c>
      <c r="D2311" s="1" t="s">
        <v>3811</v>
      </c>
      <c r="E2311" s="1" t="s">
        <v>3917</v>
      </c>
      <c r="F2311" s="1" t="s">
        <v>3918</v>
      </c>
      <c r="G2311" s="1" t="s">
        <v>4983</v>
      </c>
    </row>
    <row r="2312" spans="1:7" x14ac:dyDescent="0.45">
      <c r="A2312" s="1" t="s">
        <v>4540</v>
      </c>
      <c r="B2312" s="1" t="s">
        <v>3812</v>
      </c>
      <c r="C2312" s="1" t="s">
        <v>255</v>
      </c>
      <c r="D2312" s="1" t="s">
        <v>3813</v>
      </c>
      <c r="E2312" s="1" t="s">
        <v>3917</v>
      </c>
      <c r="F2312" s="1" t="s">
        <v>3918</v>
      </c>
      <c r="G2312" s="1" t="s">
        <v>4983</v>
      </c>
    </row>
    <row r="2313" spans="1:7" x14ac:dyDescent="0.45">
      <c r="A2313" s="1" t="s">
        <v>11051</v>
      </c>
      <c r="B2313" s="1" t="s">
        <v>11052</v>
      </c>
      <c r="C2313" s="1" t="s">
        <v>255</v>
      </c>
      <c r="D2313" s="1" t="s">
        <v>11734</v>
      </c>
      <c r="E2313" s="1" t="s">
        <v>3917</v>
      </c>
      <c r="F2313" s="1" t="s">
        <v>3918</v>
      </c>
      <c r="G2313" s="1" t="s">
        <v>4983</v>
      </c>
    </row>
    <row r="2314" spans="1:7" x14ac:dyDescent="0.45">
      <c r="A2314" s="1" t="s">
        <v>385</v>
      </c>
      <c r="B2314" s="1" t="s">
        <v>384</v>
      </c>
      <c r="C2314" s="1" t="s">
        <v>255</v>
      </c>
      <c r="D2314" s="1" t="s">
        <v>3110</v>
      </c>
      <c r="E2314" s="1" t="s">
        <v>3917</v>
      </c>
      <c r="F2314" s="1" t="s">
        <v>3918</v>
      </c>
      <c r="G2314" s="1" t="s">
        <v>4983</v>
      </c>
    </row>
    <row r="2315" spans="1:7" x14ac:dyDescent="0.45">
      <c r="A2315" s="1" t="s">
        <v>7765</v>
      </c>
      <c r="B2315" s="1" t="s">
        <v>7766</v>
      </c>
      <c r="C2315" s="1" t="s">
        <v>255</v>
      </c>
      <c r="D2315" s="1" t="s">
        <v>8350</v>
      </c>
      <c r="E2315" s="1" t="s">
        <v>3917</v>
      </c>
      <c r="F2315" s="1" t="s">
        <v>3918</v>
      </c>
      <c r="G2315" s="1" t="s">
        <v>4983</v>
      </c>
    </row>
    <row r="2316" spans="1:7" x14ac:dyDescent="0.45">
      <c r="A2316" s="1" t="s">
        <v>7767</v>
      </c>
      <c r="B2316" s="1" t="s">
        <v>7768</v>
      </c>
      <c r="C2316" s="1" t="s">
        <v>255</v>
      </c>
      <c r="D2316" s="1" t="s">
        <v>8351</v>
      </c>
      <c r="E2316" s="1" t="s">
        <v>3917</v>
      </c>
      <c r="F2316" s="1" t="s">
        <v>3918</v>
      </c>
      <c r="G2316" s="1" t="s">
        <v>4983</v>
      </c>
    </row>
    <row r="2317" spans="1:7" x14ac:dyDescent="0.45">
      <c r="A2317" s="1" t="s">
        <v>7769</v>
      </c>
      <c r="B2317" s="1" t="s">
        <v>7770</v>
      </c>
      <c r="C2317" s="1" t="s">
        <v>255</v>
      </c>
      <c r="D2317" s="1" t="s">
        <v>8352</v>
      </c>
      <c r="E2317" s="1" t="s">
        <v>3917</v>
      </c>
      <c r="F2317" s="1" t="s">
        <v>3918</v>
      </c>
      <c r="G2317" s="1" t="s">
        <v>4983</v>
      </c>
    </row>
    <row r="2318" spans="1:7" x14ac:dyDescent="0.45">
      <c r="A2318" s="1" t="s">
        <v>11053</v>
      </c>
      <c r="B2318" s="1" t="s">
        <v>11054</v>
      </c>
      <c r="C2318" s="1" t="s">
        <v>255</v>
      </c>
      <c r="D2318" s="1" t="s">
        <v>11735</v>
      </c>
      <c r="E2318" s="1" t="s">
        <v>3917</v>
      </c>
      <c r="F2318" s="1" t="s">
        <v>3918</v>
      </c>
      <c r="G2318" s="1" t="s">
        <v>4983</v>
      </c>
    </row>
    <row r="2319" spans="1:7" x14ac:dyDescent="0.45">
      <c r="A2319" s="1" t="s">
        <v>4541</v>
      </c>
      <c r="B2319" s="1" t="s">
        <v>4542</v>
      </c>
      <c r="C2319" s="1" t="s">
        <v>255</v>
      </c>
      <c r="D2319" s="1" t="s">
        <v>4542</v>
      </c>
      <c r="E2319" s="1" t="s">
        <v>3917</v>
      </c>
      <c r="F2319" s="1" t="s">
        <v>3918</v>
      </c>
      <c r="G2319" s="1" t="s">
        <v>4983</v>
      </c>
    </row>
    <row r="2320" spans="1:7" x14ac:dyDescent="0.45">
      <c r="A2320" s="1" t="s">
        <v>7771</v>
      </c>
      <c r="B2320" s="1" t="s">
        <v>4543</v>
      </c>
      <c r="C2320" s="1" t="s">
        <v>255</v>
      </c>
      <c r="D2320" s="1" t="s">
        <v>4921</v>
      </c>
      <c r="E2320" s="1" t="s">
        <v>3917</v>
      </c>
      <c r="F2320" s="1" t="s">
        <v>3918</v>
      </c>
      <c r="G2320" s="1" t="s">
        <v>4983</v>
      </c>
    </row>
    <row r="2321" spans="1:7" x14ac:dyDescent="0.45">
      <c r="A2321" s="1" t="s">
        <v>7772</v>
      </c>
      <c r="B2321" s="1" t="s">
        <v>7773</v>
      </c>
      <c r="C2321" s="1" t="s">
        <v>255</v>
      </c>
      <c r="D2321" s="1" t="s">
        <v>8353</v>
      </c>
      <c r="E2321" s="1" t="s">
        <v>3917</v>
      </c>
      <c r="F2321" s="1" t="s">
        <v>3918</v>
      </c>
      <c r="G2321" s="1" t="s">
        <v>4983</v>
      </c>
    </row>
    <row r="2322" spans="1:7" x14ac:dyDescent="0.45">
      <c r="A2322" s="1" t="s">
        <v>1810</v>
      </c>
      <c r="B2322" s="1" t="s">
        <v>1811</v>
      </c>
      <c r="C2322" s="1" t="s">
        <v>255</v>
      </c>
      <c r="D2322" s="1" t="s">
        <v>3111</v>
      </c>
      <c r="E2322" s="1" t="s">
        <v>3917</v>
      </c>
      <c r="F2322" s="1" t="s">
        <v>3918</v>
      </c>
      <c r="G2322" s="1" t="s">
        <v>4983</v>
      </c>
    </row>
    <row r="2323" spans="1:7" x14ac:dyDescent="0.45">
      <c r="A2323" s="1" t="s">
        <v>4544</v>
      </c>
      <c r="B2323" s="1" t="s">
        <v>4545</v>
      </c>
      <c r="C2323" s="1" t="s">
        <v>255</v>
      </c>
      <c r="D2323" s="1" t="s">
        <v>4922</v>
      </c>
      <c r="E2323" s="1" t="s">
        <v>3917</v>
      </c>
      <c r="F2323" s="1" t="s">
        <v>3918</v>
      </c>
      <c r="G2323" s="1" t="s">
        <v>4983</v>
      </c>
    </row>
    <row r="2324" spans="1:7" x14ac:dyDescent="0.45">
      <c r="A2324" s="1" t="s">
        <v>7774</v>
      </c>
      <c r="B2324" s="1" t="s">
        <v>5720</v>
      </c>
      <c r="C2324" s="1" t="s">
        <v>255</v>
      </c>
      <c r="D2324" s="1" t="s">
        <v>5721</v>
      </c>
      <c r="E2324" s="1" t="s">
        <v>3917</v>
      </c>
      <c r="F2324" s="1" t="s">
        <v>3918</v>
      </c>
      <c r="G2324" s="1" t="s">
        <v>4983</v>
      </c>
    </row>
    <row r="2325" spans="1:7" x14ac:dyDescent="0.45">
      <c r="A2325" s="1" t="s">
        <v>11055</v>
      </c>
      <c r="B2325" s="1" t="s">
        <v>11056</v>
      </c>
      <c r="C2325" s="1" t="s">
        <v>255</v>
      </c>
      <c r="D2325" s="1" t="s">
        <v>11736</v>
      </c>
      <c r="E2325" s="1" t="s">
        <v>3917</v>
      </c>
      <c r="F2325" s="1" t="s">
        <v>3918</v>
      </c>
      <c r="G2325" s="1" t="s">
        <v>4983</v>
      </c>
    </row>
    <row r="2326" spans="1:7" x14ac:dyDescent="0.45">
      <c r="A2326" s="1" t="s">
        <v>11057</v>
      </c>
      <c r="B2326" s="1" t="s">
        <v>6202</v>
      </c>
      <c r="C2326" s="1" t="s">
        <v>255</v>
      </c>
      <c r="D2326" s="1" t="s">
        <v>6203</v>
      </c>
      <c r="E2326" s="1" t="s">
        <v>3917</v>
      </c>
      <c r="F2326" s="1" t="s">
        <v>3918</v>
      </c>
      <c r="G2326" s="1" t="s">
        <v>4983</v>
      </c>
    </row>
    <row r="2327" spans="1:7" x14ac:dyDescent="0.45">
      <c r="A2327" s="1" t="s">
        <v>7775</v>
      </c>
      <c r="B2327" s="1" t="s">
        <v>7776</v>
      </c>
      <c r="C2327" s="1" t="s">
        <v>255</v>
      </c>
      <c r="D2327" s="1" t="s">
        <v>8354</v>
      </c>
      <c r="E2327" s="1" t="s">
        <v>3917</v>
      </c>
      <c r="F2327" s="1" t="s">
        <v>3918</v>
      </c>
      <c r="G2327" s="1" t="s">
        <v>4983</v>
      </c>
    </row>
    <row r="2328" spans="1:7" x14ac:dyDescent="0.45">
      <c r="A2328" s="1" t="s">
        <v>7777</v>
      </c>
      <c r="B2328" s="1" t="s">
        <v>7778</v>
      </c>
      <c r="C2328" s="1" t="s">
        <v>255</v>
      </c>
      <c r="D2328" s="1" t="s">
        <v>8355</v>
      </c>
      <c r="E2328" s="1" t="s">
        <v>3917</v>
      </c>
      <c r="F2328" s="1" t="s">
        <v>3918</v>
      </c>
      <c r="G2328" s="1" t="s">
        <v>4983</v>
      </c>
    </row>
    <row r="2329" spans="1:7" x14ac:dyDescent="0.45">
      <c r="A2329" s="1" t="s">
        <v>11058</v>
      </c>
      <c r="B2329" s="1" t="s">
        <v>11059</v>
      </c>
      <c r="C2329" s="1" t="s">
        <v>255</v>
      </c>
      <c r="D2329" s="1" t="s">
        <v>11737</v>
      </c>
      <c r="E2329" s="1" t="s">
        <v>3917</v>
      </c>
      <c r="F2329" s="1" t="s">
        <v>3918</v>
      </c>
      <c r="G2329" s="1" t="s">
        <v>4983</v>
      </c>
    </row>
    <row r="2330" spans="1:7" x14ac:dyDescent="0.45">
      <c r="A2330" s="1" t="s">
        <v>11060</v>
      </c>
      <c r="B2330" s="1" t="s">
        <v>11061</v>
      </c>
      <c r="C2330" s="1" t="s">
        <v>255</v>
      </c>
      <c r="D2330" s="1" t="s">
        <v>11738</v>
      </c>
      <c r="E2330" s="1" t="s">
        <v>3917</v>
      </c>
      <c r="F2330" s="1" t="s">
        <v>3918</v>
      </c>
      <c r="G2330" s="1" t="s">
        <v>4983</v>
      </c>
    </row>
    <row r="2331" spans="1:7" x14ac:dyDescent="0.45">
      <c r="A2331" s="1" t="s">
        <v>4546</v>
      </c>
      <c r="B2331" s="1" t="s">
        <v>4547</v>
      </c>
      <c r="C2331" s="1" t="s">
        <v>255</v>
      </c>
      <c r="D2331" s="1" t="s">
        <v>4923</v>
      </c>
      <c r="E2331" s="1" t="s">
        <v>3917</v>
      </c>
      <c r="F2331" s="1" t="s">
        <v>3918</v>
      </c>
      <c r="G2331" s="1" t="s">
        <v>4983</v>
      </c>
    </row>
    <row r="2332" spans="1:7" x14ac:dyDescent="0.45">
      <c r="A2332" s="1" t="s">
        <v>1812</v>
      </c>
      <c r="B2332" s="1" t="s">
        <v>1813</v>
      </c>
      <c r="C2332" s="1" t="s">
        <v>255</v>
      </c>
      <c r="D2332" s="1" t="s">
        <v>3112</v>
      </c>
      <c r="E2332" s="1" t="s">
        <v>3917</v>
      </c>
      <c r="F2332" s="1" t="s">
        <v>3918</v>
      </c>
      <c r="G2332" s="1" t="s">
        <v>4983</v>
      </c>
    </row>
    <row r="2333" spans="1:7" x14ac:dyDescent="0.45">
      <c r="A2333" s="1" t="s">
        <v>7779</v>
      </c>
      <c r="B2333" s="1" t="s">
        <v>7780</v>
      </c>
      <c r="C2333" s="1" t="s">
        <v>255</v>
      </c>
      <c r="D2333" s="1" t="s">
        <v>8356</v>
      </c>
      <c r="E2333" s="1" t="s">
        <v>3917</v>
      </c>
      <c r="F2333" s="1" t="s">
        <v>3918</v>
      </c>
      <c r="G2333" s="1" t="s">
        <v>4983</v>
      </c>
    </row>
    <row r="2334" spans="1:7" x14ac:dyDescent="0.45">
      <c r="A2334" s="1" t="s">
        <v>7781</v>
      </c>
      <c r="B2334" s="1" t="s">
        <v>7782</v>
      </c>
      <c r="C2334" s="1" t="s">
        <v>255</v>
      </c>
      <c r="D2334" s="1" t="s">
        <v>8357</v>
      </c>
      <c r="E2334" s="1" t="s">
        <v>3917</v>
      </c>
      <c r="F2334" s="1" t="s">
        <v>3918</v>
      </c>
      <c r="G2334" s="1" t="s">
        <v>4983</v>
      </c>
    </row>
    <row r="2335" spans="1:7" x14ac:dyDescent="0.45">
      <c r="A2335" s="1" t="s">
        <v>11062</v>
      </c>
      <c r="B2335" s="1" t="s">
        <v>11063</v>
      </c>
      <c r="C2335" s="1" t="s">
        <v>255</v>
      </c>
      <c r="D2335" s="1" t="s">
        <v>11739</v>
      </c>
      <c r="E2335" s="1" t="s">
        <v>3917</v>
      </c>
      <c r="F2335" s="1" t="s">
        <v>3918</v>
      </c>
      <c r="G2335" s="1" t="s">
        <v>4983</v>
      </c>
    </row>
    <row r="2336" spans="1:7" x14ac:dyDescent="0.45">
      <c r="A2336" s="1" t="s">
        <v>11064</v>
      </c>
      <c r="B2336" s="1" t="s">
        <v>11065</v>
      </c>
      <c r="C2336" s="1" t="s">
        <v>255</v>
      </c>
      <c r="D2336" s="1" t="s">
        <v>11740</v>
      </c>
      <c r="E2336" s="1" t="s">
        <v>3917</v>
      </c>
      <c r="F2336" s="1" t="s">
        <v>3918</v>
      </c>
      <c r="G2336" s="1" t="s">
        <v>4983</v>
      </c>
    </row>
    <row r="2337" spans="1:7" x14ac:dyDescent="0.45">
      <c r="A2337" s="1" t="s">
        <v>383</v>
      </c>
      <c r="B2337" s="1" t="s">
        <v>382</v>
      </c>
      <c r="C2337" s="1" t="s">
        <v>255</v>
      </c>
      <c r="D2337" s="1" t="s">
        <v>3113</v>
      </c>
      <c r="E2337" s="1" t="s">
        <v>3917</v>
      </c>
      <c r="F2337" s="1" t="s">
        <v>3918</v>
      </c>
      <c r="G2337" s="1" t="s">
        <v>4983</v>
      </c>
    </row>
    <row r="2338" spans="1:7" x14ac:dyDescent="0.45">
      <c r="A2338" s="1" t="s">
        <v>381</v>
      </c>
      <c r="B2338" s="1" t="s">
        <v>380</v>
      </c>
      <c r="C2338" s="1" t="s">
        <v>255</v>
      </c>
      <c r="D2338" s="1" t="s">
        <v>3114</v>
      </c>
      <c r="E2338" s="1" t="s">
        <v>3917</v>
      </c>
      <c r="F2338" s="1" t="s">
        <v>3918</v>
      </c>
      <c r="G2338" s="1" t="s">
        <v>4983</v>
      </c>
    </row>
    <row r="2339" spans="1:7" x14ac:dyDescent="0.45">
      <c r="A2339" s="1" t="s">
        <v>7783</v>
      </c>
      <c r="B2339" s="1" t="s">
        <v>7784</v>
      </c>
      <c r="C2339" s="1" t="s">
        <v>255</v>
      </c>
      <c r="D2339" s="1" t="s">
        <v>8358</v>
      </c>
      <c r="E2339" s="1" t="s">
        <v>3917</v>
      </c>
      <c r="F2339" s="1" t="s">
        <v>3918</v>
      </c>
      <c r="G2339" s="1" t="s">
        <v>4983</v>
      </c>
    </row>
    <row r="2340" spans="1:7" x14ac:dyDescent="0.45">
      <c r="A2340" s="1" t="s">
        <v>4548</v>
      </c>
      <c r="B2340" s="1" t="s">
        <v>4549</v>
      </c>
      <c r="C2340" s="1" t="s">
        <v>255</v>
      </c>
      <c r="D2340" s="1" t="s">
        <v>4924</v>
      </c>
      <c r="E2340" s="1" t="s">
        <v>3917</v>
      </c>
      <c r="F2340" s="1" t="s">
        <v>3918</v>
      </c>
      <c r="G2340" s="1" t="s">
        <v>4983</v>
      </c>
    </row>
    <row r="2341" spans="1:7" x14ac:dyDescent="0.45">
      <c r="A2341" s="1" t="s">
        <v>7785</v>
      </c>
      <c r="B2341" s="1" t="s">
        <v>5290</v>
      </c>
      <c r="C2341" s="1" t="s">
        <v>255</v>
      </c>
      <c r="D2341" s="1" t="s">
        <v>5291</v>
      </c>
      <c r="E2341" s="1" t="s">
        <v>3917</v>
      </c>
      <c r="F2341" s="1" t="s">
        <v>3918</v>
      </c>
      <c r="G2341" s="1" t="s">
        <v>4983</v>
      </c>
    </row>
    <row r="2342" spans="1:7" x14ac:dyDescent="0.45">
      <c r="A2342" s="1" t="s">
        <v>4550</v>
      </c>
      <c r="B2342" s="1" t="s">
        <v>4551</v>
      </c>
      <c r="C2342" s="1" t="s">
        <v>255</v>
      </c>
      <c r="D2342" s="1" t="s">
        <v>4925</v>
      </c>
      <c r="E2342" s="1" t="s">
        <v>3917</v>
      </c>
      <c r="F2342" s="1" t="s">
        <v>3918</v>
      </c>
      <c r="G2342" s="1" t="s">
        <v>4983</v>
      </c>
    </row>
    <row r="2343" spans="1:7" x14ac:dyDescent="0.45">
      <c r="A2343" s="1" t="s">
        <v>11066</v>
      </c>
      <c r="B2343" s="1" t="s">
        <v>11067</v>
      </c>
      <c r="C2343" s="1" t="s">
        <v>255</v>
      </c>
      <c r="D2343" s="1" t="s">
        <v>11741</v>
      </c>
      <c r="E2343" s="1" t="s">
        <v>3917</v>
      </c>
      <c r="F2343" s="1" t="s">
        <v>3918</v>
      </c>
      <c r="G2343" s="1" t="s">
        <v>4983</v>
      </c>
    </row>
    <row r="2344" spans="1:7" x14ac:dyDescent="0.45">
      <c r="A2344" s="1" t="s">
        <v>4552</v>
      </c>
      <c r="B2344" s="1" t="s">
        <v>4553</v>
      </c>
      <c r="C2344" s="1" t="s">
        <v>255</v>
      </c>
      <c r="D2344" s="1" t="s">
        <v>4926</v>
      </c>
      <c r="E2344" s="1" t="s">
        <v>3917</v>
      </c>
      <c r="F2344" s="1" t="s">
        <v>3918</v>
      </c>
      <c r="G2344" s="1" t="s">
        <v>4983</v>
      </c>
    </row>
    <row r="2345" spans="1:7" x14ac:dyDescent="0.45">
      <c r="A2345" s="1" t="s">
        <v>7786</v>
      </c>
      <c r="B2345" s="1" t="s">
        <v>7787</v>
      </c>
      <c r="C2345" s="1" t="s">
        <v>255</v>
      </c>
      <c r="D2345" s="1" t="s">
        <v>8359</v>
      </c>
      <c r="E2345" s="1" t="s">
        <v>3917</v>
      </c>
      <c r="F2345" s="1" t="s">
        <v>3918</v>
      </c>
      <c r="G2345" s="1" t="s">
        <v>4983</v>
      </c>
    </row>
    <row r="2346" spans="1:7" x14ac:dyDescent="0.45">
      <c r="A2346" s="1" t="s">
        <v>11068</v>
      </c>
      <c r="B2346" s="1" t="s">
        <v>11069</v>
      </c>
      <c r="C2346" s="1" t="s">
        <v>255</v>
      </c>
      <c r="D2346" s="1" t="s">
        <v>11742</v>
      </c>
      <c r="E2346" s="1" t="s">
        <v>3917</v>
      </c>
      <c r="F2346" s="1" t="s">
        <v>3918</v>
      </c>
      <c r="G2346" s="1" t="s">
        <v>4983</v>
      </c>
    </row>
    <row r="2347" spans="1:7" x14ac:dyDescent="0.45">
      <c r="A2347" s="1" t="s">
        <v>7788</v>
      </c>
      <c r="B2347" s="1" t="s">
        <v>7789</v>
      </c>
      <c r="C2347" s="1" t="s">
        <v>255</v>
      </c>
      <c r="D2347" s="1" t="s">
        <v>8360</v>
      </c>
      <c r="E2347" s="1" t="s">
        <v>3917</v>
      </c>
      <c r="F2347" s="1" t="s">
        <v>3918</v>
      </c>
      <c r="G2347" s="1" t="s">
        <v>4983</v>
      </c>
    </row>
    <row r="2348" spans="1:7" x14ac:dyDescent="0.45">
      <c r="A2348" s="1" t="s">
        <v>4554</v>
      </c>
      <c r="B2348" s="1" t="s">
        <v>3276</v>
      </c>
      <c r="C2348" s="1" t="s">
        <v>255</v>
      </c>
      <c r="D2348" s="1" t="s">
        <v>3277</v>
      </c>
      <c r="E2348" s="1" t="s">
        <v>3917</v>
      </c>
      <c r="F2348" s="1" t="s">
        <v>3918</v>
      </c>
      <c r="G2348" s="1" t="s">
        <v>4983</v>
      </c>
    </row>
    <row r="2349" spans="1:7" x14ac:dyDescent="0.45">
      <c r="A2349" s="1" t="s">
        <v>7790</v>
      </c>
      <c r="B2349" s="1" t="s">
        <v>7791</v>
      </c>
      <c r="C2349" s="1" t="s">
        <v>255</v>
      </c>
      <c r="D2349" s="1" t="s">
        <v>8361</v>
      </c>
      <c r="E2349" s="1" t="s">
        <v>3917</v>
      </c>
      <c r="F2349" s="1" t="s">
        <v>3918</v>
      </c>
      <c r="G2349" s="1" t="s">
        <v>4983</v>
      </c>
    </row>
    <row r="2350" spans="1:7" x14ac:dyDescent="0.45">
      <c r="A2350" s="1" t="s">
        <v>379</v>
      </c>
      <c r="B2350" s="1" t="s">
        <v>378</v>
      </c>
      <c r="C2350" s="1" t="s">
        <v>255</v>
      </c>
      <c r="D2350" s="1" t="s">
        <v>3115</v>
      </c>
      <c r="E2350" s="1" t="s">
        <v>3917</v>
      </c>
      <c r="F2350" s="1" t="s">
        <v>3918</v>
      </c>
      <c r="G2350" s="1" t="s">
        <v>4983</v>
      </c>
    </row>
    <row r="2351" spans="1:7" x14ac:dyDescent="0.45">
      <c r="A2351" s="1" t="s">
        <v>11070</v>
      </c>
      <c r="B2351" s="1" t="s">
        <v>11071</v>
      </c>
      <c r="C2351" s="1" t="s">
        <v>255</v>
      </c>
      <c r="D2351" s="1" t="s">
        <v>11743</v>
      </c>
      <c r="E2351" s="1" t="s">
        <v>3917</v>
      </c>
      <c r="F2351" s="1" t="s">
        <v>3918</v>
      </c>
      <c r="G2351" s="1" t="s">
        <v>4983</v>
      </c>
    </row>
    <row r="2352" spans="1:7" x14ac:dyDescent="0.45">
      <c r="A2352" s="1" t="s">
        <v>7792</v>
      </c>
      <c r="B2352" s="1" t="s">
        <v>7793</v>
      </c>
      <c r="C2352" s="1" t="s">
        <v>255</v>
      </c>
      <c r="D2352" s="1" t="s">
        <v>8362</v>
      </c>
      <c r="E2352" s="1" t="s">
        <v>3917</v>
      </c>
      <c r="F2352" s="1" t="s">
        <v>3918</v>
      </c>
      <c r="G2352" s="1" t="s">
        <v>4983</v>
      </c>
    </row>
    <row r="2353" spans="1:7" x14ac:dyDescent="0.45">
      <c r="A2353" s="1" t="s">
        <v>7794</v>
      </c>
      <c r="B2353" s="1" t="s">
        <v>7795</v>
      </c>
      <c r="C2353" s="1" t="s">
        <v>255</v>
      </c>
      <c r="D2353" s="1" t="s">
        <v>8363</v>
      </c>
      <c r="E2353" s="1" t="s">
        <v>3917</v>
      </c>
      <c r="F2353" s="1" t="s">
        <v>3918</v>
      </c>
      <c r="G2353" s="1" t="s">
        <v>4983</v>
      </c>
    </row>
    <row r="2354" spans="1:7" x14ac:dyDescent="0.45">
      <c r="A2354" s="1" t="s">
        <v>7796</v>
      </c>
      <c r="B2354" s="1" t="s">
        <v>7797</v>
      </c>
      <c r="C2354" s="1" t="s">
        <v>255</v>
      </c>
      <c r="D2354" s="1" t="s">
        <v>8364</v>
      </c>
      <c r="E2354" s="1" t="s">
        <v>3917</v>
      </c>
      <c r="F2354" s="1" t="s">
        <v>3918</v>
      </c>
      <c r="G2354" s="1" t="s">
        <v>4983</v>
      </c>
    </row>
    <row r="2355" spans="1:7" x14ac:dyDescent="0.45">
      <c r="A2355" s="1" t="s">
        <v>4557</v>
      </c>
      <c r="B2355" s="1" t="s">
        <v>4558</v>
      </c>
      <c r="C2355" s="1" t="s">
        <v>255</v>
      </c>
      <c r="D2355" s="1" t="s">
        <v>4928</v>
      </c>
      <c r="E2355" s="1" t="s">
        <v>3917</v>
      </c>
      <c r="F2355" s="1" t="s">
        <v>3918</v>
      </c>
      <c r="G2355" s="1" t="s">
        <v>4983</v>
      </c>
    </row>
    <row r="2356" spans="1:7" x14ac:dyDescent="0.45">
      <c r="A2356" s="1" t="s">
        <v>3814</v>
      </c>
      <c r="B2356" s="1" t="s">
        <v>3815</v>
      </c>
      <c r="C2356" s="1" t="s">
        <v>255</v>
      </c>
      <c r="D2356" s="1" t="s">
        <v>3816</v>
      </c>
      <c r="E2356" s="1" t="s">
        <v>3917</v>
      </c>
      <c r="F2356" s="1" t="s">
        <v>3918</v>
      </c>
      <c r="G2356" s="1" t="s">
        <v>4983</v>
      </c>
    </row>
    <row r="2357" spans="1:7" x14ac:dyDescent="0.45">
      <c r="A2357" s="1" t="s">
        <v>11072</v>
      </c>
      <c r="B2357" s="1" t="s">
        <v>11073</v>
      </c>
      <c r="C2357" s="1" t="s">
        <v>255</v>
      </c>
      <c r="D2357" s="1" t="s">
        <v>11744</v>
      </c>
      <c r="E2357" s="1" t="s">
        <v>3917</v>
      </c>
      <c r="F2357" s="1" t="s">
        <v>3918</v>
      </c>
      <c r="G2357" s="1" t="s">
        <v>4983</v>
      </c>
    </row>
    <row r="2358" spans="1:7" x14ac:dyDescent="0.45">
      <c r="A2358" s="1" t="s">
        <v>1814</v>
      </c>
      <c r="B2358" s="1" t="s">
        <v>1815</v>
      </c>
      <c r="C2358" s="1" t="s">
        <v>255</v>
      </c>
      <c r="D2358" s="1" t="s">
        <v>3117</v>
      </c>
      <c r="E2358" s="1" t="s">
        <v>3917</v>
      </c>
      <c r="F2358" s="1" t="s">
        <v>3918</v>
      </c>
      <c r="G2358" s="1" t="s">
        <v>4983</v>
      </c>
    </row>
    <row r="2359" spans="1:7" x14ac:dyDescent="0.45">
      <c r="A2359" s="1" t="s">
        <v>7798</v>
      </c>
      <c r="B2359" s="1" t="s">
        <v>7799</v>
      </c>
      <c r="C2359" s="1" t="s">
        <v>255</v>
      </c>
      <c r="D2359" s="1" t="s">
        <v>8365</v>
      </c>
      <c r="E2359" s="1" t="s">
        <v>3917</v>
      </c>
      <c r="F2359" s="1" t="s">
        <v>3918</v>
      </c>
      <c r="G2359" s="1" t="s">
        <v>4983</v>
      </c>
    </row>
    <row r="2360" spans="1:7" x14ac:dyDescent="0.45">
      <c r="A2360" s="1" t="s">
        <v>7800</v>
      </c>
      <c r="B2360" s="1" t="s">
        <v>7801</v>
      </c>
      <c r="C2360" s="1" t="s">
        <v>255</v>
      </c>
      <c r="D2360" s="1" t="s">
        <v>8366</v>
      </c>
      <c r="E2360" s="1" t="s">
        <v>3917</v>
      </c>
      <c r="F2360" s="1" t="s">
        <v>3918</v>
      </c>
      <c r="G2360" s="1" t="s">
        <v>4983</v>
      </c>
    </row>
    <row r="2361" spans="1:7" x14ac:dyDescent="0.45">
      <c r="A2361" s="1" t="s">
        <v>4559</v>
      </c>
      <c r="B2361" s="1" t="s">
        <v>4560</v>
      </c>
      <c r="C2361" s="1" t="s">
        <v>255</v>
      </c>
      <c r="D2361" s="1" t="s">
        <v>4929</v>
      </c>
      <c r="E2361" s="1" t="s">
        <v>3917</v>
      </c>
      <c r="F2361" s="1" t="s">
        <v>3918</v>
      </c>
      <c r="G2361" s="1" t="s">
        <v>4983</v>
      </c>
    </row>
    <row r="2362" spans="1:7" x14ac:dyDescent="0.45">
      <c r="A2362" s="1" t="s">
        <v>7802</v>
      </c>
      <c r="B2362" s="1" t="s">
        <v>5485</v>
      </c>
      <c r="C2362" s="1" t="s">
        <v>255</v>
      </c>
      <c r="D2362" s="1" t="s">
        <v>5486</v>
      </c>
      <c r="E2362" s="1" t="s">
        <v>3917</v>
      </c>
      <c r="F2362" s="1" t="s">
        <v>3918</v>
      </c>
      <c r="G2362" s="1" t="s">
        <v>4983</v>
      </c>
    </row>
    <row r="2363" spans="1:7" x14ac:dyDescent="0.45">
      <c r="A2363" s="1" t="s">
        <v>375</v>
      </c>
      <c r="B2363" s="1" t="s">
        <v>257</v>
      </c>
      <c r="C2363" s="1" t="s">
        <v>255</v>
      </c>
      <c r="D2363" s="1" t="s">
        <v>3118</v>
      </c>
      <c r="E2363" s="1" t="s">
        <v>3917</v>
      </c>
      <c r="F2363" s="1" t="s">
        <v>3918</v>
      </c>
      <c r="G2363" s="1" t="s">
        <v>4983</v>
      </c>
    </row>
    <row r="2364" spans="1:7" x14ac:dyDescent="0.45">
      <c r="A2364" s="1" t="s">
        <v>374</v>
      </c>
      <c r="B2364" s="1" t="s">
        <v>373</v>
      </c>
      <c r="C2364" s="1" t="s">
        <v>255</v>
      </c>
      <c r="D2364" s="1" t="s">
        <v>3119</v>
      </c>
      <c r="E2364" s="1" t="s">
        <v>3917</v>
      </c>
      <c r="F2364" s="1" t="s">
        <v>3918</v>
      </c>
      <c r="G2364" s="1" t="s">
        <v>4983</v>
      </c>
    </row>
    <row r="2365" spans="1:7" x14ac:dyDescent="0.45">
      <c r="A2365" s="1" t="s">
        <v>3817</v>
      </c>
      <c r="B2365" s="1" t="s">
        <v>3818</v>
      </c>
      <c r="C2365" s="1" t="s">
        <v>255</v>
      </c>
      <c r="D2365" s="1" t="s">
        <v>3819</v>
      </c>
      <c r="E2365" s="1" t="s">
        <v>3919</v>
      </c>
      <c r="F2365" s="1" t="s">
        <v>3918</v>
      </c>
      <c r="G2365" s="1" t="s">
        <v>4983</v>
      </c>
    </row>
    <row r="2366" spans="1:7" x14ac:dyDescent="0.45">
      <c r="A2366" s="1" t="s">
        <v>3820</v>
      </c>
      <c r="B2366" s="1" t="s">
        <v>3821</v>
      </c>
      <c r="C2366" s="1" t="s">
        <v>255</v>
      </c>
      <c r="D2366" s="1" t="s">
        <v>3822</v>
      </c>
      <c r="E2366" s="1" t="s">
        <v>3919</v>
      </c>
      <c r="F2366" s="1" t="s">
        <v>3918</v>
      </c>
      <c r="G2366" s="1" t="s">
        <v>4983</v>
      </c>
    </row>
    <row r="2367" spans="1:7" x14ac:dyDescent="0.45">
      <c r="A2367" s="1" t="s">
        <v>7805</v>
      </c>
      <c r="B2367" s="1" t="s">
        <v>5703</v>
      </c>
      <c r="C2367" s="1" t="s">
        <v>255</v>
      </c>
      <c r="D2367" s="1" t="s">
        <v>5704</v>
      </c>
      <c r="E2367" s="1" t="s">
        <v>3919</v>
      </c>
      <c r="F2367" s="1" t="s">
        <v>3918</v>
      </c>
      <c r="G2367" s="1" t="s">
        <v>4983</v>
      </c>
    </row>
    <row r="2368" spans="1:7" x14ac:dyDescent="0.45">
      <c r="A2368" s="1" t="s">
        <v>7806</v>
      </c>
      <c r="B2368" s="1" t="s">
        <v>5577</v>
      </c>
      <c r="C2368" s="1" t="s">
        <v>255</v>
      </c>
      <c r="D2368" s="1" t="s">
        <v>5578</v>
      </c>
      <c r="E2368" s="1" t="s">
        <v>3917</v>
      </c>
      <c r="F2368" s="1" t="s">
        <v>3918</v>
      </c>
      <c r="G2368" s="1" t="s">
        <v>4983</v>
      </c>
    </row>
    <row r="2369" spans="1:7" x14ac:dyDescent="0.45">
      <c r="A2369" s="1" t="s">
        <v>1816</v>
      </c>
      <c r="B2369" s="1" t="s">
        <v>1817</v>
      </c>
      <c r="C2369" s="1" t="s">
        <v>255</v>
      </c>
      <c r="D2369" s="1" t="s">
        <v>3120</v>
      </c>
      <c r="E2369" s="1" t="s">
        <v>3917</v>
      </c>
      <c r="F2369" s="1" t="s">
        <v>3918</v>
      </c>
      <c r="G2369" s="1" t="s">
        <v>4983</v>
      </c>
    </row>
    <row r="2370" spans="1:7" x14ac:dyDescent="0.45">
      <c r="A2370" s="1" t="s">
        <v>372</v>
      </c>
      <c r="B2370" s="1" t="s">
        <v>371</v>
      </c>
      <c r="C2370" s="1" t="s">
        <v>255</v>
      </c>
      <c r="D2370" s="1" t="s">
        <v>2516</v>
      </c>
      <c r="E2370" s="1" t="s">
        <v>3917</v>
      </c>
      <c r="F2370" s="1" t="s">
        <v>3918</v>
      </c>
      <c r="G2370" s="1" t="s">
        <v>4983</v>
      </c>
    </row>
    <row r="2371" spans="1:7" x14ac:dyDescent="0.45">
      <c r="A2371" s="1" t="s">
        <v>11074</v>
      </c>
      <c r="B2371" s="1" t="s">
        <v>11075</v>
      </c>
      <c r="C2371" s="1" t="s">
        <v>255</v>
      </c>
      <c r="D2371" s="1" t="s">
        <v>11745</v>
      </c>
      <c r="E2371" s="1" t="s">
        <v>3917</v>
      </c>
      <c r="F2371" s="1" t="s">
        <v>3918</v>
      </c>
      <c r="G2371" s="1" t="s">
        <v>4983</v>
      </c>
    </row>
    <row r="2372" spans="1:7" x14ac:dyDescent="0.45">
      <c r="A2372" s="1" t="s">
        <v>7807</v>
      </c>
      <c r="B2372" s="1" t="s">
        <v>3332</v>
      </c>
      <c r="C2372" s="1" t="s">
        <v>255</v>
      </c>
      <c r="D2372" s="1" t="s">
        <v>3333</v>
      </c>
      <c r="E2372" s="1" t="s">
        <v>3917</v>
      </c>
      <c r="F2372" s="1" t="s">
        <v>3918</v>
      </c>
      <c r="G2372" s="1" t="s">
        <v>4983</v>
      </c>
    </row>
    <row r="2373" spans="1:7" x14ac:dyDescent="0.45">
      <c r="A2373" s="1" t="s">
        <v>4561</v>
      </c>
      <c r="B2373" s="1" t="s">
        <v>4562</v>
      </c>
      <c r="C2373" s="1" t="s">
        <v>255</v>
      </c>
      <c r="D2373" s="1" t="s">
        <v>4930</v>
      </c>
      <c r="E2373" s="1" t="s">
        <v>3917</v>
      </c>
      <c r="F2373" s="1" t="s">
        <v>3918</v>
      </c>
      <c r="G2373" s="1" t="s">
        <v>4983</v>
      </c>
    </row>
    <row r="2374" spans="1:7" x14ac:dyDescent="0.45">
      <c r="A2374" s="1" t="s">
        <v>4563</v>
      </c>
      <c r="B2374" s="1" t="s">
        <v>4564</v>
      </c>
      <c r="C2374" s="1" t="s">
        <v>255</v>
      </c>
      <c r="D2374" s="1" t="s">
        <v>4931</v>
      </c>
      <c r="E2374" s="1" t="s">
        <v>3917</v>
      </c>
      <c r="F2374" s="1" t="s">
        <v>3918</v>
      </c>
      <c r="G2374" s="1" t="s">
        <v>4983</v>
      </c>
    </row>
    <row r="2375" spans="1:7" x14ac:dyDescent="0.45">
      <c r="A2375" s="1" t="s">
        <v>370</v>
      </c>
      <c r="B2375" s="1" t="s">
        <v>369</v>
      </c>
      <c r="C2375" s="1" t="s">
        <v>255</v>
      </c>
      <c r="D2375" s="1" t="s">
        <v>3121</v>
      </c>
      <c r="E2375" s="1" t="s">
        <v>3917</v>
      </c>
      <c r="F2375" s="1" t="s">
        <v>3918</v>
      </c>
      <c r="G2375" s="1" t="s">
        <v>4983</v>
      </c>
    </row>
    <row r="2376" spans="1:7" x14ac:dyDescent="0.45">
      <c r="A2376" s="1" t="s">
        <v>7808</v>
      </c>
      <c r="B2376" s="1" t="s">
        <v>7809</v>
      </c>
      <c r="C2376" s="1" t="s">
        <v>255</v>
      </c>
      <c r="D2376" s="1" t="s">
        <v>8368</v>
      </c>
      <c r="E2376" s="1" t="s">
        <v>3917</v>
      </c>
      <c r="F2376" s="1" t="s">
        <v>3918</v>
      </c>
      <c r="G2376" s="1" t="s">
        <v>4983</v>
      </c>
    </row>
    <row r="2377" spans="1:7" x14ac:dyDescent="0.45">
      <c r="A2377" s="1" t="s">
        <v>11076</v>
      </c>
      <c r="B2377" s="1" t="s">
        <v>11077</v>
      </c>
      <c r="C2377" s="1" t="s">
        <v>255</v>
      </c>
      <c r="D2377" s="1" t="s">
        <v>11746</v>
      </c>
      <c r="E2377" s="1" t="s">
        <v>3917</v>
      </c>
      <c r="F2377" s="1" t="s">
        <v>3918</v>
      </c>
      <c r="G2377" s="1" t="s">
        <v>4983</v>
      </c>
    </row>
    <row r="2378" spans="1:7" x14ac:dyDescent="0.45">
      <c r="A2378" s="1" t="s">
        <v>3823</v>
      </c>
      <c r="B2378" s="1" t="s">
        <v>3824</v>
      </c>
      <c r="C2378" s="1" t="s">
        <v>255</v>
      </c>
      <c r="D2378" s="1" t="s">
        <v>3825</v>
      </c>
      <c r="E2378" s="1" t="s">
        <v>3917</v>
      </c>
      <c r="F2378" s="1" t="s">
        <v>3918</v>
      </c>
      <c r="G2378" s="1" t="s">
        <v>4983</v>
      </c>
    </row>
    <row r="2379" spans="1:7" x14ac:dyDescent="0.45">
      <c r="A2379" s="1" t="s">
        <v>7810</v>
      </c>
      <c r="B2379" s="1" t="s">
        <v>7811</v>
      </c>
      <c r="C2379" s="1" t="s">
        <v>255</v>
      </c>
      <c r="D2379" s="1" t="s">
        <v>8369</v>
      </c>
      <c r="E2379" s="1" t="s">
        <v>3917</v>
      </c>
      <c r="F2379" s="1" t="s">
        <v>3918</v>
      </c>
      <c r="G2379" s="1" t="s">
        <v>4983</v>
      </c>
    </row>
    <row r="2380" spans="1:7" x14ac:dyDescent="0.45">
      <c r="A2380" s="1" t="s">
        <v>368</v>
      </c>
      <c r="B2380" s="1" t="s">
        <v>367</v>
      </c>
      <c r="C2380" s="1" t="s">
        <v>255</v>
      </c>
      <c r="D2380" s="1" t="s">
        <v>3122</v>
      </c>
      <c r="E2380" s="1" t="s">
        <v>3917</v>
      </c>
      <c r="F2380" s="1" t="s">
        <v>3918</v>
      </c>
      <c r="G2380" s="1" t="s">
        <v>4983</v>
      </c>
    </row>
    <row r="2381" spans="1:7" x14ac:dyDescent="0.45">
      <c r="A2381" s="1" t="s">
        <v>3826</v>
      </c>
      <c r="B2381" s="1" t="s">
        <v>3827</v>
      </c>
      <c r="C2381" s="1" t="s">
        <v>255</v>
      </c>
      <c r="D2381" s="1" t="s">
        <v>3828</v>
      </c>
      <c r="E2381" s="1" t="s">
        <v>3917</v>
      </c>
      <c r="F2381" s="1" t="s">
        <v>3918</v>
      </c>
      <c r="G2381" s="1" t="s">
        <v>4983</v>
      </c>
    </row>
    <row r="2382" spans="1:7" x14ac:dyDescent="0.45">
      <c r="A2382" s="1" t="s">
        <v>7812</v>
      </c>
      <c r="B2382" s="1" t="s">
        <v>7813</v>
      </c>
      <c r="C2382" s="1" t="s">
        <v>255</v>
      </c>
      <c r="D2382" s="1" t="s">
        <v>8370</v>
      </c>
      <c r="E2382" s="1" t="s">
        <v>3917</v>
      </c>
      <c r="F2382" s="1" t="s">
        <v>3918</v>
      </c>
      <c r="G2382" s="1" t="s">
        <v>4983</v>
      </c>
    </row>
    <row r="2383" spans="1:7" x14ac:dyDescent="0.45">
      <c r="A2383" s="1" t="s">
        <v>1818</v>
      </c>
      <c r="B2383" s="1" t="s">
        <v>1819</v>
      </c>
      <c r="C2383" s="1" t="s">
        <v>255</v>
      </c>
      <c r="D2383" s="1" t="s">
        <v>3126</v>
      </c>
      <c r="E2383" s="1" t="s">
        <v>3917</v>
      </c>
      <c r="F2383" s="1" t="s">
        <v>3918</v>
      </c>
      <c r="G2383" s="1" t="s">
        <v>4983</v>
      </c>
    </row>
    <row r="2384" spans="1:7" x14ac:dyDescent="0.45">
      <c r="A2384" s="1" t="s">
        <v>4565</v>
      </c>
      <c r="B2384" s="1" t="s">
        <v>4566</v>
      </c>
      <c r="C2384" s="1" t="s">
        <v>255</v>
      </c>
      <c r="D2384" s="1" t="s">
        <v>4932</v>
      </c>
      <c r="E2384" s="1" t="s">
        <v>3917</v>
      </c>
      <c r="F2384" s="1" t="s">
        <v>3918</v>
      </c>
      <c r="G2384" s="1" t="s">
        <v>4983</v>
      </c>
    </row>
    <row r="2385" spans="1:7" x14ac:dyDescent="0.45">
      <c r="A2385" s="1" t="s">
        <v>11078</v>
      </c>
      <c r="B2385" s="1" t="s">
        <v>5685</v>
      </c>
      <c r="C2385" s="1" t="s">
        <v>255</v>
      </c>
      <c r="D2385" s="1" t="s">
        <v>5686</v>
      </c>
      <c r="E2385" s="1" t="s">
        <v>3917</v>
      </c>
      <c r="F2385" s="1" t="s">
        <v>3918</v>
      </c>
      <c r="G2385" s="1" t="s">
        <v>4983</v>
      </c>
    </row>
    <row r="2386" spans="1:7" x14ac:dyDescent="0.45">
      <c r="A2386" s="1" t="s">
        <v>366</v>
      </c>
      <c r="B2386" s="1" t="s">
        <v>365</v>
      </c>
      <c r="C2386" s="1" t="s">
        <v>255</v>
      </c>
      <c r="D2386" s="1" t="s">
        <v>3127</v>
      </c>
      <c r="E2386" s="1" t="s">
        <v>3917</v>
      </c>
      <c r="F2386" s="1" t="s">
        <v>3918</v>
      </c>
      <c r="G2386" s="1" t="s">
        <v>4983</v>
      </c>
    </row>
    <row r="2387" spans="1:7" x14ac:dyDescent="0.45">
      <c r="A2387" s="1" t="s">
        <v>7814</v>
      </c>
      <c r="B2387" s="1" t="s">
        <v>7815</v>
      </c>
      <c r="C2387" s="1" t="s">
        <v>255</v>
      </c>
      <c r="D2387" s="1" t="s">
        <v>8371</v>
      </c>
      <c r="E2387" s="1" t="s">
        <v>3917</v>
      </c>
      <c r="F2387" s="1" t="s">
        <v>3918</v>
      </c>
      <c r="G2387" s="1" t="s">
        <v>4983</v>
      </c>
    </row>
    <row r="2388" spans="1:7" x14ac:dyDescent="0.45">
      <c r="A2388" s="1" t="s">
        <v>4567</v>
      </c>
      <c r="B2388" s="1" t="s">
        <v>4568</v>
      </c>
      <c r="C2388" s="1" t="s">
        <v>255</v>
      </c>
      <c r="D2388" s="1" t="s">
        <v>4934</v>
      </c>
      <c r="E2388" s="1" t="s">
        <v>3917</v>
      </c>
      <c r="F2388" s="1" t="s">
        <v>3918</v>
      </c>
      <c r="G2388" s="1" t="s">
        <v>4983</v>
      </c>
    </row>
    <row r="2389" spans="1:7" x14ac:dyDescent="0.45">
      <c r="A2389" s="1" t="s">
        <v>7816</v>
      </c>
      <c r="B2389" s="1" t="s">
        <v>7817</v>
      </c>
      <c r="C2389" s="1" t="s">
        <v>255</v>
      </c>
      <c r="D2389" s="1" t="s">
        <v>6478</v>
      </c>
      <c r="E2389" s="1" t="s">
        <v>3917</v>
      </c>
      <c r="F2389" s="1" t="s">
        <v>3918</v>
      </c>
      <c r="G2389" s="1" t="s">
        <v>4983</v>
      </c>
    </row>
    <row r="2390" spans="1:7" x14ac:dyDescent="0.45">
      <c r="A2390" s="1" t="s">
        <v>11079</v>
      </c>
      <c r="B2390" s="1" t="s">
        <v>11080</v>
      </c>
      <c r="C2390" s="1" t="s">
        <v>255</v>
      </c>
      <c r="D2390" s="1" t="s">
        <v>11747</v>
      </c>
      <c r="E2390" s="1" t="s">
        <v>3917</v>
      </c>
      <c r="F2390" s="1" t="s">
        <v>3918</v>
      </c>
      <c r="G2390" s="1" t="s">
        <v>4983</v>
      </c>
    </row>
    <row r="2391" spans="1:7" x14ac:dyDescent="0.45">
      <c r="A2391" s="1" t="s">
        <v>364</v>
      </c>
      <c r="B2391" s="1" t="s">
        <v>363</v>
      </c>
      <c r="C2391" s="1" t="s">
        <v>255</v>
      </c>
      <c r="D2391" s="1" t="s">
        <v>3128</v>
      </c>
      <c r="E2391" s="1" t="s">
        <v>3917</v>
      </c>
      <c r="F2391" s="1" t="s">
        <v>3918</v>
      </c>
      <c r="G2391" s="1" t="s">
        <v>4983</v>
      </c>
    </row>
    <row r="2392" spans="1:7" x14ac:dyDescent="0.45">
      <c r="A2392" s="1" t="s">
        <v>11081</v>
      </c>
      <c r="B2392" s="1" t="s">
        <v>11082</v>
      </c>
      <c r="C2392" s="1" t="s">
        <v>255</v>
      </c>
      <c r="D2392" s="1" t="s">
        <v>11748</v>
      </c>
      <c r="E2392" s="1" t="s">
        <v>3917</v>
      </c>
      <c r="F2392" s="1" t="s">
        <v>3918</v>
      </c>
      <c r="G2392" s="1" t="s">
        <v>4983</v>
      </c>
    </row>
    <row r="2393" spans="1:7" x14ac:dyDescent="0.45">
      <c r="A2393" s="1" t="s">
        <v>11083</v>
      </c>
      <c r="B2393" s="1" t="s">
        <v>11084</v>
      </c>
      <c r="C2393" s="1" t="s">
        <v>255</v>
      </c>
      <c r="D2393" s="1" t="s">
        <v>11749</v>
      </c>
      <c r="E2393" s="1" t="s">
        <v>3917</v>
      </c>
      <c r="F2393" s="1" t="s">
        <v>3918</v>
      </c>
      <c r="G2393" s="1" t="s">
        <v>4983</v>
      </c>
    </row>
    <row r="2394" spans="1:7" x14ac:dyDescent="0.45">
      <c r="A2394" s="1" t="s">
        <v>11085</v>
      </c>
      <c r="B2394" s="1" t="s">
        <v>5665</v>
      </c>
      <c r="C2394" s="1" t="s">
        <v>255</v>
      </c>
      <c r="D2394" s="1" t="s">
        <v>5666</v>
      </c>
      <c r="E2394" s="1" t="s">
        <v>3917</v>
      </c>
      <c r="F2394" s="1" t="s">
        <v>3918</v>
      </c>
      <c r="G2394" s="1" t="s">
        <v>4983</v>
      </c>
    </row>
    <row r="2395" spans="1:7" x14ac:dyDescent="0.45">
      <c r="A2395" s="1" t="s">
        <v>11086</v>
      </c>
      <c r="B2395" s="1" t="s">
        <v>11087</v>
      </c>
      <c r="C2395" s="1" t="s">
        <v>255</v>
      </c>
      <c r="D2395" s="1" t="s">
        <v>11750</v>
      </c>
      <c r="E2395" s="1" t="s">
        <v>3917</v>
      </c>
      <c r="F2395" s="1" t="s">
        <v>3918</v>
      </c>
      <c r="G2395" s="1" t="s">
        <v>4983</v>
      </c>
    </row>
    <row r="2396" spans="1:7" x14ac:dyDescent="0.45">
      <c r="A2396" s="1" t="s">
        <v>7818</v>
      </c>
      <c r="B2396" s="1" t="s">
        <v>7819</v>
      </c>
      <c r="C2396" s="1" t="s">
        <v>255</v>
      </c>
      <c r="D2396" s="1" t="s">
        <v>8372</v>
      </c>
      <c r="E2396" s="1" t="s">
        <v>3917</v>
      </c>
      <c r="F2396" s="1" t="s">
        <v>3918</v>
      </c>
      <c r="G2396" s="1" t="s">
        <v>4983</v>
      </c>
    </row>
    <row r="2397" spans="1:7" x14ac:dyDescent="0.45">
      <c r="A2397" s="1" t="s">
        <v>362</v>
      </c>
      <c r="B2397" s="1" t="s">
        <v>361</v>
      </c>
      <c r="C2397" s="1" t="s">
        <v>255</v>
      </c>
      <c r="D2397" s="1" t="s">
        <v>3129</v>
      </c>
      <c r="E2397" s="1" t="s">
        <v>3917</v>
      </c>
      <c r="F2397" s="1" t="s">
        <v>3918</v>
      </c>
      <c r="G2397" s="1" t="s">
        <v>4983</v>
      </c>
    </row>
    <row r="2398" spans="1:7" x14ac:dyDescent="0.45">
      <c r="A2398" s="1" t="s">
        <v>4569</v>
      </c>
      <c r="B2398" s="1" t="s">
        <v>4570</v>
      </c>
      <c r="C2398" s="1" t="s">
        <v>255</v>
      </c>
      <c r="D2398" s="1" t="s">
        <v>4935</v>
      </c>
      <c r="E2398" s="1" t="s">
        <v>3917</v>
      </c>
      <c r="F2398" s="1" t="s">
        <v>3918</v>
      </c>
      <c r="G2398" s="1" t="s">
        <v>4983</v>
      </c>
    </row>
    <row r="2399" spans="1:7" x14ac:dyDescent="0.45">
      <c r="A2399" s="1" t="s">
        <v>7820</v>
      </c>
      <c r="B2399" s="1" t="s">
        <v>7821</v>
      </c>
      <c r="C2399" s="1" t="s">
        <v>255</v>
      </c>
      <c r="D2399" s="1" t="s">
        <v>8373</v>
      </c>
      <c r="E2399" s="1" t="s">
        <v>3917</v>
      </c>
      <c r="F2399" s="1" t="s">
        <v>3918</v>
      </c>
      <c r="G2399" s="1" t="s">
        <v>4983</v>
      </c>
    </row>
    <row r="2400" spans="1:7" x14ac:dyDescent="0.45">
      <c r="A2400" s="1" t="s">
        <v>4571</v>
      </c>
      <c r="B2400" s="1" t="s">
        <v>4572</v>
      </c>
      <c r="C2400" s="1" t="s">
        <v>255</v>
      </c>
      <c r="D2400" s="1" t="s">
        <v>4936</v>
      </c>
      <c r="E2400" s="1" t="s">
        <v>3917</v>
      </c>
      <c r="F2400" s="1" t="s">
        <v>3918</v>
      </c>
      <c r="G2400" s="1" t="s">
        <v>4983</v>
      </c>
    </row>
    <row r="2401" spans="1:7" x14ac:dyDescent="0.45">
      <c r="A2401" s="1" t="s">
        <v>4573</v>
      </c>
      <c r="B2401" s="1" t="s">
        <v>4574</v>
      </c>
      <c r="C2401" s="1" t="s">
        <v>255</v>
      </c>
      <c r="D2401" s="1" t="s">
        <v>4937</v>
      </c>
      <c r="E2401" s="1" t="s">
        <v>3917</v>
      </c>
      <c r="F2401" s="1" t="s">
        <v>3918</v>
      </c>
      <c r="G2401" s="1" t="s">
        <v>4983</v>
      </c>
    </row>
    <row r="2402" spans="1:7" x14ac:dyDescent="0.45">
      <c r="A2402" s="1" t="s">
        <v>7822</v>
      </c>
      <c r="B2402" s="1" t="s">
        <v>5306</v>
      </c>
      <c r="C2402" s="1" t="s">
        <v>255</v>
      </c>
      <c r="D2402" s="1" t="s">
        <v>5307</v>
      </c>
      <c r="E2402" s="1" t="s">
        <v>3917</v>
      </c>
      <c r="F2402" s="1" t="s">
        <v>3918</v>
      </c>
      <c r="G2402" s="1" t="s">
        <v>4983</v>
      </c>
    </row>
    <row r="2403" spans="1:7" x14ac:dyDescent="0.45">
      <c r="A2403" s="1" t="s">
        <v>360</v>
      </c>
      <c r="B2403" s="1" t="s">
        <v>359</v>
      </c>
      <c r="C2403" s="1" t="s">
        <v>255</v>
      </c>
      <c r="D2403" s="1" t="s">
        <v>3130</v>
      </c>
      <c r="E2403" s="1" t="s">
        <v>3917</v>
      </c>
      <c r="F2403" s="1" t="s">
        <v>3918</v>
      </c>
      <c r="G2403" s="1" t="s">
        <v>4983</v>
      </c>
    </row>
    <row r="2404" spans="1:7" x14ac:dyDescent="0.45">
      <c r="A2404" s="1" t="s">
        <v>11088</v>
      </c>
      <c r="B2404" s="1" t="s">
        <v>11089</v>
      </c>
      <c r="C2404" s="1" t="s">
        <v>255</v>
      </c>
      <c r="D2404" s="1" t="s">
        <v>11751</v>
      </c>
      <c r="E2404" s="1" t="s">
        <v>3917</v>
      </c>
      <c r="F2404" s="1" t="s">
        <v>3918</v>
      </c>
      <c r="G2404" s="1" t="s">
        <v>4983</v>
      </c>
    </row>
    <row r="2405" spans="1:7" x14ac:dyDescent="0.45">
      <c r="A2405" s="1" t="s">
        <v>3829</v>
      </c>
      <c r="B2405" s="1" t="s">
        <v>3830</v>
      </c>
      <c r="C2405" s="1" t="s">
        <v>255</v>
      </c>
      <c r="D2405" s="1" t="s">
        <v>3831</v>
      </c>
      <c r="E2405" s="1" t="s">
        <v>3919</v>
      </c>
      <c r="F2405" s="1" t="s">
        <v>3918</v>
      </c>
      <c r="G2405" s="1" t="s">
        <v>4983</v>
      </c>
    </row>
    <row r="2406" spans="1:7" x14ac:dyDescent="0.45">
      <c r="A2406" s="1" t="s">
        <v>4575</v>
      </c>
      <c r="B2406" s="1" t="s">
        <v>4576</v>
      </c>
      <c r="C2406" s="1" t="s">
        <v>255</v>
      </c>
      <c r="D2406" s="1" t="s">
        <v>4938</v>
      </c>
      <c r="E2406" s="1" t="s">
        <v>3917</v>
      </c>
      <c r="F2406" s="1" t="s">
        <v>3918</v>
      </c>
      <c r="G2406" s="1" t="s">
        <v>4983</v>
      </c>
    </row>
    <row r="2407" spans="1:7" x14ac:dyDescent="0.45">
      <c r="A2407" s="1" t="s">
        <v>3832</v>
      </c>
      <c r="B2407" s="1" t="s">
        <v>3833</v>
      </c>
      <c r="C2407" s="1" t="s">
        <v>255</v>
      </c>
      <c r="D2407" s="1" t="s">
        <v>3834</v>
      </c>
      <c r="E2407" s="1" t="s">
        <v>3917</v>
      </c>
      <c r="F2407" s="1" t="s">
        <v>3918</v>
      </c>
      <c r="G2407" s="1" t="s">
        <v>4983</v>
      </c>
    </row>
    <row r="2408" spans="1:7" x14ac:dyDescent="0.45">
      <c r="A2408" s="1" t="s">
        <v>4577</v>
      </c>
      <c r="B2408" s="1" t="s">
        <v>4578</v>
      </c>
      <c r="C2408" s="1" t="s">
        <v>255</v>
      </c>
      <c r="D2408" s="1" t="s">
        <v>4939</v>
      </c>
      <c r="E2408" s="1" t="s">
        <v>3917</v>
      </c>
      <c r="F2408" s="1" t="s">
        <v>3918</v>
      </c>
      <c r="G2408" s="1" t="s">
        <v>4983</v>
      </c>
    </row>
    <row r="2409" spans="1:7" x14ac:dyDescent="0.45">
      <c r="A2409" s="1" t="s">
        <v>4579</v>
      </c>
      <c r="B2409" s="1" t="s">
        <v>4580</v>
      </c>
      <c r="C2409" s="1" t="s">
        <v>255</v>
      </c>
      <c r="D2409" s="1" t="s">
        <v>4940</v>
      </c>
      <c r="E2409" s="1" t="s">
        <v>3917</v>
      </c>
      <c r="F2409" s="1" t="s">
        <v>3918</v>
      </c>
      <c r="G2409" s="1" t="s">
        <v>4983</v>
      </c>
    </row>
    <row r="2410" spans="1:7" x14ac:dyDescent="0.45">
      <c r="A2410" s="1" t="s">
        <v>358</v>
      </c>
      <c r="B2410" s="1" t="s">
        <v>357</v>
      </c>
      <c r="C2410" s="1" t="s">
        <v>255</v>
      </c>
      <c r="D2410" s="1" t="s">
        <v>3131</v>
      </c>
      <c r="E2410" s="1" t="s">
        <v>3917</v>
      </c>
      <c r="F2410" s="1" t="s">
        <v>3918</v>
      </c>
      <c r="G2410" s="1" t="s">
        <v>4983</v>
      </c>
    </row>
    <row r="2411" spans="1:7" x14ac:dyDescent="0.45">
      <c r="A2411" s="1" t="s">
        <v>3835</v>
      </c>
      <c r="B2411" s="1" t="s">
        <v>3836</v>
      </c>
      <c r="C2411" s="1" t="s">
        <v>255</v>
      </c>
      <c r="D2411" s="1" t="s">
        <v>3837</v>
      </c>
      <c r="E2411" s="1" t="s">
        <v>3919</v>
      </c>
      <c r="F2411" s="1" t="s">
        <v>3918</v>
      </c>
      <c r="G2411" s="1" t="s">
        <v>4983</v>
      </c>
    </row>
    <row r="2412" spans="1:7" x14ac:dyDescent="0.45">
      <c r="A2412" s="1" t="s">
        <v>11090</v>
      </c>
      <c r="B2412" s="1" t="s">
        <v>11091</v>
      </c>
      <c r="C2412" s="1" t="s">
        <v>255</v>
      </c>
      <c r="D2412" s="1" t="s">
        <v>11752</v>
      </c>
      <c r="E2412" s="1" t="s">
        <v>3917</v>
      </c>
      <c r="F2412" s="1" t="s">
        <v>3918</v>
      </c>
      <c r="G2412" s="1" t="s">
        <v>4983</v>
      </c>
    </row>
    <row r="2413" spans="1:7" x14ac:dyDescent="0.45">
      <c r="A2413" s="1" t="s">
        <v>11092</v>
      </c>
      <c r="B2413" s="1" t="s">
        <v>11093</v>
      </c>
      <c r="C2413" s="1" t="s">
        <v>255</v>
      </c>
      <c r="D2413" s="1" t="s">
        <v>11753</v>
      </c>
      <c r="E2413" s="1" t="s">
        <v>3917</v>
      </c>
      <c r="F2413" s="1" t="s">
        <v>3918</v>
      </c>
      <c r="G2413" s="1" t="s">
        <v>4983</v>
      </c>
    </row>
    <row r="2414" spans="1:7" x14ac:dyDescent="0.45">
      <c r="A2414" s="1" t="s">
        <v>11094</v>
      </c>
      <c r="B2414" s="1" t="s">
        <v>11095</v>
      </c>
      <c r="C2414" s="1" t="s">
        <v>255</v>
      </c>
      <c r="D2414" s="1" t="s">
        <v>11754</v>
      </c>
      <c r="E2414" s="1" t="s">
        <v>3917</v>
      </c>
      <c r="F2414" s="1" t="s">
        <v>3918</v>
      </c>
      <c r="G2414" s="1" t="s">
        <v>4983</v>
      </c>
    </row>
    <row r="2415" spans="1:7" x14ac:dyDescent="0.45">
      <c r="A2415" s="1" t="s">
        <v>11096</v>
      </c>
      <c r="B2415" s="1" t="s">
        <v>11097</v>
      </c>
      <c r="C2415" s="1" t="s">
        <v>255</v>
      </c>
      <c r="D2415" s="1" t="s">
        <v>11755</v>
      </c>
      <c r="E2415" s="1" t="s">
        <v>3917</v>
      </c>
      <c r="F2415" s="1" t="s">
        <v>3918</v>
      </c>
      <c r="G2415" s="1" t="s">
        <v>4983</v>
      </c>
    </row>
    <row r="2416" spans="1:7" x14ac:dyDescent="0.45">
      <c r="A2416" s="1" t="s">
        <v>11098</v>
      </c>
      <c r="B2416" s="1" t="s">
        <v>5555</v>
      </c>
      <c r="C2416" s="1" t="s">
        <v>255</v>
      </c>
      <c r="D2416" s="1" t="s">
        <v>5556</v>
      </c>
      <c r="E2416" s="1" t="s">
        <v>3917</v>
      </c>
      <c r="F2416" s="1" t="s">
        <v>3918</v>
      </c>
      <c r="G2416" s="1" t="s">
        <v>4983</v>
      </c>
    </row>
    <row r="2417" spans="1:7" x14ac:dyDescent="0.45">
      <c r="A2417" s="1" t="s">
        <v>11099</v>
      </c>
      <c r="B2417" s="1" t="s">
        <v>11100</v>
      </c>
      <c r="C2417" s="1" t="s">
        <v>255</v>
      </c>
      <c r="D2417" s="1" t="s">
        <v>11756</v>
      </c>
      <c r="E2417" s="1" t="s">
        <v>3917</v>
      </c>
      <c r="F2417" s="1" t="s">
        <v>3918</v>
      </c>
      <c r="G2417" s="1" t="s">
        <v>4983</v>
      </c>
    </row>
    <row r="2418" spans="1:7" x14ac:dyDescent="0.45">
      <c r="A2418" s="1" t="s">
        <v>11101</v>
      </c>
      <c r="B2418" s="1" t="s">
        <v>11102</v>
      </c>
      <c r="C2418" s="1" t="s">
        <v>255</v>
      </c>
      <c r="D2418" s="1" t="s">
        <v>11757</v>
      </c>
      <c r="E2418" s="1" t="s">
        <v>3917</v>
      </c>
      <c r="F2418" s="1" t="s">
        <v>3918</v>
      </c>
      <c r="G2418" s="1" t="s">
        <v>4983</v>
      </c>
    </row>
    <row r="2419" spans="1:7" x14ac:dyDescent="0.45">
      <c r="A2419" s="1" t="s">
        <v>356</v>
      </c>
      <c r="B2419" s="1" t="s">
        <v>355</v>
      </c>
      <c r="C2419" s="1" t="s">
        <v>255</v>
      </c>
      <c r="D2419" s="1" t="s">
        <v>3132</v>
      </c>
      <c r="E2419" s="1" t="s">
        <v>3917</v>
      </c>
      <c r="F2419" s="1" t="s">
        <v>3918</v>
      </c>
      <c r="G2419" s="1" t="s">
        <v>4983</v>
      </c>
    </row>
    <row r="2420" spans="1:7" x14ac:dyDescent="0.45">
      <c r="A2420" s="1" t="s">
        <v>3838</v>
      </c>
      <c r="B2420" s="1" t="s">
        <v>3839</v>
      </c>
      <c r="C2420" s="1" t="s">
        <v>255</v>
      </c>
      <c r="D2420" s="1" t="s">
        <v>3840</v>
      </c>
      <c r="E2420" s="1" t="s">
        <v>3917</v>
      </c>
      <c r="F2420" s="1" t="s">
        <v>3918</v>
      </c>
      <c r="G2420" s="1" t="s">
        <v>4983</v>
      </c>
    </row>
    <row r="2421" spans="1:7" x14ac:dyDescent="0.45">
      <c r="A2421" s="1" t="s">
        <v>11103</v>
      </c>
      <c r="B2421" s="1" t="s">
        <v>11104</v>
      </c>
      <c r="C2421" s="1" t="s">
        <v>255</v>
      </c>
      <c r="D2421" s="1" t="s">
        <v>11758</v>
      </c>
      <c r="E2421" s="1" t="s">
        <v>3919</v>
      </c>
      <c r="F2421" s="1" t="s">
        <v>3918</v>
      </c>
      <c r="G2421" s="1" t="s">
        <v>4983</v>
      </c>
    </row>
    <row r="2422" spans="1:7" x14ac:dyDescent="0.45">
      <c r="A2422" s="1" t="s">
        <v>11105</v>
      </c>
      <c r="B2422" s="1" t="s">
        <v>11106</v>
      </c>
      <c r="C2422" s="1" t="s">
        <v>255</v>
      </c>
      <c r="D2422" s="1" t="s">
        <v>11759</v>
      </c>
      <c r="E2422" s="1" t="s">
        <v>3917</v>
      </c>
      <c r="F2422" s="1" t="s">
        <v>3918</v>
      </c>
      <c r="G2422" s="1" t="s">
        <v>4983</v>
      </c>
    </row>
    <row r="2423" spans="1:7" x14ac:dyDescent="0.45">
      <c r="A2423" s="1" t="s">
        <v>354</v>
      </c>
      <c r="B2423" s="1" t="s">
        <v>353</v>
      </c>
      <c r="C2423" s="1" t="s">
        <v>255</v>
      </c>
      <c r="D2423" s="1" t="s">
        <v>3136</v>
      </c>
      <c r="E2423" s="1" t="s">
        <v>3917</v>
      </c>
      <c r="F2423" s="1" t="s">
        <v>3918</v>
      </c>
      <c r="G2423" s="1" t="s">
        <v>4983</v>
      </c>
    </row>
    <row r="2424" spans="1:7" x14ac:dyDescent="0.45">
      <c r="A2424" s="1" t="s">
        <v>11107</v>
      </c>
      <c r="B2424" s="1" t="s">
        <v>11108</v>
      </c>
      <c r="C2424" s="1" t="s">
        <v>255</v>
      </c>
      <c r="D2424" s="1" t="s">
        <v>11760</v>
      </c>
      <c r="E2424" s="1" t="s">
        <v>3917</v>
      </c>
      <c r="F2424" s="1" t="s">
        <v>3918</v>
      </c>
      <c r="G2424" s="1" t="s">
        <v>4983</v>
      </c>
    </row>
    <row r="2425" spans="1:7" x14ac:dyDescent="0.45">
      <c r="A2425" s="1" t="s">
        <v>3841</v>
      </c>
      <c r="B2425" s="1" t="s">
        <v>3842</v>
      </c>
      <c r="C2425" s="1" t="s">
        <v>255</v>
      </c>
      <c r="D2425" s="1" t="s">
        <v>3843</v>
      </c>
      <c r="E2425" s="1" t="s">
        <v>3917</v>
      </c>
      <c r="F2425" s="1" t="s">
        <v>3918</v>
      </c>
      <c r="G2425" s="1" t="s">
        <v>4983</v>
      </c>
    </row>
    <row r="2426" spans="1:7" x14ac:dyDescent="0.45">
      <c r="A2426" s="1" t="s">
        <v>4581</v>
      </c>
      <c r="B2426" s="1" t="s">
        <v>4582</v>
      </c>
      <c r="C2426" s="1" t="s">
        <v>255</v>
      </c>
      <c r="D2426" s="1" t="s">
        <v>4941</v>
      </c>
      <c r="E2426" s="1" t="s">
        <v>3917</v>
      </c>
      <c r="F2426" s="1" t="s">
        <v>3918</v>
      </c>
      <c r="G2426" s="1" t="s">
        <v>4983</v>
      </c>
    </row>
    <row r="2427" spans="1:7" x14ac:dyDescent="0.45">
      <c r="A2427" s="1" t="s">
        <v>7825</v>
      </c>
      <c r="B2427" s="1" t="s">
        <v>7826</v>
      </c>
      <c r="C2427" s="1" t="s">
        <v>255</v>
      </c>
      <c r="D2427" s="1" t="s">
        <v>8375</v>
      </c>
      <c r="E2427" s="1" t="s">
        <v>3917</v>
      </c>
      <c r="F2427" s="1" t="s">
        <v>3918</v>
      </c>
      <c r="G2427" s="1" t="s">
        <v>4983</v>
      </c>
    </row>
    <row r="2428" spans="1:7" x14ac:dyDescent="0.45">
      <c r="A2428" s="1" t="s">
        <v>4583</v>
      </c>
      <c r="B2428" s="1" t="s">
        <v>4584</v>
      </c>
      <c r="C2428" s="1" t="s">
        <v>255</v>
      </c>
      <c r="D2428" s="1" t="s">
        <v>4942</v>
      </c>
      <c r="E2428" s="1" t="s">
        <v>3917</v>
      </c>
      <c r="F2428" s="1" t="s">
        <v>3918</v>
      </c>
      <c r="G2428" s="1" t="s">
        <v>4983</v>
      </c>
    </row>
    <row r="2429" spans="1:7" x14ac:dyDescent="0.45">
      <c r="A2429" s="1" t="s">
        <v>3844</v>
      </c>
      <c r="B2429" s="1" t="s">
        <v>3845</v>
      </c>
      <c r="C2429" s="1" t="s">
        <v>255</v>
      </c>
      <c r="D2429" s="1" t="s">
        <v>233</v>
      </c>
      <c r="E2429" s="1" t="s">
        <v>3917</v>
      </c>
      <c r="F2429" s="1" t="s">
        <v>3918</v>
      </c>
      <c r="G2429" s="1" t="s">
        <v>4983</v>
      </c>
    </row>
    <row r="2430" spans="1:7" x14ac:dyDescent="0.45">
      <c r="A2430" s="1" t="s">
        <v>3846</v>
      </c>
      <c r="B2430" s="1" t="s">
        <v>3847</v>
      </c>
      <c r="C2430" s="1" t="s">
        <v>255</v>
      </c>
      <c r="D2430" s="1" t="s">
        <v>3848</v>
      </c>
      <c r="E2430" s="1" t="s">
        <v>3917</v>
      </c>
      <c r="F2430" s="1" t="s">
        <v>3918</v>
      </c>
      <c r="G2430" s="1" t="s">
        <v>4983</v>
      </c>
    </row>
    <row r="2431" spans="1:7" x14ac:dyDescent="0.45">
      <c r="A2431" s="1" t="s">
        <v>7827</v>
      </c>
      <c r="B2431" s="1" t="s">
        <v>7828</v>
      </c>
      <c r="C2431" s="1" t="s">
        <v>255</v>
      </c>
      <c r="D2431" s="1" t="s">
        <v>8376</v>
      </c>
      <c r="E2431" s="1" t="s">
        <v>3917</v>
      </c>
      <c r="F2431" s="1" t="s">
        <v>3918</v>
      </c>
      <c r="G2431" s="1" t="s">
        <v>4983</v>
      </c>
    </row>
    <row r="2432" spans="1:7" x14ac:dyDescent="0.45">
      <c r="A2432" s="1" t="s">
        <v>7829</v>
      </c>
      <c r="B2432" s="1" t="s">
        <v>7830</v>
      </c>
      <c r="C2432" s="1" t="s">
        <v>255</v>
      </c>
      <c r="D2432" s="1" t="s">
        <v>8377</v>
      </c>
      <c r="E2432" s="1" t="s">
        <v>3917</v>
      </c>
      <c r="F2432" s="1" t="s">
        <v>3918</v>
      </c>
      <c r="G2432" s="1" t="s">
        <v>4983</v>
      </c>
    </row>
    <row r="2433" spans="1:7" x14ac:dyDescent="0.45">
      <c r="A2433" s="1" t="s">
        <v>7831</v>
      </c>
      <c r="B2433" s="1" t="s">
        <v>7832</v>
      </c>
      <c r="C2433" s="1" t="s">
        <v>255</v>
      </c>
      <c r="D2433" s="1" t="s">
        <v>8378</v>
      </c>
      <c r="E2433" s="1" t="s">
        <v>3917</v>
      </c>
      <c r="F2433" s="1" t="s">
        <v>3918</v>
      </c>
      <c r="G2433" s="1" t="s">
        <v>4983</v>
      </c>
    </row>
    <row r="2434" spans="1:7" x14ac:dyDescent="0.45">
      <c r="A2434" s="1" t="s">
        <v>11109</v>
      </c>
      <c r="B2434" s="1" t="s">
        <v>11110</v>
      </c>
      <c r="C2434" s="1" t="s">
        <v>255</v>
      </c>
      <c r="D2434" s="1" t="s">
        <v>11761</v>
      </c>
      <c r="E2434" s="1" t="s">
        <v>3917</v>
      </c>
      <c r="F2434" s="1" t="s">
        <v>3918</v>
      </c>
      <c r="G2434" s="1" t="s">
        <v>4983</v>
      </c>
    </row>
    <row r="2435" spans="1:7" x14ac:dyDescent="0.45">
      <c r="A2435" s="1" t="s">
        <v>4585</v>
      </c>
      <c r="B2435" s="1" t="s">
        <v>4586</v>
      </c>
      <c r="C2435" s="1" t="s">
        <v>255</v>
      </c>
      <c r="D2435" s="1" t="s">
        <v>4943</v>
      </c>
      <c r="E2435" s="1" t="s">
        <v>3917</v>
      </c>
      <c r="F2435" s="1" t="s">
        <v>3918</v>
      </c>
      <c r="G2435" s="1" t="s">
        <v>4983</v>
      </c>
    </row>
    <row r="2436" spans="1:7" x14ac:dyDescent="0.45">
      <c r="A2436" s="1" t="s">
        <v>4587</v>
      </c>
      <c r="B2436" s="1" t="s">
        <v>4588</v>
      </c>
      <c r="C2436" s="1" t="s">
        <v>255</v>
      </c>
      <c r="D2436" s="1" t="s">
        <v>4944</v>
      </c>
      <c r="E2436" s="1" t="s">
        <v>3917</v>
      </c>
      <c r="F2436" s="1" t="s">
        <v>3918</v>
      </c>
      <c r="G2436" s="1" t="s">
        <v>4983</v>
      </c>
    </row>
    <row r="2437" spans="1:7" x14ac:dyDescent="0.45">
      <c r="A2437" s="1" t="s">
        <v>11111</v>
      </c>
      <c r="B2437" s="1" t="s">
        <v>11112</v>
      </c>
      <c r="C2437" s="1" t="s">
        <v>255</v>
      </c>
      <c r="D2437" s="1" t="s">
        <v>11762</v>
      </c>
      <c r="E2437" s="1" t="s">
        <v>3917</v>
      </c>
      <c r="F2437" s="1" t="s">
        <v>3918</v>
      </c>
      <c r="G2437" s="1" t="s">
        <v>4983</v>
      </c>
    </row>
    <row r="2438" spans="1:7" x14ac:dyDescent="0.45">
      <c r="A2438" s="1" t="s">
        <v>11113</v>
      </c>
      <c r="B2438" s="1" t="s">
        <v>11114</v>
      </c>
      <c r="C2438" s="1" t="s">
        <v>255</v>
      </c>
      <c r="D2438" s="1" t="s">
        <v>11763</v>
      </c>
      <c r="E2438" s="1" t="s">
        <v>3917</v>
      </c>
      <c r="F2438" s="1" t="s">
        <v>3918</v>
      </c>
      <c r="G2438" s="1" t="s">
        <v>4983</v>
      </c>
    </row>
    <row r="2439" spans="1:7" x14ac:dyDescent="0.45">
      <c r="A2439" s="1" t="s">
        <v>7833</v>
      </c>
      <c r="B2439" s="1" t="s">
        <v>7834</v>
      </c>
      <c r="C2439" s="1" t="s">
        <v>255</v>
      </c>
      <c r="D2439" s="1" t="s">
        <v>8379</v>
      </c>
      <c r="E2439" s="1" t="s">
        <v>3917</v>
      </c>
      <c r="F2439" s="1" t="s">
        <v>3918</v>
      </c>
      <c r="G2439" s="1" t="s">
        <v>4983</v>
      </c>
    </row>
    <row r="2440" spans="1:7" x14ac:dyDescent="0.45">
      <c r="A2440" s="1" t="s">
        <v>11115</v>
      </c>
      <c r="B2440" s="1" t="s">
        <v>11116</v>
      </c>
      <c r="C2440" s="1" t="s">
        <v>255</v>
      </c>
      <c r="D2440" s="1" t="s">
        <v>11764</v>
      </c>
      <c r="E2440" s="1" t="s">
        <v>3917</v>
      </c>
      <c r="F2440" s="1" t="s">
        <v>3918</v>
      </c>
      <c r="G2440" s="1" t="s">
        <v>4983</v>
      </c>
    </row>
    <row r="2441" spans="1:7" x14ac:dyDescent="0.45">
      <c r="A2441" s="1" t="s">
        <v>350</v>
      </c>
      <c r="B2441" s="1" t="s">
        <v>349</v>
      </c>
      <c r="C2441" s="1" t="s">
        <v>255</v>
      </c>
      <c r="D2441" s="1" t="s">
        <v>3137</v>
      </c>
      <c r="E2441" s="1" t="s">
        <v>3917</v>
      </c>
      <c r="F2441" s="1" t="s">
        <v>3918</v>
      </c>
      <c r="G2441" s="1" t="s">
        <v>4983</v>
      </c>
    </row>
    <row r="2442" spans="1:7" x14ac:dyDescent="0.45">
      <c r="A2442" s="1" t="s">
        <v>11117</v>
      </c>
      <c r="B2442" s="1" t="s">
        <v>11118</v>
      </c>
      <c r="C2442" s="1" t="s">
        <v>255</v>
      </c>
      <c r="D2442" s="1" t="s">
        <v>11765</v>
      </c>
      <c r="E2442" s="1" t="s">
        <v>3917</v>
      </c>
      <c r="F2442" s="1" t="s">
        <v>3918</v>
      </c>
      <c r="G2442" s="1" t="s">
        <v>4983</v>
      </c>
    </row>
    <row r="2443" spans="1:7" x14ac:dyDescent="0.45">
      <c r="A2443" s="1" t="s">
        <v>11119</v>
      </c>
      <c r="B2443" s="1" t="s">
        <v>11120</v>
      </c>
      <c r="C2443" s="1" t="s">
        <v>255</v>
      </c>
      <c r="D2443" s="1" t="s">
        <v>11766</v>
      </c>
      <c r="E2443" s="1" t="s">
        <v>3919</v>
      </c>
      <c r="F2443" s="1" t="s">
        <v>3918</v>
      </c>
      <c r="G2443" s="1" t="s">
        <v>4983</v>
      </c>
    </row>
    <row r="2444" spans="1:7" x14ac:dyDescent="0.45">
      <c r="A2444" s="1" t="s">
        <v>1820</v>
      </c>
      <c r="B2444" s="1" t="s">
        <v>1821</v>
      </c>
      <c r="C2444" s="1" t="s">
        <v>255</v>
      </c>
      <c r="D2444" s="1" t="s">
        <v>3140</v>
      </c>
      <c r="E2444" s="1" t="s">
        <v>3919</v>
      </c>
      <c r="F2444" s="1" t="s">
        <v>3918</v>
      </c>
      <c r="G2444" s="1" t="s">
        <v>4983</v>
      </c>
    </row>
    <row r="2445" spans="1:7" x14ac:dyDescent="0.45">
      <c r="A2445" s="1" t="s">
        <v>3141</v>
      </c>
      <c r="B2445" s="1" t="s">
        <v>3142</v>
      </c>
      <c r="C2445" s="1" t="s">
        <v>255</v>
      </c>
      <c r="D2445" s="1" t="s">
        <v>3143</v>
      </c>
      <c r="E2445" s="1" t="s">
        <v>3917</v>
      </c>
      <c r="F2445" s="1" t="s">
        <v>3918</v>
      </c>
      <c r="G2445" s="1" t="s">
        <v>4983</v>
      </c>
    </row>
    <row r="2446" spans="1:7" x14ac:dyDescent="0.45">
      <c r="A2446" s="1" t="s">
        <v>11121</v>
      </c>
      <c r="B2446" s="1" t="s">
        <v>11122</v>
      </c>
      <c r="C2446" s="1" t="s">
        <v>255</v>
      </c>
      <c r="D2446" s="1" t="s">
        <v>11767</v>
      </c>
      <c r="E2446" s="1" t="s">
        <v>3917</v>
      </c>
      <c r="F2446" s="1" t="s">
        <v>3918</v>
      </c>
      <c r="G2446" s="1" t="s">
        <v>4983</v>
      </c>
    </row>
    <row r="2447" spans="1:7" x14ac:dyDescent="0.45">
      <c r="A2447" s="1" t="s">
        <v>3144</v>
      </c>
      <c r="B2447" s="1" t="s">
        <v>3145</v>
      </c>
      <c r="C2447" s="1" t="s">
        <v>255</v>
      </c>
      <c r="D2447" s="1" t="s">
        <v>3146</v>
      </c>
      <c r="E2447" s="1" t="s">
        <v>3919</v>
      </c>
      <c r="F2447" s="1" t="s">
        <v>3918</v>
      </c>
      <c r="G2447" s="1" t="s">
        <v>4983</v>
      </c>
    </row>
    <row r="2448" spans="1:7" x14ac:dyDescent="0.45">
      <c r="A2448" s="1" t="s">
        <v>3851</v>
      </c>
      <c r="B2448" s="1" t="s">
        <v>3852</v>
      </c>
      <c r="C2448" s="1" t="s">
        <v>255</v>
      </c>
      <c r="D2448" s="1" t="s">
        <v>3853</v>
      </c>
      <c r="E2448" s="1" t="s">
        <v>3917</v>
      </c>
      <c r="F2448" s="1" t="s">
        <v>3918</v>
      </c>
      <c r="G2448" s="1" t="s">
        <v>4983</v>
      </c>
    </row>
    <row r="2449" spans="1:7" x14ac:dyDescent="0.45">
      <c r="A2449" s="1" t="s">
        <v>7835</v>
      </c>
      <c r="B2449" s="1" t="s">
        <v>7836</v>
      </c>
      <c r="C2449" s="1" t="s">
        <v>255</v>
      </c>
      <c r="D2449" s="1" t="s">
        <v>8380</v>
      </c>
      <c r="E2449" s="1" t="s">
        <v>3917</v>
      </c>
      <c r="F2449" s="1" t="s">
        <v>3918</v>
      </c>
      <c r="G2449" s="1" t="s">
        <v>4983</v>
      </c>
    </row>
    <row r="2450" spans="1:7" x14ac:dyDescent="0.45">
      <c r="A2450" s="1" t="s">
        <v>7837</v>
      </c>
      <c r="B2450" s="1" t="s">
        <v>5680</v>
      </c>
      <c r="C2450" s="1" t="s">
        <v>255</v>
      </c>
      <c r="D2450" s="1" t="s">
        <v>5314</v>
      </c>
      <c r="E2450" s="1" t="s">
        <v>3917</v>
      </c>
      <c r="F2450" s="1" t="s">
        <v>3918</v>
      </c>
      <c r="G2450" s="1" t="s">
        <v>4983</v>
      </c>
    </row>
    <row r="2451" spans="1:7" x14ac:dyDescent="0.45">
      <c r="A2451" s="1" t="s">
        <v>348</v>
      </c>
      <c r="B2451" s="1" t="s">
        <v>347</v>
      </c>
      <c r="C2451" s="1" t="s">
        <v>255</v>
      </c>
      <c r="D2451" s="1" t="s">
        <v>3147</v>
      </c>
      <c r="E2451" s="1" t="s">
        <v>3917</v>
      </c>
      <c r="F2451" s="1" t="s">
        <v>3918</v>
      </c>
      <c r="G2451" s="1" t="s">
        <v>4983</v>
      </c>
    </row>
    <row r="2452" spans="1:7" x14ac:dyDescent="0.45">
      <c r="A2452" s="1" t="s">
        <v>11123</v>
      </c>
      <c r="B2452" s="1" t="s">
        <v>11124</v>
      </c>
      <c r="C2452" s="1" t="s">
        <v>255</v>
      </c>
      <c r="D2452" s="1" t="s">
        <v>11768</v>
      </c>
      <c r="E2452" s="1" t="s">
        <v>3917</v>
      </c>
      <c r="F2452" s="1" t="s">
        <v>3918</v>
      </c>
      <c r="G2452" s="1" t="s">
        <v>4983</v>
      </c>
    </row>
    <row r="2453" spans="1:7" x14ac:dyDescent="0.45">
      <c r="A2453" s="1" t="s">
        <v>11125</v>
      </c>
      <c r="B2453" s="1" t="s">
        <v>11126</v>
      </c>
      <c r="C2453" s="1" t="s">
        <v>255</v>
      </c>
      <c r="D2453" s="1" t="s">
        <v>11769</v>
      </c>
      <c r="E2453" s="1" t="s">
        <v>3917</v>
      </c>
      <c r="F2453" s="1" t="s">
        <v>3918</v>
      </c>
      <c r="G2453" s="1" t="s">
        <v>4983</v>
      </c>
    </row>
    <row r="2454" spans="1:7" x14ac:dyDescent="0.45">
      <c r="A2454" s="1" t="s">
        <v>4589</v>
      </c>
      <c r="B2454" s="1" t="s">
        <v>4590</v>
      </c>
      <c r="C2454" s="1" t="s">
        <v>255</v>
      </c>
      <c r="D2454" s="1" t="s">
        <v>4945</v>
      </c>
      <c r="E2454" s="1" t="s">
        <v>3917</v>
      </c>
      <c r="F2454" s="1" t="s">
        <v>3918</v>
      </c>
      <c r="G2454" s="1" t="s">
        <v>4983</v>
      </c>
    </row>
    <row r="2455" spans="1:7" x14ac:dyDescent="0.45">
      <c r="A2455" s="1" t="s">
        <v>1822</v>
      </c>
      <c r="B2455" s="1" t="s">
        <v>1823</v>
      </c>
      <c r="C2455" s="1" t="s">
        <v>255</v>
      </c>
      <c r="D2455" s="1" t="s">
        <v>3148</v>
      </c>
      <c r="E2455" s="1" t="s">
        <v>3917</v>
      </c>
      <c r="F2455" s="1" t="s">
        <v>3918</v>
      </c>
      <c r="G2455" s="1" t="s">
        <v>4983</v>
      </c>
    </row>
    <row r="2456" spans="1:7" x14ac:dyDescent="0.45">
      <c r="A2456" s="1" t="s">
        <v>346</v>
      </c>
      <c r="B2456" s="1" t="s">
        <v>345</v>
      </c>
      <c r="C2456" s="1" t="s">
        <v>255</v>
      </c>
      <c r="D2456" s="1" t="s">
        <v>3149</v>
      </c>
      <c r="E2456" s="1" t="s">
        <v>3917</v>
      </c>
      <c r="F2456" s="1" t="s">
        <v>3918</v>
      </c>
      <c r="G2456" s="1" t="s">
        <v>4983</v>
      </c>
    </row>
    <row r="2457" spans="1:7" x14ac:dyDescent="0.45">
      <c r="A2457" s="1" t="s">
        <v>1824</v>
      </c>
      <c r="B2457" s="1" t="s">
        <v>1825</v>
      </c>
      <c r="C2457" s="1" t="s">
        <v>255</v>
      </c>
      <c r="D2457" s="1" t="s">
        <v>3150</v>
      </c>
      <c r="E2457" s="1" t="s">
        <v>3917</v>
      </c>
      <c r="F2457" s="1" t="s">
        <v>3918</v>
      </c>
      <c r="G2457" s="1" t="s">
        <v>4983</v>
      </c>
    </row>
    <row r="2458" spans="1:7" x14ac:dyDescent="0.45">
      <c r="A2458" s="1" t="s">
        <v>4591</v>
      </c>
      <c r="B2458" s="1" t="s">
        <v>4592</v>
      </c>
      <c r="C2458" s="1" t="s">
        <v>255</v>
      </c>
      <c r="D2458" s="1" t="s">
        <v>4946</v>
      </c>
      <c r="E2458" s="1" t="s">
        <v>3917</v>
      </c>
      <c r="F2458" s="1" t="s">
        <v>3918</v>
      </c>
      <c r="G2458" s="1" t="s">
        <v>4983</v>
      </c>
    </row>
    <row r="2459" spans="1:7" x14ac:dyDescent="0.45">
      <c r="A2459" s="1" t="s">
        <v>7838</v>
      </c>
      <c r="B2459" s="1" t="s">
        <v>7839</v>
      </c>
      <c r="C2459" s="1" t="s">
        <v>255</v>
      </c>
      <c r="D2459" s="1" t="s">
        <v>8381</v>
      </c>
      <c r="E2459" s="1" t="s">
        <v>3917</v>
      </c>
      <c r="F2459" s="1" t="s">
        <v>3918</v>
      </c>
      <c r="G2459" s="1" t="s">
        <v>4983</v>
      </c>
    </row>
    <row r="2460" spans="1:7" x14ac:dyDescent="0.45">
      <c r="A2460" s="1" t="s">
        <v>3151</v>
      </c>
      <c r="B2460" s="1" t="s">
        <v>3152</v>
      </c>
      <c r="C2460" s="1" t="s">
        <v>255</v>
      </c>
      <c r="D2460" s="1" t="s">
        <v>3153</v>
      </c>
      <c r="E2460" s="1" t="s">
        <v>3917</v>
      </c>
      <c r="F2460" s="1" t="s">
        <v>3918</v>
      </c>
      <c r="G2460" s="1" t="s">
        <v>4983</v>
      </c>
    </row>
    <row r="2461" spans="1:7" x14ac:dyDescent="0.45">
      <c r="A2461" s="1" t="s">
        <v>3154</v>
      </c>
      <c r="B2461" s="1" t="s">
        <v>3155</v>
      </c>
      <c r="C2461" s="1" t="s">
        <v>255</v>
      </c>
      <c r="D2461" s="1" t="s">
        <v>3156</v>
      </c>
      <c r="E2461" s="1" t="s">
        <v>3917</v>
      </c>
      <c r="F2461" s="1" t="s">
        <v>3918</v>
      </c>
      <c r="G2461" s="1" t="s">
        <v>4983</v>
      </c>
    </row>
    <row r="2462" spans="1:7" x14ac:dyDescent="0.45">
      <c r="A2462" s="1" t="s">
        <v>342</v>
      </c>
      <c r="B2462" s="1" t="s">
        <v>341</v>
      </c>
      <c r="C2462" s="1" t="s">
        <v>255</v>
      </c>
      <c r="D2462" s="1" t="s">
        <v>3157</v>
      </c>
      <c r="E2462" s="1" t="s">
        <v>3917</v>
      </c>
      <c r="F2462" s="1" t="s">
        <v>3918</v>
      </c>
      <c r="G2462" s="1" t="s">
        <v>4983</v>
      </c>
    </row>
    <row r="2463" spans="1:7" x14ac:dyDescent="0.45">
      <c r="A2463" s="1" t="s">
        <v>11127</v>
      </c>
      <c r="B2463" s="1" t="s">
        <v>11128</v>
      </c>
      <c r="C2463" s="1" t="s">
        <v>255</v>
      </c>
      <c r="D2463" s="1" t="s">
        <v>11770</v>
      </c>
      <c r="E2463" s="1" t="s">
        <v>3917</v>
      </c>
      <c r="F2463" s="1" t="s">
        <v>3918</v>
      </c>
      <c r="G2463" s="1" t="s">
        <v>4983</v>
      </c>
    </row>
    <row r="2464" spans="1:7" x14ac:dyDescent="0.45">
      <c r="A2464" s="1" t="s">
        <v>7840</v>
      </c>
      <c r="B2464" s="1" t="s">
        <v>7841</v>
      </c>
      <c r="C2464" s="1" t="s">
        <v>255</v>
      </c>
      <c r="D2464" s="1" t="s">
        <v>8382</v>
      </c>
      <c r="E2464" s="1" t="s">
        <v>3917</v>
      </c>
      <c r="F2464" s="1" t="s">
        <v>3918</v>
      </c>
      <c r="G2464" s="1" t="s">
        <v>4983</v>
      </c>
    </row>
    <row r="2465" spans="1:7" x14ac:dyDescent="0.45">
      <c r="A2465" s="1" t="s">
        <v>11129</v>
      </c>
      <c r="B2465" s="1" t="s">
        <v>11130</v>
      </c>
      <c r="C2465" s="1" t="s">
        <v>255</v>
      </c>
      <c r="D2465" s="1" t="s">
        <v>11771</v>
      </c>
      <c r="E2465" s="1" t="s">
        <v>3917</v>
      </c>
      <c r="F2465" s="1" t="s">
        <v>3918</v>
      </c>
      <c r="G2465" s="1" t="s">
        <v>4983</v>
      </c>
    </row>
    <row r="2466" spans="1:7" x14ac:dyDescent="0.45">
      <c r="A2466" s="1" t="s">
        <v>7842</v>
      </c>
      <c r="B2466" s="1" t="s">
        <v>5730</v>
      </c>
      <c r="C2466" s="1" t="s">
        <v>255</v>
      </c>
      <c r="D2466" s="1" t="s">
        <v>5731</v>
      </c>
      <c r="E2466" s="1" t="s">
        <v>3917</v>
      </c>
      <c r="F2466" s="1" t="s">
        <v>3918</v>
      </c>
      <c r="G2466" s="1" t="s">
        <v>4983</v>
      </c>
    </row>
    <row r="2467" spans="1:7" x14ac:dyDescent="0.45">
      <c r="A2467" s="1" t="s">
        <v>11131</v>
      </c>
      <c r="B2467" s="1" t="s">
        <v>11132</v>
      </c>
      <c r="C2467" s="1" t="s">
        <v>255</v>
      </c>
      <c r="D2467" s="1" t="s">
        <v>11772</v>
      </c>
      <c r="E2467" s="1" t="s">
        <v>3917</v>
      </c>
      <c r="F2467" s="1" t="s">
        <v>3918</v>
      </c>
      <c r="G2467" s="1" t="s">
        <v>4983</v>
      </c>
    </row>
    <row r="2468" spans="1:7" x14ac:dyDescent="0.45">
      <c r="A2468" s="1" t="s">
        <v>4593</v>
      </c>
      <c r="B2468" s="1" t="s">
        <v>4594</v>
      </c>
      <c r="C2468" s="1" t="s">
        <v>255</v>
      </c>
      <c r="D2468" s="1" t="s">
        <v>4947</v>
      </c>
      <c r="E2468" s="1" t="s">
        <v>3917</v>
      </c>
      <c r="F2468" s="1" t="s">
        <v>3918</v>
      </c>
      <c r="G2468" s="1" t="s">
        <v>4983</v>
      </c>
    </row>
    <row r="2469" spans="1:7" x14ac:dyDescent="0.45">
      <c r="A2469" s="1" t="s">
        <v>1826</v>
      </c>
      <c r="B2469" s="1" t="s">
        <v>1827</v>
      </c>
      <c r="C2469" s="1" t="s">
        <v>255</v>
      </c>
      <c r="D2469" s="1" t="s">
        <v>3158</v>
      </c>
      <c r="E2469" s="1" t="s">
        <v>3919</v>
      </c>
      <c r="F2469" s="1" t="s">
        <v>3918</v>
      </c>
      <c r="G2469" s="1" t="s">
        <v>4983</v>
      </c>
    </row>
    <row r="2470" spans="1:7" x14ac:dyDescent="0.45">
      <c r="A2470" s="1" t="s">
        <v>3854</v>
      </c>
      <c r="B2470" s="1" t="s">
        <v>3855</v>
      </c>
      <c r="C2470" s="1" t="s">
        <v>255</v>
      </c>
      <c r="D2470" s="1" t="s">
        <v>3856</v>
      </c>
      <c r="E2470" s="1" t="s">
        <v>3917</v>
      </c>
      <c r="F2470" s="1" t="s">
        <v>3918</v>
      </c>
      <c r="G2470" s="1" t="s">
        <v>4983</v>
      </c>
    </row>
    <row r="2471" spans="1:7" x14ac:dyDescent="0.45">
      <c r="A2471" s="1" t="s">
        <v>4595</v>
      </c>
      <c r="B2471" s="1" t="s">
        <v>4596</v>
      </c>
      <c r="C2471" s="1" t="s">
        <v>255</v>
      </c>
      <c r="D2471" s="1" t="s">
        <v>4948</v>
      </c>
      <c r="E2471" s="1" t="s">
        <v>3917</v>
      </c>
      <c r="F2471" s="1" t="s">
        <v>3918</v>
      </c>
      <c r="G2471" s="1" t="s">
        <v>4983</v>
      </c>
    </row>
    <row r="2472" spans="1:7" x14ac:dyDescent="0.45">
      <c r="A2472" s="1" t="s">
        <v>7843</v>
      </c>
      <c r="B2472" s="1" t="s">
        <v>7844</v>
      </c>
      <c r="C2472" s="1" t="s">
        <v>255</v>
      </c>
      <c r="D2472" s="1" t="s">
        <v>8383</v>
      </c>
      <c r="E2472" s="1" t="s">
        <v>3917</v>
      </c>
      <c r="F2472" s="1" t="s">
        <v>3918</v>
      </c>
      <c r="G2472" s="1" t="s">
        <v>4983</v>
      </c>
    </row>
    <row r="2473" spans="1:7" x14ac:dyDescent="0.45">
      <c r="A2473" s="1" t="s">
        <v>11133</v>
      </c>
      <c r="B2473" s="1" t="s">
        <v>11134</v>
      </c>
      <c r="C2473" s="1" t="s">
        <v>255</v>
      </c>
      <c r="D2473" s="1" t="s">
        <v>11773</v>
      </c>
      <c r="E2473" s="1" t="s">
        <v>3917</v>
      </c>
      <c r="F2473" s="1" t="s">
        <v>3918</v>
      </c>
      <c r="G2473" s="1" t="s">
        <v>4983</v>
      </c>
    </row>
    <row r="2474" spans="1:7" x14ac:dyDescent="0.45">
      <c r="A2474" s="1" t="s">
        <v>11135</v>
      </c>
      <c r="B2474" s="1" t="s">
        <v>11136</v>
      </c>
      <c r="C2474" s="1" t="s">
        <v>255</v>
      </c>
      <c r="D2474" s="1" t="s">
        <v>11774</v>
      </c>
      <c r="E2474" s="1" t="s">
        <v>3917</v>
      </c>
      <c r="F2474" s="1" t="s">
        <v>3918</v>
      </c>
      <c r="G2474" s="1" t="s">
        <v>4983</v>
      </c>
    </row>
    <row r="2475" spans="1:7" x14ac:dyDescent="0.45">
      <c r="A2475" s="1" t="s">
        <v>4597</v>
      </c>
      <c r="B2475" s="1" t="s">
        <v>4598</v>
      </c>
      <c r="C2475" s="1" t="s">
        <v>255</v>
      </c>
      <c r="D2475" s="1" t="s">
        <v>4949</v>
      </c>
      <c r="E2475" s="1" t="s">
        <v>3919</v>
      </c>
      <c r="F2475" s="1" t="s">
        <v>3918</v>
      </c>
      <c r="G2475" s="1" t="s">
        <v>4983</v>
      </c>
    </row>
    <row r="2476" spans="1:7" x14ac:dyDescent="0.45">
      <c r="A2476" s="1" t="s">
        <v>1829</v>
      </c>
      <c r="B2476" s="1" t="s">
        <v>1830</v>
      </c>
      <c r="C2476" s="1" t="s">
        <v>255</v>
      </c>
      <c r="D2476" s="1" t="s">
        <v>3159</v>
      </c>
      <c r="E2476" s="1" t="s">
        <v>3917</v>
      </c>
      <c r="F2476" s="1" t="s">
        <v>3918</v>
      </c>
      <c r="G2476" s="1" t="s">
        <v>4983</v>
      </c>
    </row>
    <row r="2477" spans="1:7" x14ac:dyDescent="0.45">
      <c r="A2477" s="1" t="s">
        <v>11137</v>
      </c>
      <c r="B2477" s="1" t="s">
        <v>11138</v>
      </c>
      <c r="C2477" s="1" t="s">
        <v>255</v>
      </c>
      <c r="D2477" s="1" t="s">
        <v>11775</v>
      </c>
      <c r="E2477" s="1" t="s">
        <v>3917</v>
      </c>
      <c r="F2477" s="1" t="s">
        <v>3918</v>
      </c>
      <c r="G2477" s="1" t="s">
        <v>4983</v>
      </c>
    </row>
    <row r="2478" spans="1:7" x14ac:dyDescent="0.45">
      <c r="A2478" s="1" t="s">
        <v>3161</v>
      </c>
      <c r="B2478" s="1" t="s">
        <v>3162</v>
      </c>
      <c r="C2478" s="1" t="s">
        <v>255</v>
      </c>
      <c r="D2478" s="1" t="s">
        <v>3163</v>
      </c>
      <c r="E2478" s="1" t="s">
        <v>3917</v>
      </c>
      <c r="F2478" s="1" t="s">
        <v>3918</v>
      </c>
      <c r="G2478" s="1" t="s">
        <v>4983</v>
      </c>
    </row>
    <row r="2479" spans="1:7" x14ac:dyDescent="0.45">
      <c r="A2479" s="1" t="s">
        <v>4599</v>
      </c>
      <c r="B2479" s="1" t="s">
        <v>4600</v>
      </c>
      <c r="C2479" s="1" t="s">
        <v>255</v>
      </c>
      <c r="D2479" s="1" t="s">
        <v>4950</v>
      </c>
      <c r="E2479" s="1" t="s">
        <v>3917</v>
      </c>
      <c r="F2479" s="1" t="s">
        <v>3918</v>
      </c>
      <c r="G2479" s="1" t="s">
        <v>4983</v>
      </c>
    </row>
    <row r="2480" spans="1:7" x14ac:dyDescent="0.45">
      <c r="A2480" s="1" t="s">
        <v>4601</v>
      </c>
      <c r="B2480" s="1" t="s">
        <v>4602</v>
      </c>
      <c r="C2480" s="1" t="s">
        <v>255</v>
      </c>
      <c r="D2480" s="1" t="s">
        <v>4951</v>
      </c>
      <c r="E2480" s="1" t="s">
        <v>3917</v>
      </c>
      <c r="F2480" s="1" t="s">
        <v>3918</v>
      </c>
      <c r="G2480" s="1" t="s">
        <v>4983</v>
      </c>
    </row>
    <row r="2481" spans="1:7" x14ac:dyDescent="0.45">
      <c r="A2481" s="1" t="s">
        <v>3857</v>
      </c>
      <c r="B2481" s="1" t="s">
        <v>1831</v>
      </c>
      <c r="C2481" s="1" t="s">
        <v>255</v>
      </c>
      <c r="D2481" s="1" t="s">
        <v>3164</v>
      </c>
      <c r="E2481" s="1" t="s">
        <v>3919</v>
      </c>
      <c r="F2481" s="1" t="s">
        <v>3918</v>
      </c>
      <c r="G2481" s="1" t="s">
        <v>4983</v>
      </c>
    </row>
    <row r="2482" spans="1:7" x14ac:dyDescent="0.45">
      <c r="A2482" s="1" t="s">
        <v>3165</v>
      </c>
      <c r="B2482" s="1" t="s">
        <v>3166</v>
      </c>
      <c r="C2482" s="1" t="s">
        <v>255</v>
      </c>
      <c r="D2482" s="1" t="s">
        <v>230</v>
      </c>
      <c r="E2482" s="1" t="s">
        <v>3917</v>
      </c>
      <c r="F2482" s="1" t="s">
        <v>3918</v>
      </c>
      <c r="G2482" s="1" t="s">
        <v>4983</v>
      </c>
    </row>
    <row r="2483" spans="1:7" x14ac:dyDescent="0.45">
      <c r="A2483" s="1" t="s">
        <v>11139</v>
      </c>
      <c r="B2483" s="1" t="s">
        <v>11140</v>
      </c>
      <c r="C2483" s="1" t="s">
        <v>255</v>
      </c>
      <c r="D2483" s="1" t="s">
        <v>11776</v>
      </c>
      <c r="E2483" s="1" t="s">
        <v>3917</v>
      </c>
      <c r="F2483" s="1" t="s">
        <v>3918</v>
      </c>
      <c r="G2483" s="1" t="s">
        <v>4983</v>
      </c>
    </row>
    <row r="2484" spans="1:7" x14ac:dyDescent="0.45">
      <c r="A2484" s="1" t="s">
        <v>337</v>
      </c>
      <c r="B2484" s="1" t="s">
        <v>336</v>
      </c>
      <c r="C2484" s="1" t="s">
        <v>255</v>
      </c>
      <c r="D2484" s="1" t="s">
        <v>3167</v>
      </c>
      <c r="E2484" s="1" t="s">
        <v>3917</v>
      </c>
      <c r="F2484" s="1" t="s">
        <v>3918</v>
      </c>
      <c r="G2484" s="1" t="s">
        <v>4983</v>
      </c>
    </row>
    <row r="2485" spans="1:7" x14ac:dyDescent="0.45">
      <c r="A2485" s="1" t="s">
        <v>4603</v>
      </c>
      <c r="B2485" s="1" t="s">
        <v>4604</v>
      </c>
      <c r="C2485" s="1" t="s">
        <v>255</v>
      </c>
      <c r="D2485" s="1" t="s">
        <v>4952</v>
      </c>
      <c r="E2485" s="1" t="s">
        <v>3917</v>
      </c>
      <c r="F2485" s="1" t="s">
        <v>3918</v>
      </c>
      <c r="G2485" s="1" t="s">
        <v>4983</v>
      </c>
    </row>
    <row r="2486" spans="1:7" x14ac:dyDescent="0.45">
      <c r="A2486" s="1" t="s">
        <v>11141</v>
      </c>
      <c r="B2486" s="1" t="s">
        <v>11142</v>
      </c>
      <c r="C2486" s="1" t="s">
        <v>255</v>
      </c>
      <c r="D2486" s="1" t="s">
        <v>11777</v>
      </c>
      <c r="E2486" s="1" t="s">
        <v>3917</v>
      </c>
      <c r="F2486" s="1" t="s">
        <v>3918</v>
      </c>
      <c r="G2486" s="1" t="s">
        <v>4983</v>
      </c>
    </row>
    <row r="2487" spans="1:7" x14ac:dyDescent="0.45">
      <c r="A2487" s="1" t="s">
        <v>4605</v>
      </c>
      <c r="B2487" s="1" t="s">
        <v>4606</v>
      </c>
      <c r="C2487" s="1" t="s">
        <v>255</v>
      </c>
      <c r="D2487" s="1" t="s">
        <v>4953</v>
      </c>
      <c r="E2487" s="1" t="s">
        <v>3917</v>
      </c>
      <c r="F2487" s="1" t="s">
        <v>3918</v>
      </c>
      <c r="G2487" s="1" t="s">
        <v>4983</v>
      </c>
    </row>
    <row r="2488" spans="1:7" x14ac:dyDescent="0.45">
      <c r="A2488" s="1" t="s">
        <v>11143</v>
      </c>
      <c r="B2488" s="1" t="s">
        <v>11144</v>
      </c>
      <c r="C2488" s="1" t="s">
        <v>255</v>
      </c>
      <c r="D2488" s="1" t="s">
        <v>11778</v>
      </c>
      <c r="E2488" s="1" t="s">
        <v>3917</v>
      </c>
      <c r="F2488" s="1" t="s">
        <v>3918</v>
      </c>
      <c r="G2488" s="1" t="s">
        <v>4983</v>
      </c>
    </row>
    <row r="2489" spans="1:7" x14ac:dyDescent="0.45">
      <c r="A2489" s="1" t="s">
        <v>11145</v>
      </c>
      <c r="B2489" s="1" t="s">
        <v>5312</v>
      </c>
      <c r="C2489" s="1" t="s">
        <v>255</v>
      </c>
      <c r="D2489" s="1" t="s">
        <v>5313</v>
      </c>
      <c r="E2489" s="1" t="s">
        <v>3917</v>
      </c>
      <c r="F2489" s="1" t="s">
        <v>3918</v>
      </c>
      <c r="G2489" s="1" t="s">
        <v>4983</v>
      </c>
    </row>
    <row r="2490" spans="1:7" x14ac:dyDescent="0.45">
      <c r="A2490" s="1" t="s">
        <v>3168</v>
      </c>
      <c r="B2490" s="1" t="s">
        <v>3169</v>
      </c>
      <c r="C2490" s="1" t="s">
        <v>255</v>
      </c>
      <c r="D2490" s="1" t="s">
        <v>3170</v>
      </c>
      <c r="E2490" s="1" t="s">
        <v>3917</v>
      </c>
      <c r="F2490" s="1" t="s">
        <v>3918</v>
      </c>
      <c r="G2490" s="1" t="s">
        <v>4983</v>
      </c>
    </row>
    <row r="2491" spans="1:7" x14ac:dyDescent="0.45">
      <c r="A2491" s="1" t="s">
        <v>3858</v>
      </c>
      <c r="B2491" s="1" t="s">
        <v>3859</v>
      </c>
      <c r="C2491" s="1" t="s">
        <v>255</v>
      </c>
      <c r="D2491" s="1" t="s">
        <v>3860</v>
      </c>
      <c r="E2491" s="1" t="s">
        <v>3917</v>
      </c>
      <c r="F2491" s="1" t="s">
        <v>3918</v>
      </c>
      <c r="G2491" s="1" t="s">
        <v>4983</v>
      </c>
    </row>
    <row r="2492" spans="1:7" x14ac:dyDescent="0.45">
      <c r="A2492" s="1" t="s">
        <v>7845</v>
      </c>
      <c r="B2492" s="1" t="s">
        <v>7846</v>
      </c>
      <c r="C2492" s="1" t="s">
        <v>255</v>
      </c>
      <c r="D2492" s="1" t="s">
        <v>8384</v>
      </c>
      <c r="E2492" s="1" t="s">
        <v>3917</v>
      </c>
      <c r="F2492" s="1" t="s">
        <v>3918</v>
      </c>
      <c r="G2492" s="1" t="s">
        <v>4983</v>
      </c>
    </row>
    <row r="2493" spans="1:7" x14ac:dyDescent="0.45">
      <c r="A2493" s="1" t="s">
        <v>4607</v>
      </c>
      <c r="B2493" s="1" t="s">
        <v>4608</v>
      </c>
      <c r="C2493" s="1" t="s">
        <v>255</v>
      </c>
      <c r="D2493" s="1" t="s">
        <v>4954</v>
      </c>
      <c r="E2493" s="1" t="s">
        <v>3917</v>
      </c>
      <c r="F2493" s="1" t="s">
        <v>3918</v>
      </c>
      <c r="G2493" s="1" t="s">
        <v>4983</v>
      </c>
    </row>
    <row r="2494" spans="1:7" x14ac:dyDescent="0.45">
      <c r="A2494" s="1" t="s">
        <v>3861</v>
      </c>
      <c r="B2494" s="1" t="s">
        <v>3862</v>
      </c>
      <c r="C2494" s="1" t="s">
        <v>255</v>
      </c>
      <c r="D2494" s="1" t="s">
        <v>3863</v>
      </c>
      <c r="E2494" s="1" t="s">
        <v>3917</v>
      </c>
      <c r="F2494" s="1" t="s">
        <v>3918</v>
      </c>
      <c r="G2494" s="1" t="s">
        <v>4983</v>
      </c>
    </row>
    <row r="2495" spans="1:7" x14ac:dyDescent="0.45">
      <c r="A2495" s="1" t="s">
        <v>11146</v>
      </c>
      <c r="B2495" s="1" t="s">
        <v>5286</v>
      </c>
      <c r="C2495" s="1" t="s">
        <v>255</v>
      </c>
      <c r="D2495" s="1" t="s">
        <v>5287</v>
      </c>
      <c r="E2495" s="1" t="s">
        <v>3917</v>
      </c>
      <c r="F2495" s="1" t="s">
        <v>3918</v>
      </c>
      <c r="G2495" s="1" t="s">
        <v>4983</v>
      </c>
    </row>
    <row r="2496" spans="1:7" x14ac:dyDescent="0.45">
      <c r="A2496" s="1" t="s">
        <v>11147</v>
      </c>
      <c r="B2496" s="1" t="s">
        <v>11148</v>
      </c>
      <c r="C2496" s="1" t="s">
        <v>255</v>
      </c>
      <c r="D2496" s="1" t="s">
        <v>11779</v>
      </c>
      <c r="E2496" s="1" t="s">
        <v>3917</v>
      </c>
      <c r="F2496" s="1" t="s">
        <v>3918</v>
      </c>
      <c r="G2496" s="1" t="s">
        <v>4983</v>
      </c>
    </row>
    <row r="2497" spans="1:7" x14ac:dyDescent="0.45">
      <c r="A2497" s="1" t="s">
        <v>4609</v>
      </c>
      <c r="B2497" s="1" t="s">
        <v>4610</v>
      </c>
      <c r="C2497" s="1" t="s">
        <v>255</v>
      </c>
      <c r="D2497" s="1" t="s">
        <v>4955</v>
      </c>
      <c r="E2497" s="1" t="s">
        <v>3917</v>
      </c>
      <c r="F2497" s="1" t="s">
        <v>3918</v>
      </c>
      <c r="G2497" s="1" t="s">
        <v>4983</v>
      </c>
    </row>
    <row r="2498" spans="1:7" x14ac:dyDescent="0.45">
      <c r="A2498" s="1" t="s">
        <v>3864</v>
      </c>
      <c r="B2498" s="1" t="s">
        <v>3865</v>
      </c>
      <c r="C2498" s="1" t="s">
        <v>255</v>
      </c>
      <c r="D2498" s="1" t="s">
        <v>3866</v>
      </c>
      <c r="E2498" s="1" t="s">
        <v>3917</v>
      </c>
      <c r="F2498" s="1" t="s">
        <v>3918</v>
      </c>
      <c r="G2498" s="1" t="s">
        <v>4983</v>
      </c>
    </row>
    <row r="2499" spans="1:7" x14ac:dyDescent="0.45">
      <c r="A2499" s="1" t="s">
        <v>7847</v>
      </c>
      <c r="B2499" s="1" t="s">
        <v>5264</v>
      </c>
      <c r="C2499" s="1" t="s">
        <v>255</v>
      </c>
      <c r="D2499" s="1" t="s">
        <v>5265</v>
      </c>
      <c r="E2499" s="1" t="s">
        <v>3917</v>
      </c>
      <c r="F2499" s="1" t="s">
        <v>3918</v>
      </c>
      <c r="G2499" s="1" t="s">
        <v>4983</v>
      </c>
    </row>
    <row r="2500" spans="1:7" x14ac:dyDescent="0.45">
      <c r="A2500" s="1" t="s">
        <v>331</v>
      </c>
      <c r="B2500" s="1" t="s">
        <v>330</v>
      </c>
      <c r="C2500" s="1" t="s">
        <v>255</v>
      </c>
      <c r="D2500" s="1" t="s">
        <v>3171</v>
      </c>
      <c r="E2500" s="1" t="s">
        <v>3917</v>
      </c>
      <c r="F2500" s="1" t="s">
        <v>3918</v>
      </c>
      <c r="G2500" s="1" t="s">
        <v>4983</v>
      </c>
    </row>
    <row r="2501" spans="1:7" x14ac:dyDescent="0.45">
      <c r="A2501" s="1" t="s">
        <v>329</v>
      </c>
      <c r="B2501" s="1" t="s">
        <v>328</v>
      </c>
      <c r="C2501" s="1" t="s">
        <v>255</v>
      </c>
      <c r="D2501" s="1" t="s">
        <v>3172</v>
      </c>
      <c r="E2501" s="1" t="s">
        <v>3917</v>
      </c>
      <c r="F2501" s="1" t="s">
        <v>3918</v>
      </c>
      <c r="G2501" s="1" t="s">
        <v>4983</v>
      </c>
    </row>
    <row r="2502" spans="1:7" x14ac:dyDescent="0.45">
      <c r="A2502" s="1" t="s">
        <v>3867</v>
      </c>
      <c r="B2502" s="1" t="s">
        <v>3868</v>
      </c>
      <c r="C2502" s="1" t="s">
        <v>255</v>
      </c>
      <c r="D2502" s="1" t="s">
        <v>3869</v>
      </c>
      <c r="E2502" s="1" t="s">
        <v>3917</v>
      </c>
      <c r="F2502" s="1" t="s">
        <v>3918</v>
      </c>
      <c r="G2502" s="1" t="s">
        <v>4983</v>
      </c>
    </row>
    <row r="2503" spans="1:7" x14ac:dyDescent="0.45">
      <c r="A2503" s="1" t="s">
        <v>7848</v>
      </c>
      <c r="B2503" s="1" t="s">
        <v>5143</v>
      </c>
      <c r="C2503" s="1" t="s">
        <v>255</v>
      </c>
      <c r="D2503" s="1" t="s">
        <v>5144</v>
      </c>
      <c r="E2503" s="1" t="s">
        <v>3917</v>
      </c>
      <c r="F2503" s="1" t="s">
        <v>3918</v>
      </c>
      <c r="G2503" s="1" t="s">
        <v>4983</v>
      </c>
    </row>
    <row r="2504" spans="1:7" x14ac:dyDescent="0.45">
      <c r="A2504" s="1" t="s">
        <v>11149</v>
      </c>
      <c r="B2504" s="1" t="s">
        <v>11150</v>
      </c>
      <c r="C2504" s="1" t="s">
        <v>255</v>
      </c>
      <c r="D2504" s="1" t="s">
        <v>11780</v>
      </c>
      <c r="E2504" s="1" t="s">
        <v>3917</v>
      </c>
      <c r="F2504" s="1" t="s">
        <v>3918</v>
      </c>
      <c r="G2504" s="1" t="s">
        <v>4983</v>
      </c>
    </row>
    <row r="2505" spans="1:7" x14ac:dyDescent="0.45">
      <c r="A2505" s="1" t="s">
        <v>11151</v>
      </c>
      <c r="B2505" s="1" t="s">
        <v>5048</v>
      </c>
      <c r="C2505" s="1" t="s">
        <v>255</v>
      </c>
      <c r="D2505" s="1" t="s">
        <v>5049</v>
      </c>
      <c r="E2505" s="1" t="s">
        <v>3917</v>
      </c>
      <c r="F2505" s="1" t="s">
        <v>3918</v>
      </c>
      <c r="G2505" s="1" t="s">
        <v>4983</v>
      </c>
    </row>
    <row r="2506" spans="1:7" x14ac:dyDescent="0.45">
      <c r="A2506" s="1" t="s">
        <v>7849</v>
      </c>
      <c r="B2506" s="1" t="s">
        <v>7850</v>
      </c>
      <c r="C2506" s="1" t="s">
        <v>255</v>
      </c>
      <c r="D2506" s="1" t="s">
        <v>8385</v>
      </c>
      <c r="E2506" s="1" t="s">
        <v>3917</v>
      </c>
      <c r="F2506" s="1" t="s">
        <v>3918</v>
      </c>
      <c r="G2506" s="1" t="s">
        <v>4983</v>
      </c>
    </row>
    <row r="2507" spans="1:7" x14ac:dyDescent="0.45">
      <c r="A2507" s="1" t="s">
        <v>1834</v>
      </c>
      <c r="B2507" s="1" t="s">
        <v>1835</v>
      </c>
      <c r="C2507" s="1" t="s">
        <v>255</v>
      </c>
      <c r="D2507" s="1" t="s">
        <v>3173</v>
      </c>
      <c r="E2507" s="1" t="s">
        <v>3917</v>
      </c>
      <c r="F2507" s="1" t="s">
        <v>3918</v>
      </c>
      <c r="G2507" s="1" t="s">
        <v>4983</v>
      </c>
    </row>
    <row r="2508" spans="1:7" x14ac:dyDescent="0.45">
      <c r="A2508" s="1" t="s">
        <v>3870</v>
      </c>
      <c r="B2508" s="1" t="s">
        <v>3871</v>
      </c>
      <c r="C2508" s="1" t="s">
        <v>255</v>
      </c>
      <c r="D2508" s="1" t="s">
        <v>3872</v>
      </c>
      <c r="E2508" s="1" t="s">
        <v>3917</v>
      </c>
      <c r="F2508" s="1" t="s">
        <v>3918</v>
      </c>
      <c r="G2508" s="1" t="s">
        <v>4983</v>
      </c>
    </row>
    <row r="2509" spans="1:7" x14ac:dyDescent="0.45">
      <c r="A2509" s="1" t="s">
        <v>11152</v>
      </c>
      <c r="B2509" s="1" t="s">
        <v>11153</v>
      </c>
      <c r="C2509" s="1" t="s">
        <v>255</v>
      </c>
      <c r="D2509" s="1" t="s">
        <v>11781</v>
      </c>
      <c r="E2509" s="1" t="s">
        <v>3917</v>
      </c>
      <c r="F2509" s="1" t="s">
        <v>3918</v>
      </c>
      <c r="G2509" s="1" t="s">
        <v>4983</v>
      </c>
    </row>
    <row r="2510" spans="1:7" x14ac:dyDescent="0.45">
      <c r="A2510" s="1" t="s">
        <v>11154</v>
      </c>
      <c r="B2510" s="1" t="s">
        <v>11155</v>
      </c>
      <c r="C2510" s="1" t="s">
        <v>255</v>
      </c>
      <c r="D2510" s="1" t="s">
        <v>11782</v>
      </c>
      <c r="E2510" s="1" t="s">
        <v>3917</v>
      </c>
      <c r="F2510" s="1" t="s">
        <v>3918</v>
      </c>
      <c r="G2510" s="1" t="s">
        <v>4983</v>
      </c>
    </row>
    <row r="2511" spans="1:7" x14ac:dyDescent="0.45">
      <c r="A2511" s="1" t="s">
        <v>3174</v>
      </c>
      <c r="B2511" s="1" t="s">
        <v>3175</v>
      </c>
      <c r="C2511" s="1" t="s">
        <v>255</v>
      </c>
      <c r="D2511" s="1" t="s">
        <v>3176</v>
      </c>
      <c r="E2511" s="1" t="s">
        <v>3917</v>
      </c>
      <c r="F2511" s="1" t="s">
        <v>3918</v>
      </c>
      <c r="G2511" s="1" t="s">
        <v>4983</v>
      </c>
    </row>
    <row r="2512" spans="1:7" x14ac:dyDescent="0.45">
      <c r="A2512" s="1" t="s">
        <v>7851</v>
      </c>
      <c r="B2512" s="1" t="s">
        <v>7852</v>
      </c>
      <c r="C2512" s="1" t="s">
        <v>255</v>
      </c>
      <c r="D2512" s="1" t="s">
        <v>8386</v>
      </c>
      <c r="E2512" s="1" t="s">
        <v>3917</v>
      </c>
      <c r="F2512" s="1" t="s">
        <v>3918</v>
      </c>
      <c r="G2512" s="1" t="s">
        <v>4983</v>
      </c>
    </row>
    <row r="2513" spans="1:7" x14ac:dyDescent="0.45">
      <c r="A2513" s="1" t="s">
        <v>4611</v>
      </c>
      <c r="B2513" s="1" t="s">
        <v>4612</v>
      </c>
      <c r="C2513" s="1" t="s">
        <v>255</v>
      </c>
      <c r="D2513" s="1" t="s">
        <v>4956</v>
      </c>
      <c r="E2513" s="1" t="s">
        <v>3917</v>
      </c>
      <c r="F2513" s="1" t="s">
        <v>3918</v>
      </c>
      <c r="G2513" s="1" t="s">
        <v>4983</v>
      </c>
    </row>
    <row r="2514" spans="1:7" x14ac:dyDescent="0.45">
      <c r="A2514" s="1" t="s">
        <v>11156</v>
      </c>
      <c r="B2514" s="1" t="s">
        <v>5672</v>
      </c>
      <c r="C2514" s="1" t="s">
        <v>255</v>
      </c>
      <c r="D2514" s="1" t="s">
        <v>5673</v>
      </c>
      <c r="E2514" s="1" t="s">
        <v>3917</v>
      </c>
      <c r="F2514" s="1" t="s">
        <v>3918</v>
      </c>
      <c r="G2514" s="1" t="s">
        <v>4983</v>
      </c>
    </row>
    <row r="2515" spans="1:7" x14ac:dyDescent="0.45">
      <c r="A2515" s="1" t="s">
        <v>11157</v>
      </c>
      <c r="B2515" s="1" t="s">
        <v>11158</v>
      </c>
      <c r="C2515" s="1" t="s">
        <v>255</v>
      </c>
      <c r="D2515" s="1" t="s">
        <v>11783</v>
      </c>
      <c r="E2515" s="1" t="s">
        <v>3917</v>
      </c>
      <c r="F2515" s="1" t="s">
        <v>3918</v>
      </c>
      <c r="G2515" s="1" t="s">
        <v>4983</v>
      </c>
    </row>
    <row r="2516" spans="1:7" x14ac:dyDescent="0.45">
      <c r="A2516" s="1" t="s">
        <v>7853</v>
      </c>
      <c r="B2516" s="1" t="s">
        <v>7854</v>
      </c>
      <c r="C2516" s="1" t="s">
        <v>255</v>
      </c>
      <c r="D2516" s="1" t="s">
        <v>8387</v>
      </c>
      <c r="E2516" s="1" t="s">
        <v>3917</v>
      </c>
      <c r="F2516" s="1" t="s">
        <v>3918</v>
      </c>
      <c r="G2516" s="1" t="s">
        <v>4983</v>
      </c>
    </row>
    <row r="2517" spans="1:7" x14ac:dyDescent="0.45">
      <c r="A2517" s="1" t="s">
        <v>4613</v>
      </c>
      <c r="B2517" s="1" t="s">
        <v>4614</v>
      </c>
      <c r="C2517" s="1" t="s">
        <v>255</v>
      </c>
      <c r="D2517" s="1" t="s">
        <v>4957</v>
      </c>
      <c r="E2517" s="1" t="s">
        <v>3917</v>
      </c>
      <c r="F2517" s="1" t="s">
        <v>3918</v>
      </c>
      <c r="G2517" s="1" t="s">
        <v>4983</v>
      </c>
    </row>
    <row r="2518" spans="1:7" x14ac:dyDescent="0.45">
      <c r="A2518" s="1" t="s">
        <v>7855</v>
      </c>
      <c r="B2518" s="1" t="s">
        <v>7856</v>
      </c>
      <c r="C2518" s="1" t="s">
        <v>255</v>
      </c>
      <c r="D2518" s="1" t="s">
        <v>8388</v>
      </c>
      <c r="E2518" s="1" t="s">
        <v>3917</v>
      </c>
      <c r="F2518" s="1" t="s">
        <v>3918</v>
      </c>
      <c r="G2518" s="1" t="s">
        <v>4983</v>
      </c>
    </row>
    <row r="2519" spans="1:7" x14ac:dyDescent="0.45">
      <c r="A2519" s="1" t="s">
        <v>4615</v>
      </c>
      <c r="B2519" s="1" t="s">
        <v>4616</v>
      </c>
      <c r="C2519" s="1" t="s">
        <v>255</v>
      </c>
      <c r="D2519" s="1" t="s">
        <v>4958</v>
      </c>
      <c r="E2519" s="1" t="s">
        <v>3917</v>
      </c>
      <c r="F2519" s="1" t="s">
        <v>3918</v>
      </c>
      <c r="G2519" s="1" t="s">
        <v>4983</v>
      </c>
    </row>
    <row r="2520" spans="1:7" x14ac:dyDescent="0.45">
      <c r="A2520" s="1" t="s">
        <v>11159</v>
      </c>
      <c r="B2520" s="1" t="s">
        <v>11160</v>
      </c>
      <c r="C2520" s="1" t="s">
        <v>255</v>
      </c>
      <c r="D2520" s="1" t="s">
        <v>11784</v>
      </c>
      <c r="E2520" s="1" t="s">
        <v>3917</v>
      </c>
      <c r="F2520" s="1" t="s">
        <v>3918</v>
      </c>
      <c r="G2520" s="1" t="s">
        <v>4983</v>
      </c>
    </row>
    <row r="2521" spans="1:7" x14ac:dyDescent="0.45">
      <c r="A2521" s="1" t="s">
        <v>7857</v>
      </c>
      <c r="B2521" s="1" t="s">
        <v>7858</v>
      </c>
      <c r="C2521" s="1" t="s">
        <v>255</v>
      </c>
      <c r="D2521" s="1" t="s">
        <v>8389</v>
      </c>
      <c r="E2521" s="1" t="s">
        <v>3917</v>
      </c>
      <c r="F2521" s="1" t="s">
        <v>3918</v>
      </c>
      <c r="G2521" s="1" t="s">
        <v>4983</v>
      </c>
    </row>
    <row r="2522" spans="1:7" x14ac:dyDescent="0.45">
      <c r="A2522" s="1" t="s">
        <v>11161</v>
      </c>
      <c r="B2522" s="1" t="s">
        <v>11162</v>
      </c>
      <c r="C2522" s="1" t="s">
        <v>255</v>
      </c>
      <c r="D2522" s="1" t="s">
        <v>11785</v>
      </c>
      <c r="E2522" s="1" t="s">
        <v>3917</v>
      </c>
      <c r="F2522" s="1" t="s">
        <v>3918</v>
      </c>
      <c r="G2522" s="1" t="s">
        <v>4983</v>
      </c>
    </row>
    <row r="2523" spans="1:7" x14ac:dyDescent="0.45">
      <c r="A2523" s="1" t="s">
        <v>3177</v>
      </c>
      <c r="B2523" s="1" t="s">
        <v>3178</v>
      </c>
      <c r="C2523" s="1" t="s">
        <v>255</v>
      </c>
      <c r="D2523" s="1" t="s">
        <v>3179</v>
      </c>
      <c r="E2523" s="1" t="s">
        <v>3917</v>
      </c>
      <c r="F2523" s="1" t="s">
        <v>3918</v>
      </c>
      <c r="G2523" s="1" t="s">
        <v>4983</v>
      </c>
    </row>
    <row r="2524" spans="1:7" x14ac:dyDescent="0.45">
      <c r="A2524" s="1" t="s">
        <v>7859</v>
      </c>
      <c r="B2524" s="1" t="s">
        <v>7860</v>
      </c>
      <c r="C2524" s="1" t="s">
        <v>255</v>
      </c>
      <c r="D2524" s="1" t="s">
        <v>3179</v>
      </c>
      <c r="E2524" s="1" t="s">
        <v>3917</v>
      </c>
      <c r="F2524" s="1" t="s">
        <v>3918</v>
      </c>
      <c r="G2524" s="1" t="s">
        <v>4983</v>
      </c>
    </row>
    <row r="2525" spans="1:7" x14ac:dyDescent="0.45">
      <c r="A2525" s="1" t="s">
        <v>3180</v>
      </c>
      <c r="B2525" s="1" t="s">
        <v>3181</v>
      </c>
      <c r="C2525" s="1" t="s">
        <v>255</v>
      </c>
      <c r="D2525" s="1" t="s">
        <v>3182</v>
      </c>
      <c r="E2525" s="1" t="s">
        <v>3917</v>
      </c>
      <c r="F2525" s="1" t="s">
        <v>3918</v>
      </c>
      <c r="G2525" s="1" t="s">
        <v>4983</v>
      </c>
    </row>
    <row r="2526" spans="1:7" x14ac:dyDescent="0.45">
      <c r="A2526" s="1" t="s">
        <v>4617</v>
      </c>
      <c r="B2526" s="1" t="s">
        <v>4618</v>
      </c>
      <c r="C2526" s="1" t="s">
        <v>255</v>
      </c>
      <c r="D2526" s="1" t="s">
        <v>4959</v>
      </c>
      <c r="E2526" s="1" t="s">
        <v>3917</v>
      </c>
      <c r="F2526" s="1" t="s">
        <v>3918</v>
      </c>
      <c r="G2526" s="1" t="s">
        <v>4983</v>
      </c>
    </row>
    <row r="2527" spans="1:7" x14ac:dyDescent="0.45">
      <c r="A2527" s="1" t="s">
        <v>4619</v>
      </c>
      <c r="B2527" s="1" t="s">
        <v>4620</v>
      </c>
      <c r="C2527" s="1" t="s">
        <v>255</v>
      </c>
      <c r="D2527" s="1" t="s">
        <v>4960</v>
      </c>
      <c r="E2527" s="1" t="s">
        <v>3917</v>
      </c>
      <c r="F2527" s="1" t="s">
        <v>3918</v>
      </c>
      <c r="G2527" s="1" t="s">
        <v>4983</v>
      </c>
    </row>
    <row r="2528" spans="1:7" x14ac:dyDescent="0.45">
      <c r="A2528" s="1" t="s">
        <v>3183</v>
      </c>
      <c r="B2528" s="1" t="s">
        <v>3184</v>
      </c>
      <c r="C2528" s="1" t="s">
        <v>255</v>
      </c>
      <c r="D2528" s="1" t="s">
        <v>3185</v>
      </c>
      <c r="E2528" s="1" t="s">
        <v>3917</v>
      </c>
      <c r="F2528" s="1" t="s">
        <v>3918</v>
      </c>
      <c r="G2528" s="1" t="s">
        <v>4983</v>
      </c>
    </row>
    <row r="2529" spans="1:7" x14ac:dyDescent="0.45">
      <c r="A2529" s="1" t="s">
        <v>11163</v>
      </c>
      <c r="B2529" s="1" t="s">
        <v>5246</v>
      </c>
      <c r="C2529" s="1" t="s">
        <v>255</v>
      </c>
      <c r="D2529" s="1" t="s">
        <v>5247</v>
      </c>
      <c r="E2529" s="1" t="s">
        <v>3917</v>
      </c>
      <c r="F2529" s="1" t="s">
        <v>3918</v>
      </c>
      <c r="G2529" s="1" t="s">
        <v>4983</v>
      </c>
    </row>
    <row r="2530" spans="1:7" x14ac:dyDescent="0.45">
      <c r="A2530" s="1" t="s">
        <v>11164</v>
      </c>
      <c r="B2530" s="1" t="s">
        <v>11165</v>
      </c>
      <c r="C2530" s="1" t="s">
        <v>255</v>
      </c>
      <c r="D2530" s="1" t="s">
        <v>11786</v>
      </c>
      <c r="E2530" s="1" t="s">
        <v>3917</v>
      </c>
      <c r="F2530" s="1" t="s">
        <v>3918</v>
      </c>
      <c r="G2530" s="1" t="s">
        <v>4983</v>
      </c>
    </row>
    <row r="2531" spans="1:7" x14ac:dyDescent="0.45">
      <c r="A2531" s="1" t="s">
        <v>11166</v>
      </c>
      <c r="B2531" s="1" t="s">
        <v>11167</v>
      </c>
      <c r="C2531" s="1" t="s">
        <v>255</v>
      </c>
      <c r="D2531" s="1" t="s">
        <v>11787</v>
      </c>
      <c r="E2531" s="1" t="s">
        <v>3917</v>
      </c>
      <c r="F2531" s="1" t="s">
        <v>3918</v>
      </c>
      <c r="G2531" s="1" t="s">
        <v>4983</v>
      </c>
    </row>
    <row r="2532" spans="1:7" x14ac:dyDescent="0.45">
      <c r="A2532" s="1" t="s">
        <v>3873</v>
      </c>
      <c r="B2532" s="1" t="s">
        <v>3874</v>
      </c>
      <c r="C2532" s="1" t="s">
        <v>255</v>
      </c>
      <c r="D2532" s="1" t="s">
        <v>3875</v>
      </c>
      <c r="E2532" s="1" t="s">
        <v>3917</v>
      </c>
      <c r="F2532" s="1" t="s">
        <v>3918</v>
      </c>
      <c r="G2532" s="1" t="s">
        <v>4983</v>
      </c>
    </row>
    <row r="2533" spans="1:7" x14ac:dyDescent="0.45">
      <c r="A2533" s="1" t="s">
        <v>7861</v>
      </c>
      <c r="B2533" s="1" t="s">
        <v>7862</v>
      </c>
      <c r="C2533" s="1" t="s">
        <v>255</v>
      </c>
      <c r="D2533" s="1" t="s">
        <v>8390</v>
      </c>
      <c r="E2533" s="1" t="s">
        <v>3917</v>
      </c>
      <c r="F2533" s="1" t="s">
        <v>3918</v>
      </c>
      <c r="G2533" s="1" t="s">
        <v>4983</v>
      </c>
    </row>
    <row r="2534" spans="1:7" x14ac:dyDescent="0.45">
      <c r="A2534" s="1" t="s">
        <v>7863</v>
      </c>
      <c r="B2534" s="1" t="s">
        <v>7864</v>
      </c>
      <c r="C2534" s="1" t="s">
        <v>255</v>
      </c>
      <c r="D2534" s="1" t="s">
        <v>8391</v>
      </c>
      <c r="E2534" s="1" t="s">
        <v>3917</v>
      </c>
      <c r="F2534" s="1" t="s">
        <v>3918</v>
      </c>
      <c r="G2534" s="1" t="s">
        <v>4983</v>
      </c>
    </row>
    <row r="2535" spans="1:7" x14ac:dyDescent="0.45">
      <c r="A2535" s="1" t="s">
        <v>3876</v>
      </c>
      <c r="B2535" s="1" t="s">
        <v>3877</v>
      </c>
      <c r="C2535" s="1" t="s">
        <v>255</v>
      </c>
      <c r="D2535" s="1" t="s">
        <v>3878</v>
      </c>
      <c r="E2535" s="1" t="s">
        <v>3917</v>
      </c>
      <c r="F2535" s="1" t="s">
        <v>3918</v>
      </c>
      <c r="G2535" s="1" t="s">
        <v>4983</v>
      </c>
    </row>
    <row r="2536" spans="1:7" x14ac:dyDescent="0.45">
      <c r="A2536" s="1" t="s">
        <v>11168</v>
      </c>
      <c r="B2536" s="1" t="s">
        <v>11169</v>
      </c>
      <c r="C2536" s="1" t="s">
        <v>255</v>
      </c>
      <c r="D2536" s="1" t="s">
        <v>11788</v>
      </c>
      <c r="E2536" s="1" t="s">
        <v>3917</v>
      </c>
      <c r="F2536" s="1" t="s">
        <v>3918</v>
      </c>
      <c r="G2536" s="1" t="s">
        <v>4983</v>
      </c>
    </row>
    <row r="2537" spans="1:7" x14ac:dyDescent="0.45">
      <c r="A2537" s="1" t="s">
        <v>3879</v>
      </c>
      <c r="B2537" s="1" t="s">
        <v>3880</v>
      </c>
      <c r="C2537" s="1" t="s">
        <v>255</v>
      </c>
      <c r="D2537" s="1" t="s">
        <v>3881</v>
      </c>
      <c r="E2537" s="1" t="s">
        <v>3917</v>
      </c>
      <c r="F2537" s="1" t="s">
        <v>3918</v>
      </c>
      <c r="G2537" s="1" t="s">
        <v>4983</v>
      </c>
    </row>
    <row r="2538" spans="1:7" x14ac:dyDescent="0.45">
      <c r="A2538" s="1" t="s">
        <v>7865</v>
      </c>
      <c r="B2538" s="1" t="s">
        <v>7866</v>
      </c>
      <c r="C2538" s="1" t="s">
        <v>255</v>
      </c>
      <c r="D2538" s="1" t="s">
        <v>8392</v>
      </c>
      <c r="E2538" s="1" t="s">
        <v>3917</v>
      </c>
      <c r="F2538" s="1" t="s">
        <v>3918</v>
      </c>
      <c r="G2538" s="1" t="s">
        <v>4983</v>
      </c>
    </row>
    <row r="2539" spans="1:7" x14ac:dyDescent="0.45">
      <c r="A2539" s="1" t="s">
        <v>11170</v>
      </c>
      <c r="B2539" s="1" t="s">
        <v>11171</v>
      </c>
      <c r="C2539" s="1" t="s">
        <v>255</v>
      </c>
      <c r="D2539" s="1" t="s">
        <v>11789</v>
      </c>
      <c r="E2539" s="1" t="s">
        <v>3917</v>
      </c>
      <c r="F2539" s="1" t="s">
        <v>3918</v>
      </c>
      <c r="G2539" s="1" t="s">
        <v>4983</v>
      </c>
    </row>
    <row r="2540" spans="1:7" x14ac:dyDescent="0.45">
      <c r="A2540" s="1" t="s">
        <v>11172</v>
      </c>
      <c r="B2540" s="1" t="s">
        <v>11173</v>
      </c>
      <c r="C2540" s="1" t="s">
        <v>255</v>
      </c>
      <c r="D2540" s="1" t="s">
        <v>11790</v>
      </c>
      <c r="E2540" s="1" t="s">
        <v>3917</v>
      </c>
      <c r="F2540" s="1" t="s">
        <v>3918</v>
      </c>
      <c r="G2540" s="1" t="s">
        <v>4983</v>
      </c>
    </row>
    <row r="2541" spans="1:7" x14ac:dyDescent="0.45">
      <c r="A2541" s="1" t="s">
        <v>4621</v>
      </c>
      <c r="B2541" s="1" t="s">
        <v>4622</v>
      </c>
      <c r="C2541" s="1" t="s">
        <v>255</v>
      </c>
      <c r="D2541" s="1" t="s">
        <v>4961</v>
      </c>
      <c r="E2541" s="1" t="s">
        <v>3917</v>
      </c>
      <c r="F2541" s="1" t="s">
        <v>3918</v>
      </c>
      <c r="G2541" s="1" t="s">
        <v>4983</v>
      </c>
    </row>
    <row r="2542" spans="1:7" x14ac:dyDescent="0.45">
      <c r="A2542" s="1" t="s">
        <v>11174</v>
      </c>
      <c r="B2542" s="1" t="s">
        <v>11175</v>
      </c>
      <c r="C2542" s="1" t="s">
        <v>255</v>
      </c>
      <c r="D2542" s="1" t="s">
        <v>5179</v>
      </c>
      <c r="E2542" s="1" t="s">
        <v>3917</v>
      </c>
      <c r="F2542" s="1" t="s">
        <v>3918</v>
      </c>
      <c r="G2542" s="1" t="s">
        <v>4983</v>
      </c>
    </row>
    <row r="2543" spans="1:7" x14ac:dyDescent="0.45">
      <c r="A2543" s="1" t="s">
        <v>11176</v>
      </c>
      <c r="B2543" s="1" t="s">
        <v>11177</v>
      </c>
      <c r="C2543" s="1" t="s">
        <v>255</v>
      </c>
      <c r="D2543" s="1" t="s">
        <v>11791</v>
      </c>
      <c r="E2543" s="1" t="s">
        <v>3917</v>
      </c>
      <c r="F2543" s="1" t="s">
        <v>3918</v>
      </c>
      <c r="G2543" s="1" t="s">
        <v>4983</v>
      </c>
    </row>
    <row r="2544" spans="1:7" x14ac:dyDescent="0.45">
      <c r="A2544" s="1" t="s">
        <v>11178</v>
      </c>
      <c r="B2544" s="1" t="s">
        <v>11179</v>
      </c>
      <c r="C2544" s="1" t="s">
        <v>255</v>
      </c>
      <c r="D2544" s="1" t="s">
        <v>11792</v>
      </c>
      <c r="E2544" s="1" t="s">
        <v>3917</v>
      </c>
      <c r="F2544" s="1" t="s">
        <v>3918</v>
      </c>
      <c r="G2544" s="1" t="s">
        <v>4983</v>
      </c>
    </row>
    <row r="2545" spans="1:7" x14ac:dyDescent="0.45">
      <c r="A2545" s="1" t="s">
        <v>4623</v>
      </c>
      <c r="B2545" s="1" t="s">
        <v>3364</v>
      </c>
      <c r="C2545" s="1" t="s">
        <v>255</v>
      </c>
      <c r="D2545" s="1" t="s">
        <v>3365</v>
      </c>
      <c r="E2545" s="1" t="s">
        <v>3917</v>
      </c>
      <c r="F2545" s="1" t="s">
        <v>3918</v>
      </c>
      <c r="G2545" s="1" t="s">
        <v>4983</v>
      </c>
    </row>
    <row r="2546" spans="1:7" x14ac:dyDescent="0.45">
      <c r="A2546" s="1" t="s">
        <v>11180</v>
      </c>
      <c r="B2546" s="1" t="s">
        <v>5164</v>
      </c>
      <c r="C2546" s="1" t="s">
        <v>255</v>
      </c>
      <c r="D2546" s="1" t="s">
        <v>5165</v>
      </c>
      <c r="E2546" s="1" t="s">
        <v>3917</v>
      </c>
      <c r="F2546" s="1" t="s">
        <v>3918</v>
      </c>
      <c r="G2546" s="1" t="s">
        <v>4983</v>
      </c>
    </row>
    <row r="2547" spans="1:7" x14ac:dyDescent="0.45">
      <c r="A2547" s="1" t="s">
        <v>7867</v>
      </c>
      <c r="B2547" s="1" t="s">
        <v>7868</v>
      </c>
      <c r="C2547" s="1" t="s">
        <v>255</v>
      </c>
      <c r="D2547" s="1" t="s">
        <v>8393</v>
      </c>
      <c r="E2547" s="1" t="s">
        <v>3917</v>
      </c>
      <c r="F2547" s="1" t="s">
        <v>3918</v>
      </c>
      <c r="G2547" s="1" t="s">
        <v>4983</v>
      </c>
    </row>
    <row r="2548" spans="1:7" x14ac:dyDescent="0.45">
      <c r="A2548" s="1" t="s">
        <v>7869</v>
      </c>
      <c r="B2548" s="1" t="s">
        <v>7870</v>
      </c>
      <c r="C2548" s="1" t="s">
        <v>255</v>
      </c>
      <c r="D2548" s="1" t="s">
        <v>6621</v>
      </c>
      <c r="E2548" s="1" t="s">
        <v>3917</v>
      </c>
      <c r="F2548" s="1" t="s">
        <v>3918</v>
      </c>
      <c r="G2548" s="1" t="s">
        <v>4983</v>
      </c>
    </row>
    <row r="2549" spans="1:7" x14ac:dyDescent="0.45">
      <c r="A2549" s="1" t="s">
        <v>11181</v>
      </c>
      <c r="B2549" s="1" t="s">
        <v>11182</v>
      </c>
      <c r="C2549" s="1" t="s">
        <v>255</v>
      </c>
      <c r="D2549" s="1" t="s">
        <v>11793</v>
      </c>
      <c r="E2549" s="1" t="s">
        <v>3917</v>
      </c>
      <c r="F2549" s="1" t="s">
        <v>3918</v>
      </c>
      <c r="G2549" s="1" t="s">
        <v>4983</v>
      </c>
    </row>
    <row r="2550" spans="1:7" x14ac:dyDescent="0.45">
      <c r="A2550" s="1" t="s">
        <v>7871</v>
      </c>
      <c r="B2550" s="1" t="s">
        <v>7872</v>
      </c>
      <c r="C2550" s="1" t="s">
        <v>255</v>
      </c>
      <c r="D2550" s="1" t="s">
        <v>8394</v>
      </c>
      <c r="E2550" s="1" t="s">
        <v>3917</v>
      </c>
      <c r="F2550" s="1" t="s">
        <v>3918</v>
      </c>
      <c r="G2550" s="1" t="s">
        <v>4983</v>
      </c>
    </row>
    <row r="2551" spans="1:7" x14ac:dyDescent="0.45">
      <c r="A2551" s="1" t="s">
        <v>323</v>
      </c>
      <c r="B2551" s="1" t="s">
        <v>322</v>
      </c>
      <c r="C2551" s="1" t="s">
        <v>255</v>
      </c>
      <c r="D2551" s="1" t="s">
        <v>3186</v>
      </c>
      <c r="E2551" s="1" t="s">
        <v>3917</v>
      </c>
      <c r="F2551" s="1" t="s">
        <v>3918</v>
      </c>
      <c r="G2551" s="1" t="s">
        <v>4983</v>
      </c>
    </row>
    <row r="2552" spans="1:7" x14ac:dyDescent="0.45">
      <c r="A2552" s="1" t="s">
        <v>321</v>
      </c>
      <c r="B2552" s="1" t="s">
        <v>320</v>
      </c>
      <c r="C2552" s="1" t="s">
        <v>255</v>
      </c>
      <c r="D2552" s="1" t="s">
        <v>3187</v>
      </c>
      <c r="E2552" s="1" t="s">
        <v>3917</v>
      </c>
      <c r="F2552" s="1" t="s">
        <v>3918</v>
      </c>
      <c r="G2552" s="1" t="s">
        <v>4983</v>
      </c>
    </row>
    <row r="2553" spans="1:7" x14ac:dyDescent="0.45">
      <c r="A2553" s="1" t="s">
        <v>7873</v>
      </c>
      <c r="B2553" s="1" t="s">
        <v>7874</v>
      </c>
      <c r="C2553" s="1" t="s">
        <v>255</v>
      </c>
      <c r="D2553" s="1" t="s">
        <v>5691</v>
      </c>
      <c r="E2553" s="1" t="s">
        <v>3917</v>
      </c>
      <c r="F2553" s="1" t="s">
        <v>3918</v>
      </c>
      <c r="G2553" s="1" t="s">
        <v>4983</v>
      </c>
    </row>
    <row r="2554" spans="1:7" x14ac:dyDescent="0.45">
      <c r="A2554" s="1" t="s">
        <v>11183</v>
      </c>
      <c r="B2554" s="1" t="s">
        <v>11184</v>
      </c>
      <c r="C2554" s="1" t="s">
        <v>255</v>
      </c>
      <c r="D2554" s="1" t="s">
        <v>11794</v>
      </c>
      <c r="E2554" s="1" t="s">
        <v>3917</v>
      </c>
      <c r="F2554" s="1" t="s">
        <v>3918</v>
      </c>
      <c r="G2554" s="1" t="s">
        <v>4983</v>
      </c>
    </row>
    <row r="2555" spans="1:7" x14ac:dyDescent="0.45">
      <c r="A2555" s="1" t="s">
        <v>4624</v>
      </c>
      <c r="B2555" s="1" t="s">
        <v>4625</v>
      </c>
      <c r="C2555" s="1" t="s">
        <v>255</v>
      </c>
      <c r="D2555" s="1" t="s">
        <v>4962</v>
      </c>
      <c r="E2555" s="1" t="s">
        <v>3917</v>
      </c>
      <c r="F2555" s="1" t="s">
        <v>3918</v>
      </c>
      <c r="G2555" s="1" t="s">
        <v>4983</v>
      </c>
    </row>
    <row r="2556" spans="1:7" x14ac:dyDescent="0.45">
      <c r="A2556" s="1" t="s">
        <v>11185</v>
      </c>
      <c r="B2556" s="1" t="s">
        <v>11186</v>
      </c>
      <c r="C2556" s="1" t="s">
        <v>255</v>
      </c>
      <c r="D2556" s="1" t="s">
        <v>11795</v>
      </c>
      <c r="E2556" s="1" t="s">
        <v>3917</v>
      </c>
      <c r="F2556" s="1" t="s">
        <v>3918</v>
      </c>
      <c r="G2556" s="1" t="s">
        <v>4983</v>
      </c>
    </row>
    <row r="2557" spans="1:7" x14ac:dyDescent="0.45">
      <c r="A2557" s="1" t="s">
        <v>4626</v>
      </c>
      <c r="B2557" s="1" t="s">
        <v>4627</v>
      </c>
      <c r="C2557" s="1" t="s">
        <v>255</v>
      </c>
      <c r="D2557" s="1" t="s">
        <v>4963</v>
      </c>
      <c r="E2557" s="1" t="s">
        <v>3917</v>
      </c>
      <c r="F2557" s="1" t="s">
        <v>3918</v>
      </c>
      <c r="G2557" s="1" t="s">
        <v>4983</v>
      </c>
    </row>
    <row r="2558" spans="1:7" x14ac:dyDescent="0.45">
      <c r="A2558" s="1" t="s">
        <v>7875</v>
      </c>
      <c r="B2558" s="1" t="s">
        <v>5738</v>
      </c>
      <c r="C2558" s="1" t="s">
        <v>255</v>
      </c>
      <c r="D2558" s="1" t="s">
        <v>5739</v>
      </c>
      <c r="E2558" s="1" t="s">
        <v>3917</v>
      </c>
      <c r="F2558" s="1" t="s">
        <v>3918</v>
      </c>
      <c r="G2558" s="1" t="s">
        <v>4983</v>
      </c>
    </row>
    <row r="2559" spans="1:7" x14ac:dyDescent="0.45">
      <c r="A2559" s="1" t="s">
        <v>7876</v>
      </c>
      <c r="B2559" s="1" t="s">
        <v>7877</v>
      </c>
      <c r="C2559" s="1" t="s">
        <v>255</v>
      </c>
      <c r="D2559" s="1" t="s">
        <v>8395</v>
      </c>
      <c r="E2559" s="1" t="s">
        <v>3917</v>
      </c>
      <c r="F2559" s="1" t="s">
        <v>3918</v>
      </c>
      <c r="G2559" s="1" t="s">
        <v>4983</v>
      </c>
    </row>
    <row r="2560" spans="1:7" x14ac:dyDescent="0.45">
      <c r="A2560" s="1" t="s">
        <v>3188</v>
      </c>
      <c r="B2560" s="1" t="s">
        <v>3189</v>
      </c>
      <c r="C2560" s="1" t="s">
        <v>255</v>
      </c>
      <c r="D2560" s="1" t="s">
        <v>3190</v>
      </c>
      <c r="E2560" s="1" t="s">
        <v>3917</v>
      </c>
      <c r="F2560" s="1" t="s">
        <v>3918</v>
      </c>
      <c r="G2560" s="1" t="s">
        <v>4983</v>
      </c>
    </row>
    <row r="2561" spans="1:7" x14ac:dyDescent="0.45">
      <c r="A2561" s="1" t="s">
        <v>7878</v>
      </c>
      <c r="B2561" s="1" t="s">
        <v>7879</v>
      </c>
      <c r="C2561" s="1" t="s">
        <v>255</v>
      </c>
      <c r="D2561" s="1" t="s">
        <v>8396</v>
      </c>
      <c r="E2561" s="1" t="s">
        <v>3917</v>
      </c>
      <c r="F2561" s="1" t="s">
        <v>3918</v>
      </c>
      <c r="G2561" s="1" t="s">
        <v>4983</v>
      </c>
    </row>
    <row r="2562" spans="1:7" x14ac:dyDescent="0.45">
      <c r="A2562" s="1" t="s">
        <v>11187</v>
      </c>
      <c r="B2562" s="1" t="s">
        <v>5649</v>
      </c>
      <c r="C2562" s="1" t="s">
        <v>255</v>
      </c>
      <c r="D2562" s="1" t="s">
        <v>5650</v>
      </c>
      <c r="E2562" s="1" t="s">
        <v>3917</v>
      </c>
      <c r="F2562" s="1" t="s">
        <v>3918</v>
      </c>
      <c r="G2562" s="1" t="s">
        <v>4983</v>
      </c>
    </row>
    <row r="2563" spans="1:7" x14ac:dyDescent="0.45">
      <c r="A2563" s="1" t="s">
        <v>11188</v>
      </c>
      <c r="B2563" s="1" t="s">
        <v>11189</v>
      </c>
      <c r="C2563" s="1" t="s">
        <v>255</v>
      </c>
      <c r="D2563" s="1" t="s">
        <v>11796</v>
      </c>
      <c r="E2563" s="1" t="s">
        <v>3917</v>
      </c>
      <c r="F2563" s="1" t="s">
        <v>3918</v>
      </c>
      <c r="G2563" s="1" t="s">
        <v>4983</v>
      </c>
    </row>
    <row r="2564" spans="1:7" x14ac:dyDescent="0.45">
      <c r="A2564" s="1" t="s">
        <v>11190</v>
      </c>
      <c r="B2564" s="1" t="s">
        <v>11191</v>
      </c>
      <c r="C2564" s="1" t="s">
        <v>255</v>
      </c>
      <c r="D2564" s="1" t="s">
        <v>11797</v>
      </c>
      <c r="E2564" s="1" t="s">
        <v>3917</v>
      </c>
      <c r="F2564" s="1" t="s">
        <v>3918</v>
      </c>
      <c r="G2564" s="1" t="s">
        <v>4983</v>
      </c>
    </row>
    <row r="2565" spans="1:7" x14ac:dyDescent="0.45">
      <c r="A2565" s="1" t="s">
        <v>3882</v>
      </c>
      <c r="B2565" s="1" t="s">
        <v>3883</v>
      </c>
      <c r="C2565" s="1" t="s">
        <v>255</v>
      </c>
      <c r="D2565" s="1" t="s">
        <v>3884</v>
      </c>
      <c r="E2565" s="1" t="s">
        <v>3917</v>
      </c>
      <c r="F2565" s="1" t="s">
        <v>3918</v>
      </c>
      <c r="G2565" s="1" t="s">
        <v>4983</v>
      </c>
    </row>
    <row r="2566" spans="1:7" x14ac:dyDescent="0.45">
      <c r="A2566" s="1" t="s">
        <v>11192</v>
      </c>
      <c r="B2566" s="1" t="s">
        <v>11193</v>
      </c>
      <c r="C2566" s="1" t="s">
        <v>255</v>
      </c>
      <c r="D2566" s="1" t="s">
        <v>11798</v>
      </c>
      <c r="E2566" s="1" t="s">
        <v>3917</v>
      </c>
      <c r="F2566" s="1" t="s">
        <v>3918</v>
      </c>
      <c r="G2566" s="1" t="s">
        <v>4983</v>
      </c>
    </row>
    <row r="2567" spans="1:7" x14ac:dyDescent="0.45">
      <c r="A2567" s="1" t="s">
        <v>11194</v>
      </c>
      <c r="B2567" s="1" t="s">
        <v>11195</v>
      </c>
      <c r="C2567" s="1" t="s">
        <v>255</v>
      </c>
      <c r="D2567" s="1" t="s">
        <v>11799</v>
      </c>
      <c r="E2567" s="1" t="s">
        <v>3917</v>
      </c>
      <c r="F2567" s="1" t="s">
        <v>3918</v>
      </c>
      <c r="G2567" s="1" t="s">
        <v>4983</v>
      </c>
    </row>
    <row r="2568" spans="1:7" x14ac:dyDescent="0.45">
      <c r="A2568" s="1" t="s">
        <v>11196</v>
      </c>
      <c r="B2568" s="1" t="s">
        <v>5594</v>
      </c>
      <c r="C2568" s="1" t="s">
        <v>255</v>
      </c>
      <c r="D2568" s="1" t="s">
        <v>5595</v>
      </c>
      <c r="E2568" s="1" t="s">
        <v>3917</v>
      </c>
      <c r="F2568" s="1" t="s">
        <v>3918</v>
      </c>
      <c r="G2568" s="1" t="s">
        <v>4983</v>
      </c>
    </row>
    <row r="2569" spans="1:7" x14ac:dyDescent="0.45">
      <c r="A2569" s="1" t="s">
        <v>11197</v>
      </c>
      <c r="B2569" s="1" t="s">
        <v>11198</v>
      </c>
      <c r="C2569" s="1" t="s">
        <v>255</v>
      </c>
      <c r="D2569" s="1" t="s">
        <v>11800</v>
      </c>
      <c r="E2569" s="1" t="s">
        <v>3917</v>
      </c>
      <c r="F2569" s="1" t="s">
        <v>3918</v>
      </c>
      <c r="G2569" s="1" t="s">
        <v>4983</v>
      </c>
    </row>
    <row r="2570" spans="1:7" x14ac:dyDescent="0.45">
      <c r="A2570" s="1" t="s">
        <v>1838</v>
      </c>
      <c r="B2570" s="1" t="s">
        <v>1839</v>
      </c>
      <c r="C2570" s="1" t="s">
        <v>255</v>
      </c>
      <c r="D2570" s="1" t="s">
        <v>3191</v>
      </c>
      <c r="E2570" s="1" t="s">
        <v>3917</v>
      </c>
      <c r="F2570" s="1" t="s">
        <v>3918</v>
      </c>
      <c r="G2570" s="1" t="s">
        <v>4983</v>
      </c>
    </row>
    <row r="2571" spans="1:7" x14ac:dyDescent="0.45">
      <c r="A2571" s="1" t="s">
        <v>7880</v>
      </c>
      <c r="B2571" s="1" t="s">
        <v>5511</v>
      </c>
      <c r="C2571" s="1" t="s">
        <v>255</v>
      </c>
      <c r="D2571" s="1" t="s">
        <v>5512</v>
      </c>
      <c r="E2571" s="1" t="s">
        <v>3919</v>
      </c>
      <c r="F2571" s="1" t="s">
        <v>3918</v>
      </c>
      <c r="G2571" s="1" t="s">
        <v>4983</v>
      </c>
    </row>
    <row r="2572" spans="1:7" x14ac:dyDescent="0.45">
      <c r="A2572" s="1" t="s">
        <v>3888</v>
      </c>
      <c r="B2572" s="1" t="s">
        <v>3889</v>
      </c>
      <c r="C2572" s="1" t="s">
        <v>255</v>
      </c>
      <c r="D2572" s="1" t="s">
        <v>3890</v>
      </c>
      <c r="E2572" s="1" t="s">
        <v>3917</v>
      </c>
      <c r="F2572" s="1" t="s">
        <v>3918</v>
      </c>
      <c r="G2572" s="1" t="s">
        <v>4983</v>
      </c>
    </row>
    <row r="2573" spans="1:7" x14ac:dyDescent="0.45">
      <c r="A2573" s="1" t="s">
        <v>7881</v>
      </c>
      <c r="B2573" s="1" t="s">
        <v>7882</v>
      </c>
      <c r="C2573" s="1" t="s">
        <v>255</v>
      </c>
      <c r="D2573" s="1" t="s">
        <v>8397</v>
      </c>
      <c r="E2573" s="1" t="s">
        <v>3917</v>
      </c>
      <c r="F2573" s="1" t="s">
        <v>3918</v>
      </c>
      <c r="G2573" s="1" t="s">
        <v>4983</v>
      </c>
    </row>
    <row r="2574" spans="1:7" x14ac:dyDescent="0.45">
      <c r="A2574" s="1" t="s">
        <v>11199</v>
      </c>
      <c r="B2574" s="1" t="s">
        <v>11200</v>
      </c>
      <c r="C2574" s="1" t="s">
        <v>255</v>
      </c>
      <c r="D2574" s="1" t="s">
        <v>11801</v>
      </c>
      <c r="E2574" s="1" t="s">
        <v>3917</v>
      </c>
      <c r="F2574" s="1" t="s">
        <v>3918</v>
      </c>
      <c r="G2574" s="1" t="s">
        <v>4983</v>
      </c>
    </row>
    <row r="2575" spans="1:7" x14ac:dyDescent="0.45">
      <c r="A2575" s="1" t="s">
        <v>317</v>
      </c>
      <c r="B2575" s="1" t="s">
        <v>316</v>
      </c>
      <c r="C2575" s="1" t="s">
        <v>255</v>
      </c>
      <c r="D2575" s="1" t="s">
        <v>3192</v>
      </c>
      <c r="E2575" s="1" t="s">
        <v>3917</v>
      </c>
      <c r="F2575" s="1" t="s">
        <v>3918</v>
      </c>
      <c r="G2575" s="1" t="s">
        <v>4983</v>
      </c>
    </row>
    <row r="2576" spans="1:7" x14ac:dyDescent="0.45">
      <c r="A2576" s="1" t="s">
        <v>3891</v>
      </c>
      <c r="B2576" s="1" t="s">
        <v>3892</v>
      </c>
      <c r="C2576" s="1" t="s">
        <v>255</v>
      </c>
      <c r="D2576" s="1" t="s">
        <v>3893</v>
      </c>
      <c r="E2576" s="1" t="s">
        <v>3917</v>
      </c>
      <c r="F2576" s="1" t="s">
        <v>3918</v>
      </c>
      <c r="G2576" s="1" t="s">
        <v>4983</v>
      </c>
    </row>
    <row r="2577" spans="1:7" x14ac:dyDescent="0.45">
      <c r="A2577" s="1" t="s">
        <v>4629</v>
      </c>
      <c r="B2577" s="1" t="s">
        <v>2112</v>
      </c>
      <c r="C2577" s="1" t="s">
        <v>255</v>
      </c>
      <c r="D2577" s="1" t="s">
        <v>2113</v>
      </c>
      <c r="E2577" s="1" t="s">
        <v>3919</v>
      </c>
      <c r="F2577" s="1" t="s">
        <v>3918</v>
      </c>
      <c r="G2577" s="1" t="s">
        <v>4983</v>
      </c>
    </row>
    <row r="2578" spans="1:7" x14ac:dyDescent="0.45">
      <c r="A2578" s="1" t="s">
        <v>4630</v>
      </c>
      <c r="B2578" s="1" t="s">
        <v>3310</v>
      </c>
      <c r="C2578" s="1" t="s">
        <v>255</v>
      </c>
      <c r="D2578" s="1" t="s">
        <v>3311</v>
      </c>
      <c r="E2578" s="1" t="s">
        <v>3917</v>
      </c>
      <c r="F2578" s="1" t="s">
        <v>3918</v>
      </c>
      <c r="G2578" s="1" t="s">
        <v>4983</v>
      </c>
    </row>
    <row r="2579" spans="1:7" x14ac:dyDescent="0.45">
      <c r="A2579" s="1" t="s">
        <v>11201</v>
      </c>
      <c r="B2579" s="1" t="s">
        <v>11202</v>
      </c>
      <c r="C2579" s="1" t="s">
        <v>255</v>
      </c>
      <c r="D2579" s="1" t="s">
        <v>11802</v>
      </c>
      <c r="E2579" s="1" t="s">
        <v>3917</v>
      </c>
      <c r="F2579" s="1" t="s">
        <v>3918</v>
      </c>
      <c r="G2579" s="1" t="s">
        <v>4983</v>
      </c>
    </row>
    <row r="2580" spans="1:7" x14ac:dyDescent="0.45">
      <c r="A2580" s="1" t="s">
        <v>313</v>
      </c>
      <c r="B2580" s="1" t="s">
        <v>4631</v>
      </c>
      <c r="C2580" s="1" t="s">
        <v>255</v>
      </c>
      <c r="D2580" s="1" t="s">
        <v>3193</v>
      </c>
      <c r="E2580" s="1" t="s">
        <v>3917</v>
      </c>
      <c r="F2580" s="1" t="s">
        <v>3918</v>
      </c>
      <c r="G2580" s="1" t="s">
        <v>4983</v>
      </c>
    </row>
    <row r="2581" spans="1:7" x14ac:dyDescent="0.45">
      <c r="A2581" s="1" t="s">
        <v>11203</v>
      </c>
      <c r="B2581" s="1" t="s">
        <v>11204</v>
      </c>
      <c r="C2581" s="1" t="s">
        <v>255</v>
      </c>
      <c r="D2581" s="1" t="s">
        <v>11803</v>
      </c>
      <c r="E2581" s="1" t="s">
        <v>3917</v>
      </c>
      <c r="F2581" s="1" t="s">
        <v>3918</v>
      </c>
      <c r="G2581" s="1" t="s">
        <v>4983</v>
      </c>
    </row>
    <row r="2582" spans="1:7" x14ac:dyDescent="0.45">
      <c r="A2582" s="1" t="s">
        <v>312</v>
      </c>
      <c r="B2582" s="1" t="s">
        <v>311</v>
      </c>
      <c r="C2582" s="1" t="s">
        <v>255</v>
      </c>
      <c r="D2582" s="1" t="s">
        <v>3194</v>
      </c>
      <c r="E2582" s="1" t="s">
        <v>3917</v>
      </c>
      <c r="F2582" s="1" t="s">
        <v>3918</v>
      </c>
      <c r="G2582" s="1" t="s">
        <v>4983</v>
      </c>
    </row>
    <row r="2583" spans="1:7" x14ac:dyDescent="0.45">
      <c r="A2583" s="1" t="s">
        <v>7883</v>
      </c>
      <c r="B2583" s="1" t="s">
        <v>7884</v>
      </c>
      <c r="C2583" s="1" t="s">
        <v>255</v>
      </c>
      <c r="D2583" s="1" t="s">
        <v>8398</v>
      </c>
      <c r="E2583" s="1" t="s">
        <v>3917</v>
      </c>
      <c r="F2583" s="1" t="s">
        <v>3918</v>
      </c>
      <c r="G2583" s="1" t="s">
        <v>4983</v>
      </c>
    </row>
    <row r="2584" spans="1:7" x14ac:dyDescent="0.45">
      <c r="A2584" s="1" t="s">
        <v>11205</v>
      </c>
      <c r="B2584" s="1" t="s">
        <v>11206</v>
      </c>
      <c r="C2584" s="1" t="s">
        <v>255</v>
      </c>
      <c r="D2584" s="1" t="s">
        <v>11804</v>
      </c>
      <c r="E2584" s="1" t="s">
        <v>3917</v>
      </c>
      <c r="F2584" s="1" t="s">
        <v>3918</v>
      </c>
      <c r="G2584" s="1" t="s">
        <v>4983</v>
      </c>
    </row>
    <row r="2585" spans="1:7" x14ac:dyDescent="0.45">
      <c r="A2585" s="1" t="s">
        <v>310</v>
      </c>
      <c r="B2585" s="1" t="s">
        <v>309</v>
      </c>
      <c r="C2585" s="1" t="s">
        <v>255</v>
      </c>
      <c r="D2585" s="1" t="s">
        <v>3195</v>
      </c>
      <c r="E2585" s="1" t="s">
        <v>3917</v>
      </c>
      <c r="F2585" s="1" t="s">
        <v>3918</v>
      </c>
      <c r="G2585" s="1" t="s">
        <v>4983</v>
      </c>
    </row>
    <row r="2586" spans="1:7" x14ac:dyDescent="0.45">
      <c r="A2586" s="1" t="s">
        <v>7885</v>
      </c>
      <c r="B2586" s="1" t="s">
        <v>7886</v>
      </c>
      <c r="C2586" s="1" t="s">
        <v>255</v>
      </c>
      <c r="D2586" s="1" t="s">
        <v>3195</v>
      </c>
      <c r="E2586" s="1" t="s">
        <v>3917</v>
      </c>
      <c r="F2586" s="1" t="s">
        <v>3918</v>
      </c>
      <c r="G2586" s="1" t="s">
        <v>4983</v>
      </c>
    </row>
    <row r="2587" spans="1:7" x14ac:dyDescent="0.45">
      <c r="A2587" s="1" t="s">
        <v>7887</v>
      </c>
      <c r="B2587" s="1" t="s">
        <v>7888</v>
      </c>
      <c r="C2587" s="1" t="s">
        <v>255</v>
      </c>
      <c r="D2587" s="1" t="s">
        <v>8399</v>
      </c>
      <c r="E2587" s="1" t="s">
        <v>3917</v>
      </c>
      <c r="F2587" s="1" t="s">
        <v>3918</v>
      </c>
      <c r="G2587" s="1" t="s">
        <v>4983</v>
      </c>
    </row>
    <row r="2588" spans="1:7" x14ac:dyDescent="0.45">
      <c r="A2588" s="1" t="s">
        <v>1840</v>
      </c>
      <c r="B2588" s="1" t="s">
        <v>1841</v>
      </c>
      <c r="C2588" s="1" t="s">
        <v>255</v>
      </c>
      <c r="D2588" s="1" t="s">
        <v>3197</v>
      </c>
      <c r="E2588" s="1" t="s">
        <v>3917</v>
      </c>
      <c r="F2588" s="1" t="s">
        <v>3918</v>
      </c>
      <c r="G2588" s="1" t="s">
        <v>4983</v>
      </c>
    </row>
    <row r="2589" spans="1:7" x14ac:dyDescent="0.45">
      <c r="A2589" s="1" t="s">
        <v>7889</v>
      </c>
      <c r="B2589" s="1" t="s">
        <v>5258</v>
      </c>
      <c r="C2589" s="1" t="s">
        <v>255</v>
      </c>
      <c r="D2589" s="1" t="s">
        <v>5259</v>
      </c>
      <c r="E2589" s="1" t="s">
        <v>3917</v>
      </c>
      <c r="F2589" s="1" t="s">
        <v>3918</v>
      </c>
      <c r="G2589" s="1" t="s">
        <v>4983</v>
      </c>
    </row>
    <row r="2590" spans="1:7" x14ac:dyDescent="0.45">
      <c r="A2590" s="1" t="s">
        <v>4632</v>
      </c>
      <c r="B2590" s="1" t="s">
        <v>4633</v>
      </c>
      <c r="C2590" s="1" t="s">
        <v>255</v>
      </c>
      <c r="D2590" s="1" t="s">
        <v>4964</v>
      </c>
      <c r="E2590" s="1" t="s">
        <v>3917</v>
      </c>
      <c r="F2590" s="1" t="s">
        <v>3918</v>
      </c>
      <c r="G2590" s="1" t="s">
        <v>4983</v>
      </c>
    </row>
    <row r="2591" spans="1:7" x14ac:dyDescent="0.45">
      <c r="A2591" s="1" t="s">
        <v>7890</v>
      </c>
      <c r="B2591" s="1" t="s">
        <v>7891</v>
      </c>
      <c r="C2591" s="1" t="s">
        <v>255</v>
      </c>
      <c r="D2591" s="1" t="s">
        <v>8400</v>
      </c>
      <c r="E2591" s="1" t="s">
        <v>3917</v>
      </c>
      <c r="F2591" s="1" t="s">
        <v>3918</v>
      </c>
      <c r="G2591" s="1" t="s">
        <v>4983</v>
      </c>
    </row>
    <row r="2592" spans="1:7" x14ac:dyDescent="0.45">
      <c r="A2592" s="1" t="s">
        <v>4634</v>
      </c>
      <c r="B2592" s="1" t="s">
        <v>4635</v>
      </c>
      <c r="C2592" s="1" t="s">
        <v>255</v>
      </c>
      <c r="D2592" s="1" t="s">
        <v>4965</v>
      </c>
      <c r="E2592" s="1" t="s">
        <v>3917</v>
      </c>
      <c r="F2592" s="1" t="s">
        <v>3918</v>
      </c>
      <c r="G2592" s="1" t="s">
        <v>4983</v>
      </c>
    </row>
    <row r="2593" spans="1:7" x14ac:dyDescent="0.45">
      <c r="A2593" s="1" t="s">
        <v>3894</v>
      </c>
      <c r="B2593" s="1" t="s">
        <v>3895</v>
      </c>
      <c r="C2593" s="1" t="s">
        <v>255</v>
      </c>
      <c r="D2593" s="1" t="s">
        <v>3896</v>
      </c>
      <c r="E2593" s="1" t="s">
        <v>3917</v>
      </c>
      <c r="F2593" s="1" t="s">
        <v>3918</v>
      </c>
      <c r="G2593" s="1" t="s">
        <v>4983</v>
      </c>
    </row>
    <row r="2594" spans="1:7" x14ac:dyDescent="0.45">
      <c r="A2594" s="1" t="s">
        <v>11207</v>
      </c>
      <c r="B2594" s="1" t="s">
        <v>5050</v>
      </c>
      <c r="C2594" s="1" t="s">
        <v>255</v>
      </c>
      <c r="D2594" s="1" t="s">
        <v>5051</v>
      </c>
      <c r="E2594" s="1" t="s">
        <v>3917</v>
      </c>
      <c r="F2594" s="1" t="s">
        <v>3918</v>
      </c>
      <c r="G2594" s="1" t="s">
        <v>4983</v>
      </c>
    </row>
    <row r="2595" spans="1:7" x14ac:dyDescent="0.45">
      <c r="A2595" s="1" t="s">
        <v>4636</v>
      </c>
      <c r="B2595" s="1" t="s">
        <v>4637</v>
      </c>
      <c r="C2595" s="1" t="s">
        <v>255</v>
      </c>
      <c r="D2595" s="1" t="s">
        <v>4966</v>
      </c>
      <c r="E2595" s="1" t="s">
        <v>3917</v>
      </c>
      <c r="F2595" s="1" t="s">
        <v>3918</v>
      </c>
      <c r="G2595" s="1" t="s">
        <v>4983</v>
      </c>
    </row>
    <row r="2596" spans="1:7" x14ac:dyDescent="0.45">
      <c r="A2596" s="1" t="s">
        <v>4638</v>
      </c>
      <c r="B2596" s="1" t="s">
        <v>4639</v>
      </c>
      <c r="C2596" s="1" t="s">
        <v>255</v>
      </c>
      <c r="D2596" s="1" t="s">
        <v>4967</v>
      </c>
      <c r="E2596" s="1" t="s">
        <v>3917</v>
      </c>
      <c r="F2596" s="1" t="s">
        <v>3918</v>
      </c>
      <c r="G2596" s="1" t="s">
        <v>4983</v>
      </c>
    </row>
    <row r="2597" spans="1:7" x14ac:dyDescent="0.45">
      <c r="A2597" s="1" t="s">
        <v>11208</v>
      </c>
      <c r="B2597" s="1" t="s">
        <v>11209</v>
      </c>
      <c r="C2597" s="1" t="s">
        <v>255</v>
      </c>
      <c r="D2597" s="1" t="s">
        <v>11805</v>
      </c>
      <c r="E2597" s="1" t="s">
        <v>3917</v>
      </c>
      <c r="F2597" s="1" t="s">
        <v>3918</v>
      </c>
      <c r="G2597" s="1" t="s">
        <v>4983</v>
      </c>
    </row>
    <row r="2598" spans="1:7" x14ac:dyDescent="0.45">
      <c r="A2598" s="1" t="s">
        <v>306</v>
      </c>
      <c r="B2598" s="1" t="s">
        <v>305</v>
      </c>
      <c r="C2598" s="1" t="s">
        <v>255</v>
      </c>
      <c r="D2598" s="1" t="s">
        <v>3204</v>
      </c>
      <c r="E2598" s="1" t="s">
        <v>3917</v>
      </c>
      <c r="F2598" s="1" t="s">
        <v>3918</v>
      </c>
      <c r="G2598" s="1" t="s">
        <v>4983</v>
      </c>
    </row>
    <row r="2599" spans="1:7" x14ac:dyDescent="0.45">
      <c r="A2599" s="1" t="s">
        <v>4640</v>
      </c>
      <c r="B2599" s="1" t="s">
        <v>4641</v>
      </c>
      <c r="C2599" s="1" t="s">
        <v>255</v>
      </c>
      <c r="D2599" s="1" t="s">
        <v>4968</v>
      </c>
      <c r="E2599" s="1" t="s">
        <v>3917</v>
      </c>
      <c r="F2599" s="1" t="s">
        <v>3918</v>
      </c>
      <c r="G2599" s="1" t="s">
        <v>4983</v>
      </c>
    </row>
    <row r="2600" spans="1:7" x14ac:dyDescent="0.45">
      <c r="A2600" s="1" t="s">
        <v>11210</v>
      </c>
      <c r="B2600" s="1" t="s">
        <v>11211</v>
      </c>
      <c r="C2600" s="1" t="s">
        <v>255</v>
      </c>
      <c r="D2600" s="1" t="s">
        <v>11806</v>
      </c>
      <c r="E2600" s="1" t="s">
        <v>3917</v>
      </c>
      <c r="F2600" s="1" t="s">
        <v>3918</v>
      </c>
      <c r="G2600" s="1" t="s">
        <v>4983</v>
      </c>
    </row>
    <row r="2601" spans="1:7" x14ac:dyDescent="0.45">
      <c r="A2601" s="1" t="s">
        <v>11212</v>
      </c>
      <c r="B2601" s="1" t="s">
        <v>11213</v>
      </c>
      <c r="C2601" s="1" t="s">
        <v>255</v>
      </c>
      <c r="D2601" s="1" t="s">
        <v>11807</v>
      </c>
      <c r="E2601" s="1" t="s">
        <v>3917</v>
      </c>
      <c r="F2601" s="1" t="s">
        <v>3918</v>
      </c>
      <c r="G2601" s="1" t="s">
        <v>4983</v>
      </c>
    </row>
    <row r="2602" spans="1:7" x14ac:dyDescent="0.45">
      <c r="A2602" s="1" t="s">
        <v>11214</v>
      </c>
      <c r="B2602" s="1" t="s">
        <v>11215</v>
      </c>
      <c r="C2602" s="1" t="s">
        <v>255</v>
      </c>
      <c r="D2602" s="1" t="s">
        <v>11808</v>
      </c>
      <c r="E2602" s="1" t="s">
        <v>3917</v>
      </c>
      <c r="F2602" s="1" t="s">
        <v>3918</v>
      </c>
      <c r="G2602" s="1" t="s">
        <v>4983</v>
      </c>
    </row>
    <row r="2603" spans="1:7" x14ac:dyDescent="0.45">
      <c r="A2603" s="1" t="s">
        <v>7896</v>
      </c>
      <c r="B2603" s="1" t="s">
        <v>5526</v>
      </c>
      <c r="C2603" s="1" t="s">
        <v>255</v>
      </c>
      <c r="D2603" s="1" t="s">
        <v>5527</v>
      </c>
      <c r="E2603" s="1" t="s">
        <v>3917</v>
      </c>
      <c r="F2603" s="1" t="s">
        <v>3918</v>
      </c>
      <c r="G2603" s="1" t="s">
        <v>4983</v>
      </c>
    </row>
    <row r="2604" spans="1:7" x14ac:dyDescent="0.45">
      <c r="A2604" s="1" t="s">
        <v>7897</v>
      </c>
      <c r="B2604" s="1" t="s">
        <v>5661</v>
      </c>
      <c r="C2604" s="1" t="s">
        <v>255</v>
      </c>
      <c r="D2604" s="1" t="s">
        <v>5662</v>
      </c>
      <c r="E2604" s="1" t="s">
        <v>3917</v>
      </c>
      <c r="F2604" s="1" t="s">
        <v>3918</v>
      </c>
      <c r="G2604" s="1" t="s">
        <v>4983</v>
      </c>
    </row>
    <row r="2605" spans="1:7" x14ac:dyDescent="0.45">
      <c r="A2605" s="1" t="s">
        <v>7898</v>
      </c>
      <c r="B2605" s="1" t="s">
        <v>7899</v>
      </c>
      <c r="C2605" s="1" t="s">
        <v>255</v>
      </c>
      <c r="D2605" s="1" t="s">
        <v>8403</v>
      </c>
      <c r="E2605" s="1" t="s">
        <v>3917</v>
      </c>
      <c r="F2605" s="1" t="s">
        <v>3918</v>
      </c>
      <c r="G2605" s="1" t="s">
        <v>4983</v>
      </c>
    </row>
    <row r="2606" spans="1:7" x14ac:dyDescent="0.45">
      <c r="A2606" s="1" t="s">
        <v>1845</v>
      </c>
      <c r="B2606" s="1" t="s">
        <v>1846</v>
      </c>
      <c r="C2606" s="1" t="s">
        <v>255</v>
      </c>
      <c r="D2606" s="1" t="s">
        <v>3205</v>
      </c>
      <c r="E2606" s="1" t="s">
        <v>3919</v>
      </c>
      <c r="F2606" s="1" t="s">
        <v>3918</v>
      </c>
      <c r="G2606" s="1" t="s">
        <v>4983</v>
      </c>
    </row>
    <row r="2607" spans="1:7" x14ac:dyDescent="0.45">
      <c r="A2607" s="1" t="s">
        <v>3897</v>
      </c>
      <c r="B2607" s="1" t="s">
        <v>3898</v>
      </c>
      <c r="C2607" s="1" t="s">
        <v>255</v>
      </c>
      <c r="D2607" s="1" t="s">
        <v>3899</v>
      </c>
      <c r="E2607" s="1" t="s">
        <v>3917</v>
      </c>
      <c r="F2607" s="1" t="s">
        <v>3918</v>
      </c>
      <c r="G2607" s="1" t="s">
        <v>4983</v>
      </c>
    </row>
    <row r="2608" spans="1:7" x14ac:dyDescent="0.45">
      <c r="A2608" s="1" t="s">
        <v>3206</v>
      </c>
      <c r="B2608" s="1" t="s">
        <v>3207</v>
      </c>
      <c r="C2608" s="1" t="s">
        <v>255</v>
      </c>
      <c r="D2608" s="1" t="s">
        <v>3208</v>
      </c>
      <c r="E2608" s="1" t="s">
        <v>3917</v>
      </c>
      <c r="F2608" s="1" t="s">
        <v>3918</v>
      </c>
      <c r="G2608" s="1" t="s">
        <v>4983</v>
      </c>
    </row>
    <row r="2609" spans="1:7" x14ac:dyDescent="0.45">
      <c r="A2609" s="1" t="s">
        <v>4642</v>
      </c>
      <c r="B2609" s="1" t="s">
        <v>4643</v>
      </c>
      <c r="C2609" s="1" t="s">
        <v>255</v>
      </c>
      <c r="D2609" s="1" t="s">
        <v>4969</v>
      </c>
      <c r="E2609" s="1" t="s">
        <v>3917</v>
      </c>
      <c r="F2609" s="1" t="s">
        <v>3918</v>
      </c>
      <c r="G2609" s="1" t="s">
        <v>4983</v>
      </c>
    </row>
    <row r="2610" spans="1:7" x14ac:dyDescent="0.45">
      <c r="A2610" s="1" t="s">
        <v>7900</v>
      </c>
      <c r="B2610" s="1" t="s">
        <v>7901</v>
      </c>
      <c r="C2610" s="1" t="s">
        <v>255</v>
      </c>
      <c r="D2610" s="1" t="s">
        <v>8404</v>
      </c>
      <c r="E2610" s="1" t="s">
        <v>3917</v>
      </c>
      <c r="F2610" s="1" t="s">
        <v>3918</v>
      </c>
      <c r="G2610" s="1" t="s">
        <v>4983</v>
      </c>
    </row>
    <row r="2611" spans="1:7" x14ac:dyDescent="0.45">
      <c r="A2611" s="1" t="s">
        <v>7902</v>
      </c>
      <c r="B2611" s="1" t="s">
        <v>7903</v>
      </c>
      <c r="C2611" s="1" t="s">
        <v>255</v>
      </c>
      <c r="D2611" s="1" t="s">
        <v>8405</v>
      </c>
      <c r="E2611" s="1" t="s">
        <v>3917</v>
      </c>
      <c r="F2611" s="1" t="s">
        <v>3918</v>
      </c>
      <c r="G2611" s="1" t="s">
        <v>4983</v>
      </c>
    </row>
    <row r="2612" spans="1:7" x14ac:dyDescent="0.45">
      <c r="A2612" s="1" t="s">
        <v>1847</v>
      </c>
      <c r="B2612" s="1" t="s">
        <v>1848</v>
      </c>
      <c r="C2612" s="1" t="s">
        <v>255</v>
      </c>
      <c r="D2612" s="1" t="s">
        <v>3209</v>
      </c>
      <c r="E2612" s="1" t="s">
        <v>3917</v>
      </c>
      <c r="F2612" s="1" t="s">
        <v>3918</v>
      </c>
      <c r="G2612" s="1" t="s">
        <v>4983</v>
      </c>
    </row>
    <row r="2613" spans="1:7" x14ac:dyDescent="0.45">
      <c r="A2613" s="1" t="s">
        <v>3900</v>
      </c>
      <c r="B2613" s="1" t="s">
        <v>3901</v>
      </c>
      <c r="C2613" s="1" t="s">
        <v>255</v>
      </c>
      <c r="D2613" s="1" t="s">
        <v>3902</v>
      </c>
      <c r="E2613" s="1" t="s">
        <v>3917</v>
      </c>
      <c r="F2613" s="1" t="s">
        <v>3918</v>
      </c>
      <c r="G2613" s="1" t="s">
        <v>4983</v>
      </c>
    </row>
    <row r="2614" spans="1:7" x14ac:dyDescent="0.45">
      <c r="A2614" s="1" t="s">
        <v>3903</v>
      </c>
      <c r="B2614" s="1" t="s">
        <v>3904</v>
      </c>
      <c r="C2614" s="1" t="s">
        <v>255</v>
      </c>
      <c r="D2614" s="1" t="s">
        <v>3905</v>
      </c>
      <c r="E2614" s="1" t="s">
        <v>3917</v>
      </c>
      <c r="F2614" s="1" t="s">
        <v>3918</v>
      </c>
      <c r="G2614" s="1" t="s">
        <v>4983</v>
      </c>
    </row>
    <row r="2615" spans="1:7" x14ac:dyDescent="0.45">
      <c r="A2615" s="1" t="s">
        <v>11216</v>
      </c>
      <c r="B2615" s="1" t="s">
        <v>11217</v>
      </c>
      <c r="C2615" s="1" t="s">
        <v>255</v>
      </c>
      <c r="D2615" s="1" t="s">
        <v>11809</v>
      </c>
      <c r="E2615" s="1" t="s">
        <v>3917</v>
      </c>
      <c r="F2615" s="1" t="s">
        <v>3918</v>
      </c>
      <c r="G2615" s="1" t="s">
        <v>4983</v>
      </c>
    </row>
    <row r="2616" spans="1:7" x14ac:dyDescent="0.45">
      <c r="A2616" s="1" t="s">
        <v>7904</v>
      </c>
      <c r="B2616" s="1" t="s">
        <v>7905</v>
      </c>
      <c r="C2616" s="1" t="s">
        <v>255</v>
      </c>
      <c r="D2616" s="1" t="s">
        <v>8406</v>
      </c>
      <c r="E2616" s="1" t="s">
        <v>3917</v>
      </c>
      <c r="F2616" s="1" t="s">
        <v>3918</v>
      </c>
      <c r="G2616" s="1" t="s">
        <v>4983</v>
      </c>
    </row>
    <row r="2617" spans="1:7" x14ac:dyDescent="0.45">
      <c r="A2617" s="1" t="s">
        <v>7906</v>
      </c>
      <c r="B2617" s="1" t="s">
        <v>5570</v>
      </c>
      <c r="C2617" s="1" t="s">
        <v>255</v>
      </c>
      <c r="D2617" s="1" t="s">
        <v>5571</v>
      </c>
      <c r="E2617" s="1" t="s">
        <v>3917</v>
      </c>
      <c r="F2617" s="1" t="s">
        <v>3918</v>
      </c>
      <c r="G2617" s="1" t="s">
        <v>4983</v>
      </c>
    </row>
    <row r="2618" spans="1:7" x14ac:dyDescent="0.45">
      <c r="A2618" s="1" t="s">
        <v>4644</v>
      </c>
      <c r="B2618" s="1" t="s">
        <v>4645</v>
      </c>
      <c r="C2618" s="1" t="s">
        <v>255</v>
      </c>
      <c r="D2618" s="1" t="s">
        <v>4970</v>
      </c>
      <c r="E2618" s="1" t="s">
        <v>3917</v>
      </c>
      <c r="F2618" s="1" t="s">
        <v>3918</v>
      </c>
      <c r="G2618" s="1" t="s">
        <v>4983</v>
      </c>
    </row>
    <row r="2619" spans="1:7" x14ac:dyDescent="0.45">
      <c r="A2619" s="1" t="s">
        <v>11218</v>
      </c>
      <c r="B2619" s="1" t="s">
        <v>11219</v>
      </c>
      <c r="C2619" s="1" t="s">
        <v>255</v>
      </c>
      <c r="D2619" s="1" t="s">
        <v>11810</v>
      </c>
      <c r="E2619" s="1" t="s">
        <v>3917</v>
      </c>
      <c r="F2619" s="1" t="s">
        <v>3918</v>
      </c>
      <c r="G2619" s="1" t="s">
        <v>4983</v>
      </c>
    </row>
    <row r="2620" spans="1:7" x14ac:dyDescent="0.45">
      <c r="A2620" s="1" t="s">
        <v>4646</v>
      </c>
      <c r="B2620" s="1" t="s">
        <v>3274</v>
      </c>
      <c r="C2620" s="1" t="s">
        <v>255</v>
      </c>
      <c r="D2620" s="1" t="s">
        <v>3275</v>
      </c>
      <c r="E2620" s="1" t="s">
        <v>3917</v>
      </c>
      <c r="F2620" s="1" t="s">
        <v>3918</v>
      </c>
      <c r="G2620" s="1" t="s">
        <v>4983</v>
      </c>
    </row>
    <row r="2621" spans="1:7" x14ac:dyDescent="0.45">
      <c r="A2621" s="1" t="s">
        <v>11220</v>
      </c>
      <c r="B2621" s="1" t="s">
        <v>11221</v>
      </c>
      <c r="C2621" s="1" t="s">
        <v>255</v>
      </c>
      <c r="D2621" s="1" t="s">
        <v>11811</v>
      </c>
      <c r="E2621" s="1" t="s">
        <v>3917</v>
      </c>
      <c r="F2621" s="1" t="s">
        <v>3918</v>
      </c>
      <c r="G2621" s="1" t="s">
        <v>4983</v>
      </c>
    </row>
    <row r="2622" spans="1:7" x14ac:dyDescent="0.45">
      <c r="A2622" s="1" t="s">
        <v>4647</v>
      </c>
      <c r="B2622" s="1" t="s">
        <v>4648</v>
      </c>
      <c r="C2622" s="1" t="s">
        <v>255</v>
      </c>
      <c r="D2622" s="1" t="s">
        <v>4971</v>
      </c>
      <c r="E2622" s="1" t="s">
        <v>3917</v>
      </c>
      <c r="F2622" s="1" t="s">
        <v>3918</v>
      </c>
      <c r="G2622" s="1" t="s">
        <v>4983</v>
      </c>
    </row>
    <row r="2623" spans="1:7" x14ac:dyDescent="0.45">
      <c r="A2623" s="1" t="s">
        <v>11222</v>
      </c>
      <c r="B2623" s="1" t="s">
        <v>11223</v>
      </c>
      <c r="C2623" s="1" t="s">
        <v>255</v>
      </c>
      <c r="D2623" s="1" t="s">
        <v>11812</v>
      </c>
      <c r="E2623" s="1" t="s">
        <v>3917</v>
      </c>
      <c r="F2623" s="1" t="s">
        <v>3918</v>
      </c>
      <c r="G2623" s="1" t="s">
        <v>4983</v>
      </c>
    </row>
    <row r="2624" spans="1:7" x14ac:dyDescent="0.45">
      <c r="A2624" s="1" t="s">
        <v>7907</v>
      </c>
      <c r="B2624" s="1" t="s">
        <v>7908</v>
      </c>
      <c r="C2624" s="1" t="s">
        <v>255</v>
      </c>
      <c r="D2624" s="1" t="s">
        <v>8407</v>
      </c>
      <c r="E2624" s="1" t="s">
        <v>3917</v>
      </c>
      <c r="F2624" s="1" t="s">
        <v>3918</v>
      </c>
      <c r="G2624" s="1" t="s">
        <v>4983</v>
      </c>
    </row>
    <row r="2625" spans="1:7" x14ac:dyDescent="0.45">
      <c r="A2625" s="1" t="s">
        <v>3210</v>
      </c>
      <c r="B2625" s="1" t="s">
        <v>3211</v>
      </c>
      <c r="C2625" s="1" t="s">
        <v>255</v>
      </c>
      <c r="D2625" s="1" t="s">
        <v>3212</v>
      </c>
      <c r="E2625" s="1" t="s">
        <v>3917</v>
      </c>
      <c r="F2625" s="1" t="s">
        <v>3918</v>
      </c>
      <c r="G2625" s="1" t="s">
        <v>4983</v>
      </c>
    </row>
    <row r="2626" spans="1:7" x14ac:dyDescent="0.45">
      <c r="A2626" s="1" t="s">
        <v>868</v>
      </c>
      <c r="B2626" s="1" t="s">
        <v>1849</v>
      </c>
      <c r="C2626" s="1" t="s">
        <v>255</v>
      </c>
      <c r="D2626" s="1" t="s">
        <v>3213</v>
      </c>
      <c r="E2626" s="1" t="s">
        <v>3919</v>
      </c>
      <c r="F2626" s="1" t="s">
        <v>3918</v>
      </c>
      <c r="G2626" s="1" t="s">
        <v>4983</v>
      </c>
    </row>
    <row r="2627" spans="1:7" x14ac:dyDescent="0.45">
      <c r="A2627" s="1" t="s">
        <v>11224</v>
      </c>
      <c r="B2627" s="1" t="s">
        <v>5358</v>
      </c>
      <c r="C2627" s="1" t="s">
        <v>255</v>
      </c>
      <c r="D2627" s="1" t="s">
        <v>5359</v>
      </c>
      <c r="E2627" s="1" t="s">
        <v>3917</v>
      </c>
      <c r="F2627" s="1" t="s">
        <v>3918</v>
      </c>
      <c r="G2627" s="1" t="s">
        <v>4983</v>
      </c>
    </row>
    <row r="2628" spans="1:7" x14ac:dyDescent="0.45">
      <c r="A2628" s="1" t="s">
        <v>11225</v>
      </c>
      <c r="B2628" s="1" t="s">
        <v>11226</v>
      </c>
      <c r="C2628" s="1" t="s">
        <v>255</v>
      </c>
      <c r="D2628" s="1" t="s">
        <v>11813</v>
      </c>
      <c r="E2628" s="1" t="s">
        <v>3917</v>
      </c>
      <c r="F2628" s="1" t="s">
        <v>3918</v>
      </c>
      <c r="G2628" s="1" t="s">
        <v>4983</v>
      </c>
    </row>
    <row r="2629" spans="1:7" x14ac:dyDescent="0.45">
      <c r="A2629" s="1" t="s">
        <v>11227</v>
      </c>
      <c r="B2629" s="1" t="s">
        <v>11228</v>
      </c>
      <c r="C2629" s="1" t="s">
        <v>255</v>
      </c>
      <c r="D2629" s="1" t="s">
        <v>11814</v>
      </c>
      <c r="E2629" s="1" t="s">
        <v>3917</v>
      </c>
      <c r="F2629" s="1" t="s">
        <v>3918</v>
      </c>
      <c r="G2629" s="1" t="s">
        <v>4983</v>
      </c>
    </row>
    <row r="2630" spans="1:7" x14ac:dyDescent="0.45">
      <c r="A2630" s="1" t="s">
        <v>11229</v>
      </c>
      <c r="B2630" s="1" t="s">
        <v>11230</v>
      </c>
      <c r="C2630" s="1" t="s">
        <v>255</v>
      </c>
      <c r="D2630" s="1" t="s">
        <v>11815</v>
      </c>
      <c r="E2630" s="1" t="s">
        <v>3917</v>
      </c>
      <c r="F2630" s="1" t="s">
        <v>3918</v>
      </c>
      <c r="G2630" s="1" t="s">
        <v>4983</v>
      </c>
    </row>
    <row r="2631" spans="1:7" x14ac:dyDescent="0.45">
      <c r="A2631" s="1" t="s">
        <v>304</v>
      </c>
      <c r="B2631" s="1" t="s">
        <v>303</v>
      </c>
      <c r="C2631" s="1" t="s">
        <v>255</v>
      </c>
      <c r="D2631" s="1" t="s">
        <v>3214</v>
      </c>
      <c r="E2631" s="1" t="s">
        <v>3917</v>
      </c>
      <c r="F2631" s="1" t="s">
        <v>3918</v>
      </c>
      <c r="G2631" s="1" t="s">
        <v>4983</v>
      </c>
    </row>
    <row r="2632" spans="1:7" x14ac:dyDescent="0.45">
      <c r="A2632" s="1" t="s">
        <v>7909</v>
      </c>
      <c r="B2632" s="1" t="s">
        <v>7910</v>
      </c>
      <c r="C2632" s="1" t="s">
        <v>255</v>
      </c>
      <c r="D2632" s="1" t="s">
        <v>8408</v>
      </c>
      <c r="E2632" s="1" t="s">
        <v>3917</v>
      </c>
      <c r="F2632" s="1" t="s">
        <v>3918</v>
      </c>
      <c r="G2632" s="1" t="s">
        <v>4983</v>
      </c>
    </row>
    <row r="2633" spans="1:7" x14ac:dyDescent="0.45">
      <c r="A2633" s="1" t="s">
        <v>11231</v>
      </c>
      <c r="B2633" s="1" t="s">
        <v>11232</v>
      </c>
      <c r="C2633" s="1" t="s">
        <v>255</v>
      </c>
      <c r="D2633" s="1" t="s">
        <v>11816</v>
      </c>
      <c r="E2633" s="1" t="s">
        <v>3917</v>
      </c>
      <c r="F2633" s="1" t="s">
        <v>3918</v>
      </c>
      <c r="G2633" s="1" t="s">
        <v>4983</v>
      </c>
    </row>
    <row r="2634" spans="1:7" x14ac:dyDescent="0.45">
      <c r="A2634" s="1" t="s">
        <v>3906</v>
      </c>
      <c r="B2634" s="1" t="s">
        <v>3907</v>
      </c>
      <c r="C2634" s="1" t="s">
        <v>255</v>
      </c>
      <c r="D2634" s="1" t="s">
        <v>3908</v>
      </c>
      <c r="E2634" s="1" t="s">
        <v>3917</v>
      </c>
      <c r="F2634" s="1" t="s">
        <v>3918</v>
      </c>
      <c r="G2634" s="1" t="s">
        <v>4983</v>
      </c>
    </row>
    <row r="2635" spans="1:7" x14ac:dyDescent="0.45">
      <c r="A2635" s="1" t="s">
        <v>7911</v>
      </c>
      <c r="B2635" s="1" t="s">
        <v>5637</v>
      </c>
      <c r="C2635" s="1" t="s">
        <v>255</v>
      </c>
      <c r="D2635" s="1" t="s">
        <v>5638</v>
      </c>
      <c r="E2635" s="1" t="s">
        <v>3917</v>
      </c>
      <c r="F2635" s="1" t="s">
        <v>3918</v>
      </c>
      <c r="G2635" s="1" t="s">
        <v>4983</v>
      </c>
    </row>
    <row r="2636" spans="1:7" x14ac:dyDescent="0.45">
      <c r="A2636" s="1" t="s">
        <v>11233</v>
      </c>
      <c r="B2636" s="1" t="s">
        <v>11234</v>
      </c>
      <c r="C2636" s="1" t="s">
        <v>255</v>
      </c>
      <c r="D2636" s="1" t="s">
        <v>11817</v>
      </c>
      <c r="E2636" s="1" t="s">
        <v>3917</v>
      </c>
      <c r="F2636" s="1" t="s">
        <v>3918</v>
      </c>
      <c r="G2636" s="1" t="s">
        <v>4983</v>
      </c>
    </row>
    <row r="2637" spans="1:7" x14ac:dyDescent="0.45">
      <c r="A2637" s="1" t="s">
        <v>4649</v>
      </c>
      <c r="B2637" s="1" t="s">
        <v>4650</v>
      </c>
      <c r="C2637" s="1" t="s">
        <v>255</v>
      </c>
      <c r="D2637" s="1" t="s">
        <v>4972</v>
      </c>
      <c r="E2637" s="1" t="s">
        <v>3917</v>
      </c>
      <c r="F2637" s="1" t="s">
        <v>3918</v>
      </c>
      <c r="G2637" s="1" t="s">
        <v>4983</v>
      </c>
    </row>
    <row r="2638" spans="1:7" x14ac:dyDescent="0.45">
      <c r="A2638" s="1" t="s">
        <v>11235</v>
      </c>
      <c r="B2638" s="1" t="s">
        <v>11236</v>
      </c>
      <c r="C2638" s="1" t="s">
        <v>255</v>
      </c>
      <c r="D2638" s="1" t="s">
        <v>11818</v>
      </c>
      <c r="E2638" s="1" t="s">
        <v>3917</v>
      </c>
      <c r="F2638" s="1" t="s">
        <v>3918</v>
      </c>
      <c r="G2638" s="1" t="s">
        <v>4983</v>
      </c>
    </row>
    <row r="2639" spans="1:7" x14ac:dyDescent="0.45">
      <c r="A2639" s="1" t="s">
        <v>11237</v>
      </c>
      <c r="B2639" s="1" t="s">
        <v>11238</v>
      </c>
      <c r="C2639" s="1" t="s">
        <v>255</v>
      </c>
      <c r="D2639" s="1" t="s">
        <v>11819</v>
      </c>
      <c r="E2639" s="1" t="s">
        <v>3917</v>
      </c>
      <c r="F2639" s="1" t="s">
        <v>3918</v>
      </c>
      <c r="G2639" s="1" t="s">
        <v>4983</v>
      </c>
    </row>
    <row r="2640" spans="1:7" x14ac:dyDescent="0.45">
      <c r="A2640" s="1" t="s">
        <v>4651</v>
      </c>
      <c r="B2640" s="1" t="s">
        <v>3360</v>
      </c>
      <c r="C2640" s="1" t="s">
        <v>255</v>
      </c>
      <c r="D2640" s="1" t="s">
        <v>3361</v>
      </c>
      <c r="E2640" s="1" t="s">
        <v>3917</v>
      </c>
      <c r="F2640" s="1" t="s">
        <v>3918</v>
      </c>
      <c r="G2640" s="1" t="s">
        <v>4983</v>
      </c>
    </row>
    <row r="2641" spans="1:7" x14ac:dyDescent="0.45">
      <c r="A2641" s="1" t="s">
        <v>7912</v>
      </c>
      <c r="B2641" s="1" t="s">
        <v>7913</v>
      </c>
      <c r="C2641" s="1" t="s">
        <v>255</v>
      </c>
      <c r="D2641" s="1" t="s">
        <v>8409</v>
      </c>
      <c r="E2641" s="1" t="s">
        <v>3917</v>
      </c>
      <c r="F2641" s="1" t="s">
        <v>3918</v>
      </c>
      <c r="G2641" s="1" t="s">
        <v>4983</v>
      </c>
    </row>
    <row r="2642" spans="1:7" x14ac:dyDescent="0.45">
      <c r="A2642" s="1" t="s">
        <v>4652</v>
      </c>
      <c r="B2642" s="1" t="s">
        <v>4653</v>
      </c>
      <c r="C2642" s="1" t="s">
        <v>255</v>
      </c>
      <c r="D2642" s="1" t="s">
        <v>4973</v>
      </c>
      <c r="E2642" s="1" t="s">
        <v>3917</v>
      </c>
      <c r="F2642" s="1" t="s">
        <v>3918</v>
      </c>
      <c r="G2642" s="1" t="s">
        <v>4983</v>
      </c>
    </row>
    <row r="2643" spans="1:7" x14ac:dyDescent="0.45">
      <c r="A2643" s="1" t="s">
        <v>4654</v>
      </c>
      <c r="B2643" s="1" t="s">
        <v>4655</v>
      </c>
      <c r="C2643" s="1" t="s">
        <v>255</v>
      </c>
      <c r="D2643" s="1" t="s">
        <v>4974</v>
      </c>
      <c r="E2643" s="1" t="s">
        <v>3919</v>
      </c>
      <c r="F2643" s="1" t="s">
        <v>3918</v>
      </c>
      <c r="G2643" s="1" t="s">
        <v>4983</v>
      </c>
    </row>
    <row r="2644" spans="1:7" x14ac:dyDescent="0.45">
      <c r="A2644" s="1" t="s">
        <v>11239</v>
      </c>
      <c r="B2644" s="1" t="s">
        <v>11240</v>
      </c>
      <c r="C2644" s="1" t="s">
        <v>255</v>
      </c>
      <c r="D2644" s="1" t="s">
        <v>5715</v>
      </c>
      <c r="E2644" s="1" t="s">
        <v>3917</v>
      </c>
      <c r="F2644" s="1" t="s">
        <v>3918</v>
      </c>
      <c r="G2644" s="1" t="s">
        <v>4983</v>
      </c>
    </row>
    <row r="2645" spans="1:7" x14ac:dyDescent="0.45">
      <c r="A2645" s="1" t="s">
        <v>11241</v>
      </c>
      <c r="B2645" s="1" t="s">
        <v>11242</v>
      </c>
      <c r="C2645" s="1" t="s">
        <v>255</v>
      </c>
      <c r="D2645" s="1" t="s">
        <v>11820</v>
      </c>
      <c r="E2645" s="1" t="s">
        <v>3917</v>
      </c>
      <c r="F2645" s="1" t="s">
        <v>3918</v>
      </c>
      <c r="G2645" s="1" t="s">
        <v>4983</v>
      </c>
    </row>
    <row r="2646" spans="1:7" x14ac:dyDescent="0.45">
      <c r="A2646" s="1" t="s">
        <v>7914</v>
      </c>
      <c r="B2646" s="1" t="s">
        <v>7915</v>
      </c>
      <c r="C2646" s="1" t="s">
        <v>255</v>
      </c>
      <c r="D2646" s="1" t="s">
        <v>8410</v>
      </c>
      <c r="E2646" s="1" t="s">
        <v>3917</v>
      </c>
      <c r="F2646" s="1" t="s">
        <v>3918</v>
      </c>
      <c r="G2646" s="1" t="s">
        <v>4983</v>
      </c>
    </row>
    <row r="2647" spans="1:7" x14ac:dyDescent="0.45">
      <c r="A2647" s="1" t="s">
        <v>7916</v>
      </c>
      <c r="B2647" s="1" t="s">
        <v>7917</v>
      </c>
      <c r="C2647" s="1" t="s">
        <v>255</v>
      </c>
      <c r="D2647" s="1" t="s">
        <v>8411</v>
      </c>
      <c r="E2647" s="1" t="s">
        <v>3917</v>
      </c>
      <c r="F2647" s="1" t="s">
        <v>3918</v>
      </c>
      <c r="G2647" s="1" t="s">
        <v>4983</v>
      </c>
    </row>
    <row r="2648" spans="1:7" x14ac:dyDescent="0.45">
      <c r="A2648" s="1" t="s">
        <v>7918</v>
      </c>
      <c r="B2648" s="1" t="s">
        <v>7919</v>
      </c>
      <c r="C2648" s="1" t="s">
        <v>255</v>
      </c>
      <c r="D2648" s="1" t="s">
        <v>8412</v>
      </c>
      <c r="E2648" s="1" t="s">
        <v>3917</v>
      </c>
      <c r="F2648" s="1" t="s">
        <v>3918</v>
      </c>
      <c r="G2648" s="1" t="s">
        <v>4983</v>
      </c>
    </row>
    <row r="2649" spans="1:7" x14ac:dyDescent="0.45">
      <c r="A2649" s="1" t="s">
        <v>302</v>
      </c>
      <c r="B2649" s="1" t="s">
        <v>301</v>
      </c>
      <c r="C2649" s="1" t="s">
        <v>255</v>
      </c>
      <c r="D2649" s="1" t="s">
        <v>3215</v>
      </c>
      <c r="E2649" s="1" t="s">
        <v>3917</v>
      </c>
      <c r="F2649" s="1" t="s">
        <v>3918</v>
      </c>
      <c r="G2649" s="1" t="s">
        <v>4983</v>
      </c>
    </row>
    <row r="2650" spans="1:7" x14ac:dyDescent="0.45">
      <c r="A2650" s="1" t="s">
        <v>4656</v>
      </c>
      <c r="B2650" s="1" t="s">
        <v>4657</v>
      </c>
      <c r="C2650" s="1" t="s">
        <v>255</v>
      </c>
      <c r="D2650" s="1" t="s">
        <v>4975</v>
      </c>
      <c r="E2650" s="1" t="s">
        <v>3917</v>
      </c>
      <c r="F2650" s="1" t="s">
        <v>3918</v>
      </c>
      <c r="G2650" s="1" t="s">
        <v>4983</v>
      </c>
    </row>
    <row r="2651" spans="1:7" x14ac:dyDescent="0.45">
      <c r="A2651" s="1" t="s">
        <v>300</v>
      </c>
      <c r="B2651" s="1" t="s">
        <v>299</v>
      </c>
      <c r="C2651" s="1" t="s">
        <v>255</v>
      </c>
      <c r="D2651" s="1" t="s">
        <v>3216</v>
      </c>
      <c r="E2651" s="1" t="s">
        <v>3917</v>
      </c>
      <c r="F2651" s="1" t="s">
        <v>3918</v>
      </c>
      <c r="G2651" s="1" t="s">
        <v>4983</v>
      </c>
    </row>
    <row r="2652" spans="1:7" x14ac:dyDescent="0.45">
      <c r="A2652" s="1" t="s">
        <v>7920</v>
      </c>
      <c r="B2652" s="1" t="s">
        <v>5292</v>
      </c>
      <c r="C2652" s="1" t="s">
        <v>255</v>
      </c>
      <c r="D2652" s="1" t="s">
        <v>5293</v>
      </c>
      <c r="E2652" s="1" t="s">
        <v>3917</v>
      </c>
      <c r="F2652" s="1" t="s">
        <v>3918</v>
      </c>
      <c r="G2652" s="1" t="s">
        <v>4983</v>
      </c>
    </row>
    <row r="2653" spans="1:7" x14ac:dyDescent="0.45">
      <c r="A2653" s="1" t="s">
        <v>3909</v>
      </c>
      <c r="B2653" s="1" t="s">
        <v>3910</v>
      </c>
      <c r="C2653" s="1" t="s">
        <v>255</v>
      </c>
      <c r="D2653" s="1" t="s">
        <v>3911</v>
      </c>
      <c r="E2653" s="1" t="s">
        <v>3917</v>
      </c>
      <c r="F2653" s="1" t="s">
        <v>3918</v>
      </c>
      <c r="G2653" s="1" t="s">
        <v>4983</v>
      </c>
    </row>
    <row r="2654" spans="1:7" x14ac:dyDescent="0.45">
      <c r="A2654" s="1" t="s">
        <v>11243</v>
      </c>
      <c r="B2654" s="1" t="s">
        <v>11244</v>
      </c>
      <c r="C2654" s="1" t="s">
        <v>255</v>
      </c>
      <c r="D2654" s="1" t="s">
        <v>11821</v>
      </c>
      <c r="E2654" s="1" t="s">
        <v>3917</v>
      </c>
      <c r="F2654" s="1" t="s">
        <v>3918</v>
      </c>
      <c r="G2654" s="1" t="s">
        <v>4983</v>
      </c>
    </row>
    <row r="2655" spans="1:7" x14ac:dyDescent="0.45">
      <c r="A2655" s="1" t="s">
        <v>7921</v>
      </c>
      <c r="B2655" s="1" t="s">
        <v>7922</v>
      </c>
      <c r="C2655" s="1" t="s">
        <v>255</v>
      </c>
      <c r="D2655" s="1" t="s">
        <v>8413</v>
      </c>
      <c r="E2655" s="1" t="s">
        <v>3917</v>
      </c>
      <c r="F2655" s="1" t="s">
        <v>3918</v>
      </c>
      <c r="G2655" s="1" t="s">
        <v>4983</v>
      </c>
    </row>
    <row r="2656" spans="1:7" x14ac:dyDescent="0.45">
      <c r="A2656" s="1" t="s">
        <v>4658</v>
      </c>
      <c r="B2656" s="1" t="s">
        <v>4659</v>
      </c>
      <c r="C2656" s="1" t="s">
        <v>255</v>
      </c>
      <c r="D2656" s="1" t="s">
        <v>4976</v>
      </c>
      <c r="E2656" s="1" t="s">
        <v>3917</v>
      </c>
      <c r="F2656" s="1" t="s">
        <v>3918</v>
      </c>
      <c r="G2656" s="1" t="s">
        <v>4983</v>
      </c>
    </row>
    <row r="2657" spans="1:7" x14ac:dyDescent="0.45">
      <c r="A2657" s="1" t="s">
        <v>298</v>
      </c>
      <c r="B2657" s="1" t="s">
        <v>297</v>
      </c>
      <c r="C2657" s="1" t="s">
        <v>255</v>
      </c>
      <c r="D2657" s="1" t="s">
        <v>3217</v>
      </c>
      <c r="E2657" s="1" t="s">
        <v>3917</v>
      </c>
      <c r="F2657" s="1" t="s">
        <v>3918</v>
      </c>
      <c r="G2657" s="1" t="s">
        <v>4983</v>
      </c>
    </row>
    <row r="2658" spans="1:7" x14ac:dyDescent="0.45">
      <c r="A2658" s="1" t="s">
        <v>7923</v>
      </c>
      <c r="B2658" s="1" t="s">
        <v>7924</v>
      </c>
      <c r="C2658" s="1" t="s">
        <v>255</v>
      </c>
      <c r="D2658" s="1" t="s">
        <v>3217</v>
      </c>
      <c r="E2658" s="1" t="s">
        <v>3917</v>
      </c>
      <c r="F2658" s="1" t="s">
        <v>3918</v>
      </c>
      <c r="G2658" s="1" t="s">
        <v>4983</v>
      </c>
    </row>
    <row r="2659" spans="1:7" x14ac:dyDescent="0.45">
      <c r="A2659" s="1" t="s">
        <v>11245</v>
      </c>
      <c r="B2659" s="1" t="s">
        <v>11246</v>
      </c>
      <c r="C2659" s="1" t="s">
        <v>255</v>
      </c>
      <c r="D2659" s="1" t="s">
        <v>11822</v>
      </c>
      <c r="E2659" s="1" t="s">
        <v>3917</v>
      </c>
      <c r="F2659" s="1" t="s">
        <v>3918</v>
      </c>
      <c r="G2659" s="1" t="s">
        <v>4983</v>
      </c>
    </row>
    <row r="2660" spans="1:7" x14ac:dyDescent="0.45">
      <c r="A2660" s="1" t="s">
        <v>7925</v>
      </c>
      <c r="B2660" s="1" t="s">
        <v>7926</v>
      </c>
      <c r="C2660" s="1" t="s">
        <v>255</v>
      </c>
      <c r="D2660" s="1" t="s">
        <v>8414</v>
      </c>
      <c r="E2660" s="1" t="s">
        <v>3917</v>
      </c>
      <c r="F2660" s="1" t="s">
        <v>3918</v>
      </c>
      <c r="G2660" s="1" t="s">
        <v>4983</v>
      </c>
    </row>
    <row r="2661" spans="1:7" x14ac:dyDescent="0.45">
      <c r="A2661" s="1" t="s">
        <v>7927</v>
      </c>
      <c r="B2661" s="1" t="s">
        <v>7928</v>
      </c>
      <c r="C2661" s="1" t="s">
        <v>255</v>
      </c>
      <c r="D2661" s="1" t="s">
        <v>8415</v>
      </c>
      <c r="E2661" s="1" t="s">
        <v>3917</v>
      </c>
      <c r="F2661" s="1" t="s">
        <v>3918</v>
      </c>
      <c r="G2661" s="1" t="s">
        <v>4983</v>
      </c>
    </row>
    <row r="2662" spans="1:7" x14ac:dyDescent="0.45">
      <c r="A2662" s="1" t="s">
        <v>4660</v>
      </c>
      <c r="B2662" s="1" t="s">
        <v>4661</v>
      </c>
      <c r="C2662" s="1" t="s">
        <v>255</v>
      </c>
      <c r="D2662" s="1" t="s">
        <v>4977</v>
      </c>
      <c r="E2662" s="1" t="s">
        <v>3917</v>
      </c>
      <c r="F2662" s="1" t="s">
        <v>3918</v>
      </c>
      <c r="G2662" s="1" t="s">
        <v>4983</v>
      </c>
    </row>
    <row r="2663" spans="1:7" x14ac:dyDescent="0.45">
      <c r="A2663" s="1" t="s">
        <v>11247</v>
      </c>
      <c r="B2663" s="1" t="s">
        <v>11248</v>
      </c>
      <c r="C2663" s="1" t="s">
        <v>255</v>
      </c>
      <c r="D2663" s="1" t="s">
        <v>11823</v>
      </c>
      <c r="E2663" s="1" t="s">
        <v>3919</v>
      </c>
      <c r="F2663" s="1" t="s">
        <v>3918</v>
      </c>
      <c r="G2663" s="1" t="s">
        <v>4983</v>
      </c>
    </row>
    <row r="2664" spans="1:7" x14ac:dyDescent="0.45">
      <c r="A2664" s="1" t="s">
        <v>1850</v>
      </c>
      <c r="B2664" s="1" t="s">
        <v>1851</v>
      </c>
      <c r="C2664" s="1" t="s">
        <v>255</v>
      </c>
      <c r="D2664" s="1" t="s">
        <v>3218</v>
      </c>
      <c r="E2664" s="1" t="s">
        <v>3917</v>
      </c>
      <c r="F2664" s="1" t="s">
        <v>3918</v>
      </c>
      <c r="G2664" s="1" t="s">
        <v>4983</v>
      </c>
    </row>
    <row r="2665" spans="1:7" x14ac:dyDescent="0.45">
      <c r="A2665" s="1" t="s">
        <v>11249</v>
      </c>
      <c r="B2665" s="1" t="s">
        <v>11250</v>
      </c>
      <c r="C2665" s="1" t="s">
        <v>255</v>
      </c>
      <c r="D2665" s="1" t="s">
        <v>11824</v>
      </c>
      <c r="E2665" s="1" t="s">
        <v>3917</v>
      </c>
      <c r="F2665" s="1" t="s">
        <v>3918</v>
      </c>
      <c r="G2665" s="1" t="s">
        <v>4983</v>
      </c>
    </row>
    <row r="2666" spans="1:7" x14ac:dyDescent="0.45">
      <c r="A2666" s="1" t="s">
        <v>296</v>
      </c>
      <c r="B2666" s="1" t="s">
        <v>295</v>
      </c>
      <c r="C2666" s="1" t="s">
        <v>255</v>
      </c>
      <c r="D2666" s="1" t="s">
        <v>3219</v>
      </c>
      <c r="E2666" s="1" t="s">
        <v>3917</v>
      </c>
      <c r="F2666" s="1" t="s">
        <v>3918</v>
      </c>
      <c r="G2666" s="1" t="s">
        <v>4983</v>
      </c>
    </row>
    <row r="2667" spans="1:7" x14ac:dyDescent="0.45">
      <c r="A2667" s="1" t="s">
        <v>7929</v>
      </c>
      <c r="B2667" s="1" t="s">
        <v>5623</v>
      </c>
      <c r="C2667" s="1" t="s">
        <v>255</v>
      </c>
      <c r="D2667" s="1" t="s">
        <v>5624</v>
      </c>
      <c r="E2667" s="1" t="s">
        <v>3917</v>
      </c>
      <c r="F2667" s="1" t="s">
        <v>3918</v>
      </c>
      <c r="G2667" s="1" t="s">
        <v>4983</v>
      </c>
    </row>
    <row r="2668" spans="1:7" x14ac:dyDescent="0.45">
      <c r="A2668" s="1" t="s">
        <v>11251</v>
      </c>
      <c r="B2668" s="1" t="s">
        <v>11252</v>
      </c>
      <c r="C2668" s="1" t="s">
        <v>255</v>
      </c>
      <c r="D2668" s="1" t="s">
        <v>11825</v>
      </c>
      <c r="E2668" s="1" t="s">
        <v>3917</v>
      </c>
      <c r="F2668" s="1" t="s">
        <v>3918</v>
      </c>
      <c r="G2668" s="1" t="s">
        <v>4983</v>
      </c>
    </row>
    <row r="2669" spans="1:7" x14ac:dyDescent="0.45">
      <c r="A2669" s="1" t="s">
        <v>7930</v>
      </c>
      <c r="B2669" s="1" t="s">
        <v>7931</v>
      </c>
      <c r="C2669" s="1" t="s">
        <v>255</v>
      </c>
      <c r="D2669" s="1" t="s">
        <v>8416</v>
      </c>
      <c r="E2669" s="1" t="s">
        <v>3917</v>
      </c>
      <c r="F2669" s="1" t="s">
        <v>3918</v>
      </c>
      <c r="G2669" s="1" t="s">
        <v>4983</v>
      </c>
    </row>
    <row r="2670" spans="1:7" x14ac:dyDescent="0.45">
      <c r="A2670" s="1" t="s">
        <v>7932</v>
      </c>
      <c r="B2670" s="1" t="s">
        <v>7933</v>
      </c>
      <c r="C2670" s="1" t="s">
        <v>255</v>
      </c>
      <c r="D2670" s="1" t="s">
        <v>8417</v>
      </c>
      <c r="E2670" s="1" t="s">
        <v>3917</v>
      </c>
      <c r="F2670" s="1" t="s">
        <v>3918</v>
      </c>
      <c r="G2670" s="1" t="s">
        <v>4983</v>
      </c>
    </row>
    <row r="2671" spans="1:7" x14ac:dyDescent="0.45">
      <c r="A2671" s="1" t="s">
        <v>3912</v>
      </c>
      <c r="B2671" s="1" t="s">
        <v>3913</v>
      </c>
      <c r="C2671" s="1" t="s">
        <v>255</v>
      </c>
      <c r="D2671" s="1" t="s">
        <v>3914</v>
      </c>
      <c r="E2671" s="1" t="s">
        <v>3917</v>
      </c>
      <c r="F2671" s="1" t="s">
        <v>3918</v>
      </c>
      <c r="G2671" s="1" t="s">
        <v>4983</v>
      </c>
    </row>
    <row r="2672" spans="1:7" x14ac:dyDescent="0.45">
      <c r="A2672" s="1" t="s">
        <v>294</v>
      </c>
      <c r="B2672" s="1" t="s">
        <v>293</v>
      </c>
      <c r="C2672" s="1" t="s">
        <v>255</v>
      </c>
      <c r="D2672" s="1" t="s">
        <v>3220</v>
      </c>
      <c r="E2672" s="1" t="s">
        <v>3917</v>
      </c>
      <c r="F2672" s="1" t="s">
        <v>3918</v>
      </c>
      <c r="G2672" s="1" t="s">
        <v>4983</v>
      </c>
    </row>
    <row r="2673" spans="1:7" x14ac:dyDescent="0.45">
      <c r="A2673" s="1" t="s">
        <v>4662</v>
      </c>
      <c r="B2673" s="1" t="s">
        <v>3330</v>
      </c>
      <c r="C2673" s="1" t="s">
        <v>255</v>
      </c>
      <c r="D2673" s="1" t="s">
        <v>3331</v>
      </c>
      <c r="E2673" s="1" t="s">
        <v>3917</v>
      </c>
      <c r="F2673" s="1" t="s">
        <v>3918</v>
      </c>
      <c r="G2673" s="1" t="s">
        <v>4983</v>
      </c>
    </row>
    <row r="2674" spans="1:7" x14ac:dyDescent="0.45">
      <c r="A2674" s="1" t="s">
        <v>7934</v>
      </c>
      <c r="B2674" s="1" t="s">
        <v>7935</v>
      </c>
      <c r="C2674" s="1" t="s">
        <v>255</v>
      </c>
      <c r="D2674" s="1" t="s">
        <v>8418</v>
      </c>
      <c r="E2674" s="1" t="s">
        <v>3917</v>
      </c>
      <c r="F2674" s="1" t="s">
        <v>3918</v>
      </c>
      <c r="G2674" s="1" t="s">
        <v>4983</v>
      </c>
    </row>
    <row r="2675" spans="1:7" x14ac:dyDescent="0.45">
      <c r="A2675" s="1" t="s">
        <v>11253</v>
      </c>
      <c r="B2675" s="1" t="s">
        <v>11254</v>
      </c>
      <c r="C2675" s="1" t="s">
        <v>255</v>
      </c>
      <c r="D2675" s="1" t="s">
        <v>11826</v>
      </c>
      <c r="E2675" s="1" t="s">
        <v>3917</v>
      </c>
      <c r="F2675" s="1" t="s">
        <v>3918</v>
      </c>
      <c r="G2675" s="1" t="s">
        <v>4983</v>
      </c>
    </row>
    <row r="2676" spans="1:7" x14ac:dyDescent="0.45">
      <c r="A2676" s="1" t="s">
        <v>11255</v>
      </c>
      <c r="B2676" s="1" t="s">
        <v>5039</v>
      </c>
      <c r="C2676" s="1" t="s">
        <v>255</v>
      </c>
      <c r="D2676" s="1" t="s">
        <v>5040</v>
      </c>
      <c r="E2676" s="1" t="s">
        <v>3917</v>
      </c>
      <c r="F2676" s="1" t="s">
        <v>3918</v>
      </c>
      <c r="G2676" s="1" t="s">
        <v>4983</v>
      </c>
    </row>
    <row r="2677" spans="1:7" x14ac:dyDescent="0.45">
      <c r="A2677" s="1" t="s">
        <v>1852</v>
      </c>
      <c r="B2677" s="1" t="s">
        <v>1853</v>
      </c>
      <c r="C2677" s="1" t="s">
        <v>255</v>
      </c>
      <c r="D2677" s="1" t="s">
        <v>3221</v>
      </c>
      <c r="E2677" s="1" t="s">
        <v>3917</v>
      </c>
      <c r="F2677" s="1" t="s">
        <v>3918</v>
      </c>
      <c r="G2677" s="1" t="s">
        <v>4983</v>
      </c>
    </row>
    <row r="2678" spans="1:7" x14ac:dyDescent="0.45">
      <c r="A2678" s="1" t="s">
        <v>3222</v>
      </c>
      <c r="B2678" s="1" t="s">
        <v>3223</v>
      </c>
      <c r="C2678" s="1" t="s">
        <v>255</v>
      </c>
      <c r="D2678" s="1" t="s">
        <v>3224</v>
      </c>
      <c r="E2678" s="1" t="s">
        <v>3917</v>
      </c>
      <c r="F2678" s="1" t="s">
        <v>3918</v>
      </c>
      <c r="G2678" s="1" t="s">
        <v>4983</v>
      </c>
    </row>
    <row r="2679" spans="1:7" x14ac:dyDescent="0.45">
      <c r="A2679" s="1" t="s">
        <v>7936</v>
      </c>
      <c r="B2679" s="1" t="s">
        <v>7937</v>
      </c>
      <c r="C2679" s="1" t="s">
        <v>255</v>
      </c>
      <c r="D2679" s="1" t="s">
        <v>8419</v>
      </c>
      <c r="E2679" s="1" t="s">
        <v>3917</v>
      </c>
      <c r="F2679" s="1" t="s">
        <v>3918</v>
      </c>
      <c r="G2679" s="1" t="s">
        <v>4983</v>
      </c>
    </row>
    <row r="2680" spans="1:7" x14ac:dyDescent="0.45">
      <c r="A2680" s="1" t="s">
        <v>11256</v>
      </c>
      <c r="B2680" s="1" t="s">
        <v>11257</v>
      </c>
      <c r="C2680" s="1" t="s">
        <v>255</v>
      </c>
      <c r="D2680" s="1" t="s">
        <v>11827</v>
      </c>
      <c r="E2680" s="1" t="s">
        <v>3917</v>
      </c>
      <c r="F2680" s="1" t="s">
        <v>3918</v>
      </c>
      <c r="G2680" s="1" t="s">
        <v>4983</v>
      </c>
    </row>
    <row r="2681" spans="1:7" x14ac:dyDescent="0.45">
      <c r="A2681" s="1" t="s">
        <v>4665</v>
      </c>
      <c r="B2681" s="1" t="s">
        <v>3312</v>
      </c>
      <c r="C2681" s="1" t="s">
        <v>255</v>
      </c>
      <c r="D2681" s="1" t="s">
        <v>3313</v>
      </c>
      <c r="E2681" s="1" t="s">
        <v>3917</v>
      </c>
      <c r="F2681" s="1" t="s">
        <v>3918</v>
      </c>
      <c r="G2681" s="1" t="s">
        <v>4983</v>
      </c>
    </row>
    <row r="2682" spans="1:7" x14ac:dyDescent="0.45">
      <c r="A2682" s="1" t="s">
        <v>11258</v>
      </c>
      <c r="B2682" s="1" t="s">
        <v>11259</v>
      </c>
      <c r="C2682" s="1" t="s">
        <v>255</v>
      </c>
      <c r="D2682" s="1" t="s">
        <v>2584</v>
      </c>
      <c r="E2682" s="1" t="s">
        <v>3917</v>
      </c>
      <c r="F2682" s="1" t="s">
        <v>3918</v>
      </c>
      <c r="G2682" s="1" t="s">
        <v>4983</v>
      </c>
    </row>
    <row r="2683" spans="1:7" x14ac:dyDescent="0.45">
      <c r="A2683" s="1" t="s">
        <v>11260</v>
      </c>
      <c r="B2683" s="1" t="s">
        <v>11261</v>
      </c>
      <c r="C2683" s="1" t="s">
        <v>255</v>
      </c>
      <c r="D2683" s="1" t="s">
        <v>11828</v>
      </c>
      <c r="E2683" s="1" t="s">
        <v>3917</v>
      </c>
      <c r="F2683" s="1" t="s">
        <v>3918</v>
      </c>
      <c r="G2683" s="1" t="s">
        <v>4983</v>
      </c>
    </row>
    <row r="2684" spans="1:7" x14ac:dyDescent="0.45">
      <c r="A2684" s="1" t="s">
        <v>7938</v>
      </c>
      <c r="B2684" s="1" t="s">
        <v>5540</v>
      </c>
      <c r="C2684" s="1" t="s">
        <v>255</v>
      </c>
      <c r="D2684" s="1" t="s">
        <v>5541</v>
      </c>
      <c r="E2684" s="1" t="s">
        <v>3917</v>
      </c>
      <c r="F2684" s="1" t="s">
        <v>3918</v>
      </c>
      <c r="G2684" s="1" t="s">
        <v>4983</v>
      </c>
    </row>
    <row r="2685" spans="1:7" x14ac:dyDescent="0.45">
      <c r="A2685" s="1" t="s">
        <v>11262</v>
      </c>
      <c r="B2685" s="1" t="s">
        <v>11263</v>
      </c>
      <c r="C2685" s="1" t="s">
        <v>255</v>
      </c>
      <c r="D2685" s="1" t="s">
        <v>11829</v>
      </c>
      <c r="E2685" s="1" t="s">
        <v>3917</v>
      </c>
      <c r="F2685" s="1" t="s">
        <v>3918</v>
      </c>
      <c r="G2685" s="1" t="s">
        <v>4983</v>
      </c>
    </row>
    <row r="2686" spans="1:7" x14ac:dyDescent="0.45">
      <c r="A2686" s="1" t="s">
        <v>7939</v>
      </c>
      <c r="B2686" s="1" t="s">
        <v>7940</v>
      </c>
      <c r="C2686" s="1" t="s">
        <v>255</v>
      </c>
      <c r="D2686" s="1" t="s">
        <v>8420</v>
      </c>
      <c r="E2686" s="1" t="s">
        <v>3917</v>
      </c>
      <c r="F2686" s="1" t="s">
        <v>3918</v>
      </c>
      <c r="G2686" s="1" t="s">
        <v>4983</v>
      </c>
    </row>
    <row r="2687" spans="1:7" x14ac:dyDescent="0.45">
      <c r="A2687" s="1" t="s">
        <v>7941</v>
      </c>
      <c r="B2687" s="1" t="s">
        <v>7942</v>
      </c>
      <c r="C2687" s="1" t="s">
        <v>255</v>
      </c>
      <c r="D2687" s="1" t="s">
        <v>8421</v>
      </c>
      <c r="E2687" s="1" t="s">
        <v>3919</v>
      </c>
      <c r="F2687" s="1" t="s">
        <v>3918</v>
      </c>
      <c r="G2687" s="1" t="s">
        <v>4983</v>
      </c>
    </row>
    <row r="2688" spans="1:7" x14ac:dyDescent="0.45">
      <c r="A2688" s="1" t="s">
        <v>11264</v>
      </c>
      <c r="B2688" s="1" t="s">
        <v>5449</v>
      </c>
      <c r="C2688" s="1" t="s">
        <v>255</v>
      </c>
      <c r="D2688" s="1" t="s">
        <v>5450</v>
      </c>
      <c r="E2688" s="1" t="s">
        <v>3917</v>
      </c>
      <c r="F2688" s="1" t="s">
        <v>3918</v>
      </c>
      <c r="G2688" s="1" t="s">
        <v>4983</v>
      </c>
    </row>
    <row r="2689" spans="1:7" x14ac:dyDescent="0.45">
      <c r="A2689" s="1" t="s">
        <v>7943</v>
      </c>
      <c r="B2689" s="1" t="s">
        <v>7944</v>
      </c>
      <c r="C2689" s="1" t="s">
        <v>255</v>
      </c>
      <c r="D2689" s="1" t="s">
        <v>8422</v>
      </c>
      <c r="E2689" s="1" t="s">
        <v>3917</v>
      </c>
      <c r="F2689" s="1" t="s">
        <v>3918</v>
      </c>
      <c r="G2689" s="1" t="s">
        <v>4983</v>
      </c>
    </row>
    <row r="2690" spans="1:7" x14ac:dyDescent="0.45">
      <c r="A2690" s="1" t="s">
        <v>11265</v>
      </c>
      <c r="B2690" s="1" t="s">
        <v>11266</v>
      </c>
      <c r="C2690" s="1" t="s">
        <v>255</v>
      </c>
      <c r="D2690" s="1" t="s">
        <v>11830</v>
      </c>
      <c r="E2690" s="1" t="s">
        <v>3917</v>
      </c>
      <c r="F2690" s="1" t="s">
        <v>3918</v>
      </c>
      <c r="G2690" s="1" t="s">
        <v>4983</v>
      </c>
    </row>
    <row r="2691" spans="1:7" x14ac:dyDescent="0.45">
      <c r="A2691" s="1" t="s">
        <v>4666</v>
      </c>
      <c r="B2691" s="1" t="s">
        <v>4667</v>
      </c>
      <c r="C2691" s="1" t="s">
        <v>255</v>
      </c>
      <c r="D2691" s="1" t="s">
        <v>4979</v>
      </c>
      <c r="E2691" s="1" t="s">
        <v>3917</v>
      </c>
      <c r="F2691" s="1" t="s">
        <v>3918</v>
      </c>
      <c r="G2691" s="1" t="s">
        <v>4983</v>
      </c>
    </row>
    <row r="2692" spans="1:7" x14ac:dyDescent="0.45">
      <c r="A2692" s="1" t="s">
        <v>11267</v>
      </c>
      <c r="B2692" s="1" t="s">
        <v>11268</v>
      </c>
      <c r="C2692" s="1" t="s">
        <v>255</v>
      </c>
      <c r="D2692" s="1" t="s">
        <v>11831</v>
      </c>
      <c r="E2692" s="1" t="s">
        <v>3917</v>
      </c>
      <c r="F2692" s="1" t="s">
        <v>3918</v>
      </c>
      <c r="G2692" s="1" t="s">
        <v>4983</v>
      </c>
    </row>
    <row r="2693" spans="1:7" x14ac:dyDescent="0.45">
      <c r="A2693" s="1" t="s">
        <v>4668</v>
      </c>
      <c r="B2693" s="1" t="s">
        <v>3308</v>
      </c>
      <c r="C2693" s="1" t="s">
        <v>255</v>
      </c>
      <c r="D2693" s="1" t="s">
        <v>3309</v>
      </c>
      <c r="E2693" s="1" t="s">
        <v>3917</v>
      </c>
      <c r="F2693" s="1" t="s">
        <v>3918</v>
      </c>
      <c r="G2693" s="1" t="s">
        <v>4983</v>
      </c>
    </row>
    <row r="2694" spans="1:7" x14ac:dyDescent="0.45">
      <c r="A2694" s="1" t="s">
        <v>11269</v>
      </c>
      <c r="B2694" s="1" t="s">
        <v>11270</v>
      </c>
      <c r="C2694" s="1" t="s">
        <v>255</v>
      </c>
      <c r="D2694" s="1" t="s">
        <v>11832</v>
      </c>
      <c r="E2694" s="1" t="s">
        <v>3917</v>
      </c>
      <c r="F2694" s="1" t="s">
        <v>3918</v>
      </c>
      <c r="G2694" s="1" t="s">
        <v>4983</v>
      </c>
    </row>
    <row r="2695" spans="1:7" x14ac:dyDescent="0.45">
      <c r="A2695" s="1" t="s">
        <v>1856</v>
      </c>
      <c r="B2695" s="1" t="s">
        <v>1857</v>
      </c>
      <c r="C2695" s="1" t="s">
        <v>255</v>
      </c>
      <c r="D2695" s="1" t="s">
        <v>3226</v>
      </c>
      <c r="E2695" s="1" t="s">
        <v>3917</v>
      </c>
      <c r="F2695" s="1" t="s">
        <v>3918</v>
      </c>
      <c r="G2695" s="1" t="s">
        <v>4983</v>
      </c>
    </row>
    <row r="2696" spans="1:7" x14ac:dyDescent="0.45">
      <c r="A2696" s="1" t="s">
        <v>11271</v>
      </c>
      <c r="B2696" s="1" t="s">
        <v>11272</v>
      </c>
      <c r="C2696" s="1" t="s">
        <v>255</v>
      </c>
      <c r="D2696" s="1" t="s">
        <v>9716</v>
      </c>
      <c r="E2696" s="1" t="s">
        <v>3917</v>
      </c>
      <c r="F2696" s="1" t="s">
        <v>3918</v>
      </c>
      <c r="G2696" s="1" t="s">
        <v>4983</v>
      </c>
    </row>
    <row r="2697" spans="1:7" x14ac:dyDescent="0.45">
      <c r="A2697" s="1" t="s">
        <v>11273</v>
      </c>
      <c r="B2697" s="1" t="s">
        <v>11274</v>
      </c>
      <c r="C2697" s="1" t="s">
        <v>255</v>
      </c>
      <c r="D2697" s="1" t="s">
        <v>11833</v>
      </c>
      <c r="E2697" s="1" t="s">
        <v>3917</v>
      </c>
      <c r="F2697" s="1" t="s">
        <v>3918</v>
      </c>
      <c r="G2697" s="1" t="s">
        <v>4983</v>
      </c>
    </row>
    <row r="2698" spans="1:7" x14ac:dyDescent="0.45">
      <c r="A2698" s="1" t="s">
        <v>7945</v>
      </c>
      <c r="B2698" s="1" t="s">
        <v>7946</v>
      </c>
      <c r="C2698" s="1" t="s">
        <v>255</v>
      </c>
      <c r="D2698" s="1" t="s">
        <v>5565</v>
      </c>
      <c r="E2698" s="1" t="s">
        <v>3917</v>
      </c>
      <c r="F2698" s="1" t="s">
        <v>3918</v>
      </c>
      <c r="G2698" s="1" t="s">
        <v>4983</v>
      </c>
    </row>
    <row r="2699" spans="1:7" x14ac:dyDescent="0.45">
      <c r="A2699" s="1" t="s">
        <v>11275</v>
      </c>
      <c r="B2699" s="1" t="s">
        <v>11276</v>
      </c>
      <c r="C2699" s="1" t="s">
        <v>255</v>
      </c>
      <c r="D2699" s="1" t="s">
        <v>11834</v>
      </c>
      <c r="E2699" s="1" t="s">
        <v>3917</v>
      </c>
      <c r="F2699" s="1" t="s">
        <v>3918</v>
      </c>
      <c r="G2699" s="1" t="s">
        <v>4983</v>
      </c>
    </row>
    <row r="2700" spans="1:7" x14ac:dyDescent="0.45">
      <c r="A2700" s="1" t="s">
        <v>11277</v>
      </c>
      <c r="B2700" s="1" t="s">
        <v>11278</v>
      </c>
      <c r="C2700" s="1" t="s">
        <v>255</v>
      </c>
      <c r="D2700" s="1" t="s">
        <v>11835</v>
      </c>
      <c r="E2700" s="1" t="s">
        <v>3917</v>
      </c>
      <c r="F2700" s="1" t="s">
        <v>3918</v>
      </c>
      <c r="G2700" s="1" t="s">
        <v>4983</v>
      </c>
    </row>
    <row r="2701" spans="1:7" x14ac:dyDescent="0.45">
      <c r="A2701" s="1" t="s">
        <v>7947</v>
      </c>
      <c r="B2701" s="1" t="s">
        <v>7948</v>
      </c>
      <c r="C2701" s="1" t="s">
        <v>255</v>
      </c>
      <c r="D2701" s="1" t="s">
        <v>8423</v>
      </c>
      <c r="E2701" s="1" t="s">
        <v>3917</v>
      </c>
      <c r="F2701" s="1" t="s">
        <v>3918</v>
      </c>
      <c r="G2701" s="1" t="s">
        <v>4983</v>
      </c>
    </row>
    <row r="2702" spans="1:7" x14ac:dyDescent="0.45">
      <c r="A2702" s="1" t="s">
        <v>4671</v>
      </c>
      <c r="B2702" s="1" t="s">
        <v>4672</v>
      </c>
      <c r="C2702" s="1" t="s">
        <v>255</v>
      </c>
      <c r="D2702" s="1" t="s">
        <v>4981</v>
      </c>
      <c r="E2702" s="1" t="s">
        <v>3919</v>
      </c>
      <c r="F2702" s="1" t="s">
        <v>3918</v>
      </c>
      <c r="G2702" s="1" t="s">
        <v>4983</v>
      </c>
    </row>
    <row r="2703" spans="1:7" x14ac:dyDescent="0.45">
      <c r="A2703" s="1" t="s">
        <v>7949</v>
      </c>
      <c r="B2703" s="1" t="s">
        <v>7950</v>
      </c>
      <c r="C2703" s="1" t="s">
        <v>255</v>
      </c>
      <c r="D2703" s="1" t="s">
        <v>8424</v>
      </c>
      <c r="E2703" s="1" t="s">
        <v>3917</v>
      </c>
      <c r="F2703" s="1" t="s">
        <v>3918</v>
      </c>
      <c r="G2703" s="1" t="s">
        <v>4983</v>
      </c>
    </row>
    <row r="2704" spans="1:7" x14ac:dyDescent="0.45">
      <c r="A2704" s="1" t="s">
        <v>3228</v>
      </c>
      <c r="B2704" s="1" t="s">
        <v>3229</v>
      </c>
      <c r="C2704" s="1" t="s">
        <v>255</v>
      </c>
      <c r="D2704" s="1" t="s">
        <v>3230</v>
      </c>
      <c r="E2704" s="1" t="s">
        <v>3917</v>
      </c>
      <c r="F2704" s="1" t="s">
        <v>3918</v>
      </c>
      <c r="G2704" s="1" t="s">
        <v>4983</v>
      </c>
    </row>
  </sheetData>
  <phoneticPr fontId="5"/>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11</vt:i4>
      </vt:variant>
    </vt:vector>
  </HeadingPairs>
  <TitlesOfParts>
    <vt:vector size="28" baseType="lpstr">
      <vt:lpstr>抽選会資料</vt:lpstr>
      <vt:lpstr>大会要項</vt:lpstr>
      <vt:lpstr>MCM資料</vt:lpstr>
      <vt:lpstr>累積警告・退場</vt:lpstr>
      <vt:lpstr>組合せ抽選用</vt:lpstr>
      <vt:lpstr>予選リーグ</vt:lpstr>
      <vt:lpstr>予選リーグ (2)</vt:lpstr>
      <vt:lpstr>予選リーグ公式記録(BコートA)</vt:lpstr>
      <vt:lpstr>予選リーグ公式記録(BコートB)</vt:lpstr>
      <vt:lpstr>予選リーグ公式記録(県協会人工芝A)</vt:lpstr>
      <vt:lpstr>予選リーグ公式記録(県協会人工芝B)</vt:lpstr>
      <vt:lpstr>決勝トーナメント</vt:lpstr>
      <vt:lpstr>決勝T公式記録</vt:lpstr>
      <vt:lpstr>決勝公式記録 No,33</vt:lpstr>
      <vt:lpstr>項目</vt:lpstr>
      <vt:lpstr>選手名簿</vt:lpstr>
      <vt:lpstr>審判員</vt:lpstr>
      <vt:lpstr>大会要項!OLE_LINK1</vt:lpstr>
      <vt:lpstr>決勝T公式記録!Print_Area</vt:lpstr>
      <vt:lpstr>'決勝公式記録 No,33'!Print_Area</vt:lpstr>
      <vt:lpstr>組合せ抽選用!Print_Area</vt:lpstr>
      <vt:lpstr>大会要項!Print_Area</vt:lpstr>
      <vt:lpstr>累積警告・退場!Print_Area</vt:lpstr>
      <vt:lpstr>決勝T公式記録!Print_Titles</vt:lpstr>
      <vt:lpstr>'予選リーグ公式記録(BコートA)'!Print_Titles</vt:lpstr>
      <vt:lpstr>'予選リーグ公式記録(BコートB)'!Print_Titles</vt:lpstr>
      <vt:lpstr>'予選リーグ公式記録(県協会人工芝A)'!Print_Titles</vt:lpstr>
      <vt:lpstr>'予選リーグ公式記録(県協会人工芝B)'!Print_Titles</vt:lpstr>
    </vt:vector>
  </TitlesOfParts>
  <Company>学 校 教 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上野貴士</cp:lastModifiedBy>
  <cp:lastPrinted>2023-07-02T06:15:08Z</cp:lastPrinted>
  <dcterms:created xsi:type="dcterms:W3CDTF">2002-01-31T07:32:19Z</dcterms:created>
  <dcterms:modified xsi:type="dcterms:W3CDTF">2023-07-02T07:16:35Z</dcterms:modified>
</cp:coreProperties>
</file>